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ПЭО\Отчеты для администрации и РСТ НО\Для раскрытия информации\2.Раскрытие информации за 2023г (факт)\На сайт\"/>
    </mc:Choice>
  </mc:AlternateContent>
  <bookViews>
    <workbookView xWindow="0" yWindow="0" windowWidth="28800" windowHeight="12135" tabRatio="852" firstSheet="1" activeTab="58"/>
  </bookViews>
  <sheets>
    <sheet name="Инструкция" sheetId="1" state="hidden"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ФХД'!$O$66</definedName>
    <definedName name="B_FHD_CHECK_INDEX_2">'Показатели ФХД'!$O$68</definedName>
    <definedName name="B_FHD_COSTS_INDEX_1">'Показатели ФХД'!$H$65:$M$65</definedName>
    <definedName name="B_FHD_COSTS_INDEX_2">'Показатели ФХД'!$H$67:$M$67</definedName>
    <definedName name="B_FHD_DATA_TOP80_ACTIVITY">'Показатели ФХД'!$H$87:$M$87</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FLAG_DIFFERENTIATION">'Показатели ФХД'!$H$24:$M$24</definedName>
    <definedName name="B_FHD_FLAG_INDEX_1">'Показатели ФХД'!$H$66:$M$66</definedName>
    <definedName name="B_FHD_FLAG_INDEX_2">'Показатели ФХД'!$H$68:$M$68</definedName>
    <definedName name="B_FHD_TKO_DATA_TOP80_ACTIVITY">'ТКО. Показатели ФХД'!$H$43:$M$43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FLAG_DIFFERENTIATION">'ТКО. Показатели ФХД'!$H$9:$M$9</definedName>
    <definedName name="B_FHD_TKO_TRANS_DATA_TOP80_ACTIVITY">'ТКО. Транс. Показатели ФХД'!$H$35:$M$35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FLAG_DIFFERENTIATION">'ТКО. Транс. Показатели ФХД'!$H$9:$M$9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FLAG_FHD">'Показатели ФХД &gt;20%'!$V$11:$V$50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FLAG_DIFFERENTIATION">'Показатели ОТЭП'!$L$9:$R$9</definedName>
    <definedName name="B_OTEP_HEAT_DATA_TOP80_ACTIVITY">'Показатели ОТЭП'!$L$15:$R$15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ФХД'!$88:$96</definedName>
    <definedName name="BLOCK_POK_FHD_COLDVSNA_P2">'Показатели ФХД'!$121:$125</definedName>
    <definedName name="BLOCK_POK_FHD_HEAT_ONLY_REG_ORG_P1">'Показатели ФХД'!$56:$57</definedName>
    <definedName name="BLOCK_POK_FHD_HEAT_ONLY_REG_ORG_P2">'Показатели ФХД'!$86:$137</definedName>
    <definedName name="BLOCK_POK_FHD_HEAT_P1">'Показатели ФХД'!$33:$40</definedName>
    <definedName name="BLOCK_POK_FHD_HEAT_P2">'Показатели ФХД'!$78:$78</definedName>
    <definedName name="BLOCK_POK_FHD_HEAT_P3">'Показатели ФХД'!$105:$117</definedName>
    <definedName name="BLOCK_POK_FHD_HEAT_P4">'Показатели ФХД'!$119:$119</definedName>
    <definedName name="BLOCK_POK_FHD_HEAT_P5">'Показатели ФХД'!$126:$136</definedName>
    <definedName name="BLOCK_POK_FHD_HEAT_P6">'Показатели ФХД'!$47:$47</definedName>
    <definedName name="BLOCK_POK_FHD_HOTVSNA_P1">'Показатели ФХД'!$41:$43</definedName>
    <definedName name="BLOCK_POK_FHD_HOTVSNA_P2">'Показатели ФХД'!$97:$101</definedName>
    <definedName name="BLOCK_POK_FHD_NOT_HEAT_P1">'Показатели ФХД'!$67:$68</definedName>
    <definedName name="BLOCK_POK_FHD_NOT_HEAT_P2">'Показатели ФХД'!$86:$86</definedName>
    <definedName name="BLOCK_POK_FHD_NOT_HOTVSNA">'Показатели ФХД'!$48:$48</definedName>
    <definedName name="BLOCK_POK_FHD_VOTV_P1">'Показатели ФХД'!$102:$104</definedName>
    <definedName name="BLOCK_POK_FHD_VSNA">'Показатели ФХД'!$120:$120</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Дифференциация!$I$12:$I$24</definedName>
    <definedName name="DIFFERENTIATION_AREA_ID">Дифференциация!$U$11:$U$25</definedName>
    <definedName name="DIFFERENTIATION_CheckC">Дифференциация!$D$12:$M$24</definedName>
    <definedName name="DIFFERENTIATION_fieldMarker">Дифференциация!$W$12:$W$24</definedName>
    <definedName name="DIFFERENTIATION_ID">TEHSHEET!$E$57</definedName>
    <definedName name="DIFFERENTIATION_ID_DIFF">Дифференциация!$O$12:$O$24</definedName>
    <definedName name="DIFFERENTIATION_SYSTEM">Дифференциация!$M$12:$M$24</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Дифференциация!$Q$12:$Q$24</definedName>
    <definedName name="DIFFERENTIATION_UNMERGE_SYSTEM">Дифференциация!$R$12:$R$24</definedName>
    <definedName name="DIFFERENTIATION_UNMERGE_VD">Дифференциация!$P$12:$P$24</definedName>
    <definedName name="DIFFERENTIATION_VD">Дифференциация!$E$12:$E$24</definedName>
    <definedName name="DIFFERENTIATION_VD_ID">Дифференциация!$V$11:$V$25</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Ограничения!$F$36:$Q$36</definedName>
    <definedName name="flag_Q_LIMIT_p4">Ограничения!$F$38:$Q$38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Детализация'!$14:$1015</definedName>
    <definedName name="IP_DETAILED_IST_FIN_FACT_COLUMN_MARKER">'ИП. Детализация'!$AD$7</definedName>
    <definedName name="IP_DETAILED_LIST_IP_ID">'ИП. Детализация'!$A$1016:$A$1016</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план'!$K$11:$AC$11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Комментарии!$C$11:$C$18</definedName>
    <definedName name="pDel_DIFFERENTIATION_AREA">Дифференциация!$G$12:$G$24</definedName>
    <definedName name="pDel_DIFFERENTIATION_SYSTEM">Дифференциация!$K$12:$K$24</definedName>
    <definedName name="pDel_DIFFERENTIATION_VD">Дифференциация!$C$12:$C$24</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ФХД'!$F$77</definedName>
    <definedName name="pIns_B_FHD_3">'Показатели ФХД'!$F$107</definedName>
    <definedName name="pIns_B_FHD_4">'Показатели ФХД'!$F$125</definedName>
    <definedName name="pIns_B_FHD_5">'Показатели ФХД'!$F$128</definedName>
    <definedName name="pIns_B_FHD_6">'Показатели ФХД'!$F$131</definedName>
    <definedName name="pIns_B_FHD_DIFFERENTIATION">'Показатели ФХД'!$M$24</definedName>
    <definedName name="pIns_B_FHD_TKO_2">'ТКО. Показатели ФХД'!$F$34</definedName>
    <definedName name="pIns_B_FHD_TKO_DIFFERENTIATION">'ТКО. Показатели ФХД'!$M$9</definedName>
    <definedName name="pIns_B_FHD_TKO_TRANS_2">'ТКО. Транс. Показатели ФХД'!$F$29</definedName>
    <definedName name="pIns_B_FHD_TKO_TRANS_DIFFERENTIATION">'ТКО. Транс. Показатели ФХД'!$M$9</definedName>
    <definedName name="pIns_B_FHD20_DIFFERENTIATION">'Показатели ФХД &gt;20%'!$D$50</definedName>
    <definedName name="pIns_B_KNE_DIFFERENTIATION">'Показатели КНЭ'!$Q$6</definedName>
    <definedName name="pIns_B_OTEP_2">'Показатели ОТЭП'!$J$18</definedName>
    <definedName name="pIns_B_OTEP_DIFFERENTIATION">'Показатели ОТЭП'!$Q$9</definedName>
    <definedName name="pIns_B_STANDARTS">'Стандарты качества'!$J$13</definedName>
    <definedName name="pIns_CHANGE_INFO">'Сведения об изменении'!$E$13</definedName>
    <definedName name="pIns_Comm">Комментарии!$E$18</definedName>
    <definedName name="pIns_ED">ЭД!$E$13</definedName>
    <definedName name="pIns_IP_DETAILED">'ИП. Детализация'!$F$1016</definedName>
    <definedName name="pIns_IP_FIN_PLAN">'ИП. Финансовый план'!$AD$8</definedName>
    <definedName name="pIns_IP_MAIN">ИП!$G$15</definedName>
    <definedName name="pIns_IP_QRE">'ИП. КНЭ'!$F$24</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Ограничения!$Q$25</definedName>
    <definedName name="pIns_Q_PH_DIFFERENTIATION">'Потребительские характеристики'!$Q$8</definedName>
    <definedName name="pIns_Q_TP_1">ТП!$E$22</definedName>
    <definedName name="pIns_Q_TP_DIFFERENTIATION">ТП!$L$8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Ограничения!$Q$26</definedName>
    <definedName name="pNote_Q_PH">'Потребительские характеристики'!$Q$9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Ограничения!$E$32:$Q$39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p3">Ограничения!$F$36:$Q$37</definedName>
    <definedName name="Q_LIMIT_p4">Ограничения!$F$38:$Q$39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REESTR_OBJ_INFR!$A$2:$AK$519</definedName>
    <definedName name="REESTR_IP_RANGE">REESTR_IP!$A$2:$I$3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ФХД'!$M$137</definedName>
    <definedName name="tblEnd_1_B_FHD_TKO">'ТКО. Показатели ФХД'!$M$47</definedName>
    <definedName name="tblEnd_1_B_FHD_TKO_TRANS">'ТКО. Транс. Показатели ФХД'!$M$38</definedName>
    <definedName name="tblEnd_1_B_KNE">'Показатели КНЭ'!$J$101</definedName>
    <definedName name="tblEnd_1_B_OTEP">'Показатели ОТЭП'!$Q$34</definedName>
    <definedName name="tblEnd_1_B_STANDARTS">'Стандарты качества'!$L$13</definedName>
    <definedName name="tblEnd_1_CHANGE_INFO">'Сведения об изменении'!$E$14</definedName>
    <definedName name="tblEnd_1_DIFFERENTIATION">Дифференциация!$M$25</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Детализация'!$AH$1016</definedName>
    <definedName name="tblEnd_1_IP_FIN_PLAN">'ИП. Финансовый план'!$AD$58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Ограничения!$Q$40</definedName>
    <definedName name="tblEnd_1_Q_PH">'Потребительские характеристики'!$Q$21</definedName>
    <definedName name="tblEnd_1_Q_TP">ТП!$L$23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_LIST_KS">ИП!$AB$13</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Дифференциация!$F$12:$F$24</definedName>
    <definedName name="Y_N_DIFFERENTIATION_SYSTEM">Дифференциация!$J$12:$J$24</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M136" i="33" s="1"/>
  <c r="J101" i="63"/>
  <c r="I101" i="63"/>
  <c r="L101" i="63" s="1"/>
  <c r="E136" i="33" s="1"/>
  <c r="M100" i="63"/>
  <c r="L100" i="63"/>
  <c r="E135" i="33" s="1"/>
  <c r="K100" i="63"/>
  <c r="N100" i="63" s="1"/>
  <c r="J100" i="63"/>
  <c r="I100" i="63"/>
  <c r="K99" i="63"/>
  <c r="N99" i="63" s="1"/>
  <c r="M134" i="33" s="1"/>
  <c r="J99" i="63"/>
  <c r="M99" i="63" s="1"/>
  <c r="I99" i="63"/>
  <c r="L99" i="63" s="1"/>
  <c r="E134" i="33" s="1"/>
  <c r="M98" i="63"/>
  <c r="L98" i="63"/>
  <c r="E133" i="33" s="1"/>
  <c r="K98" i="63"/>
  <c r="N98" i="63" s="1"/>
  <c r="J98" i="63"/>
  <c r="I98" i="63"/>
  <c r="N97" i="63"/>
  <c r="M132" i="33" s="1"/>
  <c r="M97" i="63"/>
  <c r="K97" i="63"/>
  <c r="J97" i="63"/>
  <c r="I97" i="63"/>
  <c r="L97" i="63" s="1"/>
  <c r="E132" i="33" s="1"/>
  <c r="M96" i="63"/>
  <c r="L96" i="63"/>
  <c r="E129" i="33" s="1"/>
  <c r="K96" i="63"/>
  <c r="N96" i="63" s="1"/>
  <c r="J96" i="63"/>
  <c r="I96" i="63"/>
  <c r="K95" i="63"/>
  <c r="N95" i="63" s="1"/>
  <c r="J95" i="63"/>
  <c r="M95" i="63" s="1"/>
  <c r="F126" i="33" s="1"/>
  <c r="I95" i="63"/>
  <c r="L95" i="63" s="1"/>
  <c r="E126" i="33" s="1"/>
  <c r="M94" i="63"/>
  <c r="L94" i="63"/>
  <c r="E123" i="33" s="1"/>
  <c r="E124" i="33" s="1"/>
  <c r="K94" i="63"/>
  <c r="N94" i="63" s="1"/>
  <c r="M123" i="33" s="1"/>
  <c r="J94" i="63"/>
  <c r="I94" i="63"/>
  <c r="N93" i="63"/>
  <c r="M93" i="63"/>
  <c r="F122" i="33" s="1"/>
  <c r="K93" i="63"/>
  <c r="J93" i="63"/>
  <c r="I93" i="63"/>
  <c r="L93" i="63" s="1"/>
  <c r="M92" i="63"/>
  <c r="F121" i="33" s="1"/>
  <c r="K92" i="63"/>
  <c r="N92" i="63" s="1"/>
  <c r="J92" i="63"/>
  <c r="I92" i="63"/>
  <c r="L92" i="63" s="1"/>
  <c r="E121" i="33" s="1"/>
  <c r="K91" i="63"/>
  <c r="N91" i="63" s="1"/>
  <c r="J91" i="63"/>
  <c r="M91" i="63" s="1"/>
  <c r="F120" i="33" s="1"/>
  <c r="I91" i="63"/>
  <c r="L91" i="63" s="1"/>
  <c r="M90" i="63"/>
  <c r="L90" i="63"/>
  <c r="E119" i="33" s="1"/>
  <c r="K90" i="63"/>
  <c r="N90" i="63" s="1"/>
  <c r="M119" i="33" s="1"/>
  <c r="J90" i="63"/>
  <c r="I90" i="63"/>
  <c r="M89" i="63"/>
  <c r="F118" i="33" s="1"/>
  <c r="K89" i="63"/>
  <c r="N89" i="63" s="1"/>
  <c r="M118" i="33" s="1"/>
  <c r="J89" i="63"/>
  <c r="I89" i="63"/>
  <c r="L89" i="63" s="1"/>
  <c r="M88" i="63"/>
  <c r="F117" i="33" s="1"/>
  <c r="L88" i="63"/>
  <c r="E117" i="33" s="1"/>
  <c r="K88" i="63"/>
  <c r="N88" i="63" s="1"/>
  <c r="J88" i="63"/>
  <c r="I88" i="63"/>
  <c r="N87" i="63"/>
  <c r="M116" i="33" s="1"/>
  <c r="K87" i="63"/>
  <c r="J87" i="63"/>
  <c r="M87" i="63" s="1"/>
  <c r="F116" i="33" s="1"/>
  <c r="I87" i="63"/>
  <c r="L87" i="63" s="1"/>
  <c r="E116" i="33" s="1"/>
  <c r="M86" i="63"/>
  <c r="L86" i="63"/>
  <c r="E115" i="33" s="1"/>
  <c r="K86" i="63"/>
  <c r="N86" i="63" s="1"/>
  <c r="J86" i="63"/>
  <c r="I86" i="63"/>
  <c r="M85" i="63"/>
  <c r="F114" i="33" s="1"/>
  <c r="K85" i="63"/>
  <c r="N85" i="63" s="1"/>
  <c r="J85" i="63"/>
  <c r="I85" i="63"/>
  <c r="L85" i="63" s="1"/>
  <c r="M84" i="63"/>
  <c r="L84" i="63"/>
  <c r="E113" i="33" s="1"/>
  <c r="K84" i="63"/>
  <c r="N84" i="63" s="1"/>
  <c r="J84" i="63"/>
  <c r="I84" i="63"/>
  <c r="K83" i="63"/>
  <c r="N83" i="63" s="1"/>
  <c r="M112" i="33" s="1"/>
  <c r="J83" i="63"/>
  <c r="M83" i="63" s="1"/>
  <c r="F112" i="33" s="1"/>
  <c r="I83" i="63"/>
  <c r="L83" i="63" s="1"/>
  <c r="M82" i="63"/>
  <c r="L82" i="63"/>
  <c r="E111" i="33" s="1"/>
  <c r="K82" i="63"/>
  <c r="N82" i="63" s="1"/>
  <c r="J82" i="63"/>
  <c r="I82" i="63"/>
  <c r="N81" i="63"/>
  <c r="M110" i="33" s="1"/>
  <c r="M81" i="63"/>
  <c r="K81" i="63"/>
  <c r="J81" i="63"/>
  <c r="I81" i="63"/>
  <c r="L81" i="63" s="1"/>
  <c r="E110" i="33" s="1"/>
  <c r="M80" i="63"/>
  <c r="L80" i="63"/>
  <c r="K80" i="63"/>
  <c r="N80" i="63" s="1"/>
  <c r="J80" i="63"/>
  <c r="I80" i="63"/>
  <c r="K79" i="63"/>
  <c r="N79" i="63" s="1"/>
  <c r="M108" i="33" s="1"/>
  <c r="J79" i="63"/>
  <c r="M79" i="63" s="1"/>
  <c r="I79" i="63"/>
  <c r="L79" i="63" s="1"/>
  <c r="M78" i="63"/>
  <c r="L78" i="63"/>
  <c r="K78" i="63"/>
  <c r="N78" i="63" s="1"/>
  <c r="M105" i="33" s="1"/>
  <c r="J78" i="63"/>
  <c r="I78" i="63"/>
  <c r="N77" i="63"/>
  <c r="M77" i="63"/>
  <c r="F104" i="33" s="1"/>
  <c r="K77" i="63"/>
  <c r="J77" i="63"/>
  <c r="I77" i="63"/>
  <c r="L77" i="63" s="1"/>
  <c r="M76" i="63"/>
  <c r="K76" i="63"/>
  <c r="N76" i="63" s="1"/>
  <c r="J76" i="63"/>
  <c r="I76" i="63"/>
  <c r="L76" i="63" s="1"/>
  <c r="E103" i="33" s="1"/>
  <c r="K75" i="63"/>
  <c r="N75" i="63" s="1"/>
  <c r="J75" i="63"/>
  <c r="M75" i="63" s="1"/>
  <c r="F102" i="33" s="1"/>
  <c r="I75" i="63"/>
  <c r="L75" i="63" s="1"/>
  <c r="E102" i="33" s="1"/>
  <c r="M74" i="63"/>
  <c r="L74" i="63"/>
  <c r="K74" i="63"/>
  <c r="N74" i="63" s="1"/>
  <c r="M101" i="33" s="1"/>
  <c r="J74" i="63"/>
  <c r="I74" i="63"/>
  <c r="M73" i="63"/>
  <c r="F100" i="33" s="1"/>
  <c r="K73" i="63"/>
  <c r="N73" i="63" s="1"/>
  <c r="M100" i="33" s="1"/>
  <c r="J73" i="63"/>
  <c r="I73" i="63"/>
  <c r="L73" i="63" s="1"/>
  <c r="M72" i="63"/>
  <c r="L72" i="63"/>
  <c r="E99" i="33" s="1"/>
  <c r="K72" i="63"/>
  <c r="N72" i="63" s="1"/>
  <c r="J72" i="63"/>
  <c r="I72" i="63"/>
  <c r="N71" i="63"/>
  <c r="M98" i="33" s="1"/>
  <c r="K71" i="63"/>
  <c r="J71" i="63"/>
  <c r="M71" i="63" s="1"/>
  <c r="I71" i="63"/>
  <c r="L71" i="63" s="1"/>
  <c r="M70" i="63"/>
  <c r="L70" i="63"/>
  <c r="K70" i="63"/>
  <c r="N70" i="63" s="1"/>
  <c r="M97" i="33" s="1"/>
  <c r="J70" i="63"/>
  <c r="I70" i="63"/>
  <c r="M69" i="63"/>
  <c r="F96" i="33" s="1"/>
  <c r="K69" i="63"/>
  <c r="N69" i="63" s="1"/>
  <c r="J69" i="63"/>
  <c r="I69" i="63"/>
  <c r="L69" i="63" s="1"/>
  <c r="M68" i="63"/>
  <c r="L68" i="63"/>
  <c r="E95" i="33" s="1"/>
  <c r="K68" i="63"/>
  <c r="N68" i="63" s="1"/>
  <c r="J68" i="63"/>
  <c r="I68" i="63"/>
  <c r="K67" i="63"/>
  <c r="N67" i="63" s="1"/>
  <c r="M94" i="33" s="1"/>
  <c r="J67" i="63"/>
  <c r="M67" i="63" s="1"/>
  <c r="I67" i="63"/>
  <c r="L67" i="63" s="1"/>
  <c r="M66" i="63"/>
  <c r="L66" i="63"/>
  <c r="K66" i="63"/>
  <c r="N66" i="63" s="1"/>
  <c r="J66" i="63"/>
  <c r="I66" i="63"/>
  <c r="N65" i="63"/>
  <c r="M92" i="33" s="1"/>
  <c r="M65" i="63"/>
  <c r="K65" i="63"/>
  <c r="J65" i="63"/>
  <c r="I65" i="63"/>
  <c r="L65" i="63" s="1"/>
  <c r="M64" i="63"/>
  <c r="L64" i="63"/>
  <c r="K64" i="63"/>
  <c r="N64" i="63" s="1"/>
  <c r="J64" i="63"/>
  <c r="I64" i="63"/>
  <c r="K63" i="63"/>
  <c r="N63" i="63" s="1"/>
  <c r="M90" i="33" s="1"/>
  <c r="J63" i="63"/>
  <c r="M63" i="63" s="1"/>
  <c r="I63" i="63"/>
  <c r="L63" i="63" s="1"/>
  <c r="M62" i="63"/>
  <c r="L62" i="63"/>
  <c r="K62" i="63"/>
  <c r="N62" i="63" s="1"/>
  <c r="J62" i="63"/>
  <c r="I62" i="63"/>
  <c r="N61" i="63"/>
  <c r="M88" i="33" s="1"/>
  <c r="M61" i="63"/>
  <c r="K61" i="63"/>
  <c r="J61" i="63"/>
  <c r="I61" i="63"/>
  <c r="L61" i="63" s="1"/>
  <c r="E88" i="33" s="1"/>
  <c r="M60" i="63"/>
  <c r="F87" i="33" s="1"/>
  <c r="K60" i="63"/>
  <c r="N60" i="63" s="1"/>
  <c r="J60" i="63"/>
  <c r="I60" i="63"/>
  <c r="L60" i="63" s="1"/>
  <c r="K59" i="63"/>
  <c r="N59" i="63" s="1"/>
  <c r="J59" i="63"/>
  <c r="M59" i="63" s="1"/>
  <c r="I59" i="63"/>
  <c r="L59" i="63" s="1"/>
  <c r="E86" i="33" s="1"/>
  <c r="T58" i="63"/>
  <c r="N58" i="63"/>
  <c r="M58" i="63"/>
  <c r="L58" i="63"/>
  <c r="K58" i="63"/>
  <c r="J58" i="63"/>
  <c r="I58" i="63"/>
  <c r="T57" i="63"/>
  <c r="M57" i="63"/>
  <c r="L57" i="63"/>
  <c r="K57" i="63"/>
  <c r="N57" i="63" s="1"/>
  <c r="M84" i="33" s="1"/>
  <c r="J57" i="63"/>
  <c r="I57" i="63"/>
  <c r="T56" i="63"/>
  <c r="N56" i="63"/>
  <c r="L56" i="63"/>
  <c r="K56" i="63"/>
  <c r="J56" i="63"/>
  <c r="M56" i="63" s="1"/>
  <c r="F83" i="33" s="1"/>
  <c r="I56" i="63"/>
  <c r="T55" i="63"/>
  <c r="K55" i="63"/>
  <c r="N55" i="63" s="1"/>
  <c r="J55" i="63"/>
  <c r="M55" i="63" s="1"/>
  <c r="I55" i="63"/>
  <c r="L55" i="63" s="1"/>
  <c r="M54" i="63"/>
  <c r="L54" i="63"/>
  <c r="K54" i="63"/>
  <c r="N54" i="63" s="1"/>
  <c r="J54" i="63"/>
  <c r="I54" i="63"/>
  <c r="N53" i="63"/>
  <c r="M80" i="33" s="1"/>
  <c r="M53" i="63"/>
  <c r="K53" i="63"/>
  <c r="J53" i="63"/>
  <c r="I53" i="63"/>
  <c r="L53" i="63" s="1"/>
  <c r="M52" i="63"/>
  <c r="F79" i="33" s="1"/>
  <c r="K52" i="63"/>
  <c r="N52" i="63" s="1"/>
  <c r="J52" i="63"/>
  <c r="I52" i="63"/>
  <c r="L52" i="63" s="1"/>
  <c r="M51" i="63"/>
  <c r="K51" i="63"/>
  <c r="N51" i="63" s="1"/>
  <c r="J51" i="63"/>
  <c r="I51" i="63"/>
  <c r="L51" i="63" s="1"/>
  <c r="M50" i="63"/>
  <c r="F69" i="33" s="1"/>
  <c r="L50" i="63"/>
  <c r="K50" i="63"/>
  <c r="N50" i="63" s="1"/>
  <c r="J50" i="63"/>
  <c r="I50" i="63"/>
  <c r="N49" i="63"/>
  <c r="M68" i="33" s="1"/>
  <c r="K49" i="63"/>
  <c r="J49" i="63"/>
  <c r="M49" i="63" s="1"/>
  <c r="F68" i="33" s="1"/>
  <c r="I49" i="63"/>
  <c r="L49" i="63" s="1"/>
  <c r="M48" i="63"/>
  <c r="K48" i="63"/>
  <c r="N48" i="63" s="1"/>
  <c r="M67" i="33" s="1"/>
  <c r="J48" i="63"/>
  <c r="I48" i="63"/>
  <c r="L48" i="63" s="1"/>
  <c r="K47" i="63"/>
  <c r="N47" i="63" s="1"/>
  <c r="J47" i="63"/>
  <c r="M47" i="63" s="1"/>
  <c r="I47" i="63"/>
  <c r="L47" i="63" s="1"/>
  <c r="T46" i="63"/>
  <c r="N46" i="63"/>
  <c r="M46" i="63"/>
  <c r="K46" i="63"/>
  <c r="J46" i="63"/>
  <c r="I46" i="63"/>
  <c r="L46" i="63" s="1"/>
  <c r="L45" i="63"/>
  <c r="K45" i="63"/>
  <c r="N45" i="63" s="1"/>
  <c r="M64" i="33" s="1"/>
  <c r="J45" i="63"/>
  <c r="M45" i="63" s="1"/>
  <c r="I45" i="63"/>
  <c r="N44" i="63"/>
  <c r="M44" i="63"/>
  <c r="F63" i="33" s="1"/>
  <c r="K44" i="63"/>
  <c r="J44" i="63"/>
  <c r="I44" i="63"/>
  <c r="L44" i="63" s="1"/>
  <c r="E63" i="33" s="1"/>
  <c r="N63" i="33" s="1"/>
  <c r="L43" i="63"/>
  <c r="K43" i="63"/>
  <c r="N43" i="63" s="1"/>
  <c r="J43" i="63"/>
  <c r="M43" i="63" s="1"/>
  <c r="I43" i="63"/>
  <c r="N42" i="63"/>
  <c r="M42" i="63"/>
  <c r="L42" i="63"/>
  <c r="K42" i="63"/>
  <c r="J42" i="63"/>
  <c r="I42" i="63"/>
  <c r="N41" i="63"/>
  <c r="L41" i="63"/>
  <c r="K41" i="63"/>
  <c r="J41" i="63"/>
  <c r="M41" i="63" s="1"/>
  <c r="I41" i="63"/>
  <c r="N40" i="63"/>
  <c r="L40" i="63"/>
  <c r="K40" i="63"/>
  <c r="J40" i="63"/>
  <c r="M40" i="63" s="1"/>
  <c r="I40" i="63"/>
  <c r="L39" i="63"/>
  <c r="E58" i="33" s="1"/>
  <c r="N58" i="33" s="1"/>
  <c r="K39" i="63"/>
  <c r="N39" i="63" s="1"/>
  <c r="J39" i="63"/>
  <c r="M39" i="63" s="1"/>
  <c r="I39" i="63"/>
  <c r="N38" i="63"/>
  <c r="M57" i="33" s="1"/>
  <c r="M38" i="63"/>
  <c r="K38" i="63"/>
  <c r="J38" i="63"/>
  <c r="I38" i="63"/>
  <c r="L38" i="63" s="1"/>
  <c r="L37" i="63"/>
  <c r="K37" i="63"/>
  <c r="N37" i="63" s="1"/>
  <c r="J37" i="63"/>
  <c r="M37" i="63" s="1"/>
  <c r="I37" i="63"/>
  <c r="N36" i="63"/>
  <c r="L36" i="63"/>
  <c r="K36" i="63"/>
  <c r="J36" i="63"/>
  <c r="M36" i="63" s="1"/>
  <c r="F55" i="33" s="1"/>
  <c r="I36" i="63"/>
  <c r="T35" i="63"/>
  <c r="M35" i="63"/>
  <c r="L35" i="63"/>
  <c r="E54" i="33" s="1"/>
  <c r="N54" i="33" s="1"/>
  <c r="K35" i="63"/>
  <c r="N35" i="63" s="1"/>
  <c r="J35" i="63"/>
  <c r="I35" i="63"/>
  <c r="N34" i="63"/>
  <c r="M53" i="33" s="1"/>
  <c r="M34" i="63"/>
  <c r="K34" i="63"/>
  <c r="J34" i="63"/>
  <c r="I34" i="63"/>
  <c r="L34" i="63" s="1"/>
  <c r="T33" i="63"/>
  <c r="N33" i="63"/>
  <c r="L33" i="63"/>
  <c r="K33" i="63"/>
  <c r="J33" i="63"/>
  <c r="M33" i="63" s="1"/>
  <c r="I33" i="63"/>
  <c r="T32" i="63"/>
  <c r="M32" i="63"/>
  <c r="F51" i="33" s="1"/>
  <c r="K32" i="63"/>
  <c r="N32" i="63" s="1"/>
  <c r="J32" i="63"/>
  <c r="I32" i="63"/>
  <c r="L32" i="63" s="1"/>
  <c r="E51" i="33" s="1"/>
  <c r="N51" i="33" s="1"/>
  <c r="K31" i="63"/>
  <c r="N31" i="63" s="1"/>
  <c r="J31" i="63"/>
  <c r="M31" i="63" s="1"/>
  <c r="I31" i="63"/>
  <c r="L31" i="63" s="1"/>
  <c r="M30" i="63"/>
  <c r="L30" i="63"/>
  <c r="K30" i="63"/>
  <c r="N30" i="63" s="1"/>
  <c r="J30" i="63"/>
  <c r="I30" i="63"/>
  <c r="T29" i="63"/>
  <c r="N29" i="63"/>
  <c r="L29" i="63"/>
  <c r="K29" i="63"/>
  <c r="J29" i="63"/>
  <c r="M29" i="63" s="1"/>
  <c r="I29" i="63"/>
  <c r="N28" i="63"/>
  <c r="L28" i="63"/>
  <c r="K28" i="63"/>
  <c r="J28" i="63"/>
  <c r="M28" i="63" s="1"/>
  <c r="I28" i="63"/>
  <c r="L27" i="63"/>
  <c r="K27" i="63"/>
  <c r="N27" i="63" s="1"/>
  <c r="J27" i="63"/>
  <c r="M27" i="63" s="1"/>
  <c r="I27" i="63"/>
  <c r="T26" i="63"/>
  <c r="N26" i="63"/>
  <c r="M45" i="33" s="1"/>
  <c r="K26" i="63"/>
  <c r="J26" i="63"/>
  <c r="M26" i="63" s="1"/>
  <c r="I26" i="63"/>
  <c r="L26" i="63" s="1"/>
  <c r="M25" i="63"/>
  <c r="L25" i="63"/>
  <c r="K25" i="63"/>
  <c r="N25" i="63" s="1"/>
  <c r="J25" i="63"/>
  <c r="I25" i="63"/>
  <c r="N24" i="63"/>
  <c r="M43" i="33" s="1"/>
  <c r="M24" i="63"/>
  <c r="K24" i="63"/>
  <c r="J24" i="63"/>
  <c r="I24" i="63"/>
  <c r="L24" i="63" s="1"/>
  <c r="M23" i="63"/>
  <c r="L23" i="63"/>
  <c r="K23" i="63"/>
  <c r="N23" i="63" s="1"/>
  <c r="J23" i="63"/>
  <c r="I23" i="63"/>
  <c r="K22" i="63"/>
  <c r="N22" i="63" s="1"/>
  <c r="M41" i="33" s="1"/>
  <c r="J22" i="63"/>
  <c r="M22" i="63" s="1"/>
  <c r="I22" i="63"/>
  <c r="L22" i="63" s="1"/>
  <c r="M21" i="63"/>
  <c r="L21" i="63"/>
  <c r="E33" i="33" s="1"/>
  <c r="K21" i="63"/>
  <c r="N21" i="63" s="1"/>
  <c r="M33" i="33" s="1"/>
  <c r="J21" i="63"/>
  <c r="I21" i="63"/>
  <c r="N20" i="63"/>
  <c r="M32" i="33" s="1"/>
  <c r="M20" i="63"/>
  <c r="K20" i="63"/>
  <c r="J20" i="63"/>
  <c r="I20" i="63"/>
  <c r="L20" i="63" s="1"/>
  <c r="M19" i="63"/>
  <c r="F31" i="33" s="1"/>
  <c r="K19" i="63"/>
  <c r="N19" i="63" s="1"/>
  <c r="J19" i="63"/>
  <c r="I19" i="63"/>
  <c r="L19" i="63" s="1"/>
  <c r="K18" i="63"/>
  <c r="N18" i="63" s="1"/>
  <c r="M30" i="33" s="1"/>
  <c r="J18" i="63"/>
  <c r="M18" i="63" s="1"/>
  <c r="F30" i="33" s="1"/>
  <c r="I18" i="63"/>
  <c r="L18" i="63" s="1"/>
  <c r="N14" i="63"/>
  <c r="L18" i="45" s="1"/>
  <c r="M13" i="63"/>
  <c r="M12" i="63"/>
  <c r="M11" i="63"/>
  <c r="N3" i="63"/>
  <c r="C34" i="62"/>
  <c r="E31" i="62"/>
  <c r="C31" i="62" s="1"/>
  <c r="D4" i="8" s="1"/>
  <c r="C8" i="62"/>
  <c r="D22" i="40" s="1"/>
  <c r="C7" i="62"/>
  <c r="D6" i="62"/>
  <c r="E4" i="62"/>
  <c r="C4"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9" i="61"/>
  <c r="D48" i="61"/>
  <c r="D47" i="61"/>
  <c r="D50"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c r="F10" i="54"/>
  <c r="K8" i="54"/>
  <c r="J8" i="54"/>
  <c r="G8" i="54"/>
  <c r="F8" i="54"/>
  <c r="L10" i="54" s="1"/>
  <c r="R10" i="54" s="1"/>
  <c r="R2" i="54"/>
  <c r="P2" i="54" a="1"/>
  <c r="P2" i="54"/>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H51" i="51"/>
  <c r="I50" i="51"/>
  <c r="H50" i="51"/>
  <c r="G50" i="51"/>
  <c r="I49" i="51"/>
  <c r="H49" i="51"/>
  <c r="G49" i="51"/>
  <c r="I48" i="51"/>
  <c r="H48" i="51"/>
  <c r="F29" i="51" s="1"/>
  <c r="G48" i="51"/>
  <c r="I47" i="51"/>
  <c r="H47" i="51"/>
  <c r="G47" i="51"/>
  <c r="I46" i="51"/>
  <c r="K45" i="51"/>
  <c r="J45" i="51"/>
  <c r="E5" i="2" s="1"/>
  <c r="I45" i="51"/>
  <c r="G44" i="51"/>
  <c r="H46" i="51" s="1"/>
  <c r="G36" i="51"/>
  <c r="F36" i="51"/>
  <c r="F32" i="51"/>
  <c r="L5" i="51"/>
  <c r="L6" i="51" s="1"/>
  <c r="L4" i="51"/>
  <c r="L3" i="51"/>
  <c r="O14" i="50"/>
  <c r="M14" i="50"/>
  <c r="K14" i="50"/>
  <c r="I14" i="50"/>
  <c r="G14" i="50"/>
  <c r="G11" i="50"/>
  <c r="G10" i="50"/>
  <c r="G9" i="50"/>
  <c r="D6" i="50"/>
  <c r="E13" i="49"/>
  <c r="H12" i="49"/>
  <c r="E12" i="49"/>
  <c r="D6" i="49"/>
  <c r="G327" i="48"/>
  <c r="G297" i="48"/>
  <c r="F297" i="48"/>
  <c r="F269" i="48"/>
  <c r="F266" i="48"/>
  <c r="G233" i="48"/>
  <c r="F208" i="48"/>
  <c r="G205" i="48"/>
  <c r="F175" i="48"/>
  <c r="F147" i="48"/>
  <c r="G117" i="48"/>
  <c r="M87" i="48"/>
  <c r="G87" i="48"/>
  <c r="F54" i="48"/>
  <c r="F24" i="48"/>
  <c r="F23" i="48"/>
  <c r="G17" i="48"/>
  <c r="F17" i="48"/>
  <c r="G16" i="48"/>
  <c r="F16" i="48"/>
  <c r="N7" i="48"/>
  <c r="N4" i="48"/>
  <c r="N1" i="48"/>
  <c r="E24" i="47"/>
  <c r="D15" i="47"/>
  <c r="G14" i="46"/>
  <c r="E13" i="46"/>
  <c r="D6" i="46"/>
  <c r="F21" i="45"/>
  <c r="K19" i="45"/>
  <c r="J19" i="45"/>
  <c r="I19" i="45"/>
  <c r="H19" i="45"/>
  <c r="G19" i="45"/>
  <c r="F19" i="45"/>
  <c r="E17" i="45"/>
  <c r="E16" i="45"/>
  <c r="E15" i="45"/>
  <c r="K14" i="45"/>
  <c r="J14" i="45"/>
  <c r="I14" i="45"/>
  <c r="H14" i="45"/>
  <c r="G14" i="45"/>
  <c r="H11" i="45"/>
  <c r="G11" i="45"/>
  <c r="G10" i="45"/>
  <c r="G9" i="45"/>
  <c r="D6" i="45"/>
  <c r="F2" i="45"/>
  <c r="F21" i="44"/>
  <c r="F6" i="44"/>
  <c r="U58" i="43"/>
  <c r="I58" i="43"/>
  <c r="H58" i="43" s="1"/>
  <c r="K57" i="43"/>
  <c r="H57" i="43"/>
  <c r="K56" i="43"/>
  <c r="H56" i="43"/>
  <c r="K55" i="43"/>
  <c r="H55" i="43"/>
  <c r="AB54" i="43"/>
  <c r="AA54" i="43"/>
  <c r="Z54" i="43"/>
  <c r="Y54" i="43"/>
  <c r="X54" i="43"/>
  <c r="W54" i="43"/>
  <c r="V54" i="43"/>
  <c r="U54" i="43"/>
  <c r="T54" i="43"/>
  <c r="S54" i="43"/>
  <c r="R54" i="43"/>
  <c r="Q54" i="43"/>
  <c r="P54" i="43"/>
  <c r="O54" i="43"/>
  <c r="N54" i="43"/>
  <c r="M54" i="43"/>
  <c r="L54" i="43"/>
  <c r="I54" i="43"/>
  <c r="H54" i="43" s="1"/>
  <c r="K53" i="43"/>
  <c r="H53" i="43"/>
  <c r="K52" i="43"/>
  <c r="H52" i="43"/>
  <c r="K51" i="43"/>
  <c r="H51" i="43"/>
  <c r="K50" i="43"/>
  <c r="H50" i="43"/>
  <c r="AB49" i="43"/>
  <c r="AA49" i="43"/>
  <c r="Z49" i="43"/>
  <c r="Y49" i="43"/>
  <c r="X49" i="43"/>
  <c r="W49" i="43"/>
  <c r="V49" i="43"/>
  <c r="U49" i="43"/>
  <c r="T49" i="43"/>
  <c r="S49" i="43"/>
  <c r="R49" i="43"/>
  <c r="Q49" i="43"/>
  <c r="P49" i="43"/>
  <c r="O49" i="43"/>
  <c r="O48" i="43" s="1"/>
  <c r="N49" i="43"/>
  <c r="M49" i="43"/>
  <c r="L49" i="43"/>
  <c r="K49" i="43"/>
  <c r="I49" i="43"/>
  <c r="H49" i="43" s="1"/>
  <c r="AA48" i="43"/>
  <c r="Z48" i="43"/>
  <c r="Y48" i="43"/>
  <c r="W48" i="43"/>
  <c r="V48" i="43"/>
  <c r="U48" i="43"/>
  <c r="S48" i="43"/>
  <c r="R48" i="43"/>
  <c r="Q48" i="43"/>
  <c r="N48" i="43"/>
  <c r="M48" i="43"/>
  <c r="I48" i="43"/>
  <c r="H48" i="43" s="1"/>
  <c r="K47" i="43"/>
  <c r="H47" i="43"/>
  <c r="K46" i="43"/>
  <c r="H46" i="43"/>
  <c r="K45" i="43"/>
  <c r="H45" i="43"/>
  <c r="AB44" i="43"/>
  <c r="AA44" i="43"/>
  <c r="Z44" i="43"/>
  <c r="Y44" i="43"/>
  <c r="X44" i="43"/>
  <c r="W44" i="43"/>
  <c r="V44" i="43"/>
  <c r="U44" i="43"/>
  <c r="T44" i="43"/>
  <c r="S44" i="43"/>
  <c r="R44" i="43"/>
  <c r="Q44" i="43"/>
  <c r="P44" i="43"/>
  <c r="O44" i="43"/>
  <c r="N44" i="43"/>
  <c r="M44" i="43"/>
  <c r="L44" i="43"/>
  <c r="K44" i="43" s="1"/>
  <c r="I44" i="43"/>
  <c r="H44" i="43" s="1"/>
  <c r="K43" i="43"/>
  <c r="H43" i="43"/>
  <c r="K42" i="43"/>
  <c r="H42" i="43"/>
  <c r="K41" i="43"/>
  <c r="H41" i="43"/>
  <c r="K40" i="43"/>
  <c r="H40" i="43"/>
  <c r="AB39" i="43"/>
  <c r="AA39" i="43"/>
  <c r="Z39" i="43"/>
  <c r="Z38" i="43" s="1"/>
  <c r="Z58" i="43" s="1"/>
  <c r="Y39" i="43"/>
  <c r="X39" i="43"/>
  <c r="W39" i="43"/>
  <c r="V39" i="43"/>
  <c r="V38" i="43" s="1"/>
  <c r="V58" i="43" s="1"/>
  <c r="U39" i="43"/>
  <c r="T39" i="43"/>
  <c r="S39" i="43"/>
  <c r="R39" i="43"/>
  <c r="R38" i="43" s="1"/>
  <c r="R58" i="43" s="1"/>
  <c r="Q39" i="43"/>
  <c r="P39" i="43"/>
  <c r="O39" i="43"/>
  <c r="N39" i="43"/>
  <c r="M39" i="43"/>
  <c r="L39" i="43"/>
  <c r="I39" i="43"/>
  <c r="I38" i="43" s="1"/>
  <c r="H38" i="43" s="1"/>
  <c r="H39" i="43"/>
  <c r="AA38" i="43"/>
  <c r="Y38" i="43"/>
  <c r="Y58" i="43" s="1"/>
  <c r="W38" i="43"/>
  <c r="U38" i="43"/>
  <c r="S38" i="43"/>
  <c r="Q38" i="43"/>
  <c r="Q58" i="43" s="1"/>
  <c r="O38" i="43"/>
  <c r="N38" i="43"/>
  <c r="N58" i="43" s="1"/>
  <c r="M38" i="43"/>
  <c r="M58" i="43" s="1"/>
  <c r="AB36" i="43"/>
  <c r="T36" i="43"/>
  <c r="L36" i="43"/>
  <c r="K35" i="43"/>
  <c r="H35" i="43"/>
  <c r="K34" i="43"/>
  <c r="H34" i="43"/>
  <c r="K33" i="43"/>
  <c r="H33" i="43"/>
  <c r="AB32" i="43"/>
  <c r="AA32" i="43"/>
  <c r="Z32" i="43"/>
  <c r="Y32" i="43"/>
  <c r="X32" i="43"/>
  <c r="W32" i="43"/>
  <c r="V32" i="43"/>
  <c r="U32" i="43"/>
  <c r="T32" i="43"/>
  <c r="S32" i="43"/>
  <c r="R32" i="43"/>
  <c r="Q32" i="43"/>
  <c r="P32" i="43"/>
  <c r="O32" i="43"/>
  <c r="N32" i="43"/>
  <c r="K32" i="43" s="1"/>
  <c r="M32" i="43"/>
  <c r="L32" i="43"/>
  <c r="I32" i="43"/>
  <c r="H32" i="43" s="1"/>
  <c r="K31" i="43"/>
  <c r="H31" i="43"/>
  <c r="K30" i="43"/>
  <c r="H30" i="43"/>
  <c r="K29" i="43"/>
  <c r="H29" i="43"/>
  <c r="AB28" i="43"/>
  <c r="AA28" i="43"/>
  <c r="Z28" i="43"/>
  <c r="Y28" i="43"/>
  <c r="X28" i="43"/>
  <c r="X36" i="43" s="1"/>
  <c r="W28" i="43"/>
  <c r="V28" i="43"/>
  <c r="U28" i="43"/>
  <c r="T28" i="43"/>
  <c r="S28" i="43"/>
  <c r="R28" i="43"/>
  <c r="R36" i="43" s="1"/>
  <c r="Q28" i="43"/>
  <c r="P28" i="43"/>
  <c r="O28" i="43"/>
  <c r="N28" i="43"/>
  <c r="M28" i="43"/>
  <c r="L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AB15" i="43"/>
  <c r="AA15" i="43"/>
  <c r="AA36" i="43" s="1"/>
  <c r="Z15" i="43"/>
  <c r="Y15" i="43"/>
  <c r="Y36" i="43" s="1"/>
  <c r="X15" i="43"/>
  <c r="W15" i="43"/>
  <c r="W36" i="43" s="1"/>
  <c r="V15" i="43"/>
  <c r="U15" i="43"/>
  <c r="U36" i="43" s="1"/>
  <c r="T15" i="43"/>
  <c r="S15" i="43"/>
  <c r="S36" i="43" s="1"/>
  <c r="R15" i="43"/>
  <c r="Q15" i="43"/>
  <c r="Q36" i="43" s="1"/>
  <c r="P15" i="43"/>
  <c r="P36" i="43" s="1"/>
  <c r="O15" i="43"/>
  <c r="O36" i="43" s="1"/>
  <c r="N15" i="43"/>
  <c r="M15" i="43"/>
  <c r="M36" i="43" s="1"/>
  <c r="L15" i="43"/>
  <c r="I15" i="43"/>
  <c r="H15" i="43"/>
  <c r="K11" i="43"/>
  <c r="H11" i="43"/>
  <c r="F6" i="43"/>
  <c r="AD1012" i="42"/>
  <c r="AD1007" i="42"/>
  <c r="AD1002" i="42"/>
  <c r="AD991" i="42"/>
  <c r="AD986" i="42"/>
  <c r="AD975" i="42"/>
  <c r="AD970" i="42"/>
  <c r="AD965" i="42"/>
  <c r="AD954" i="42"/>
  <c r="AD953" i="42"/>
  <c r="AD952" i="42"/>
  <c r="AD947" i="42"/>
  <c r="AD946" i="42"/>
  <c r="AD945" i="42"/>
  <c r="AD940" i="42"/>
  <c r="AD939" i="42"/>
  <c r="AD938" i="42"/>
  <c r="AD933" i="42"/>
  <c r="AD932" i="42"/>
  <c r="AD931" i="42"/>
  <c r="AD926" i="42"/>
  <c r="AD925" i="42"/>
  <c r="AD924" i="42"/>
  <c r="AD919" i="42"/>
  <c r="AD918" i="42"/>
  <c r="AD917" i="42"/>
  <c r="AD912" i="42"/>
  <c r="AD911" i="42"/>
  <c r="AD910" i="42"/>
  <c r="AD899" i="42"/>
  <c r="AD898" i="42"/>
  <c r="AD893" i="42"/>
  <c r="AD892" i="42"/>
  <c r="AD887" i="42"/>
  <c r="AD886" i="42"/>
  <c r="AD881" i="42"/>
  <c r="AD880" i="42"/>
  <c r="AD875" i="42"/>
  <c r="AD874" i="42"/>
  <c r="AD869" i="42"/>
  <c r="AD868" i="42"/>
  <c r="AD863" i="42"/>
  <c r="AD862" i="42"/>
  <c r="AD851" i="42"/>
  <c r="AD846" i="42"/>
  <c r="AD841" i="42"/>
  <c r="AD836" i="42"/>
  <c r="AD831" i="42"/>
  <c r="AD820" i="42"/>
  <c r="AD815" i="42"/>
  <c r="AD810" i="42"/>
  <c r="AD805" i="42"/>
  <c r="AD800" i="42"/>
  <c r="AD795" i="42"/>
  <c r="AD790" i="42"/>
  <c r="AD785" i="42"/>
  <c r="AD780" i="42"/>
  <c r="AD775" i="42"/>
  <c r="AD770" i="42"/>
  <c r="AD765" i="42"/>
  <c r="AD760" i="42"/>
  <c r="AD755" i="42"/>
  <c r="AD744" i="42"/>
  <c r="AD743" i="42"/>
  <c r="AD742" i="42"/>
  <c r="AD737" i="42"/>
  <c r="AD736" i="42"/>
  <c r="AD735" i="42"/>
  <c r="AD730" i="42"/>
  <c r="AD729" i="42"/>
  <c r="AD728" i="42"/>
  <c r="AD723" i="42"/>
  <c r="AD722" i="42"/>
  <c r="AD721" i="42"/>
  <c r="AD716" i="42"/>
  <c r="AD715" i="42"/>
  <c r="AD714" i="42"/>
  <c r="AD709" i="42"/>
  <c r="AD708" i="42"/>
  <c r="AD703" i="42"/>
  <c r="AD702" i="42"/>
  <c r="AD697" i="42"/>
  <c r="AD696" i="42"/>
  <c r="AD691" i="42"/>
  <c r="AD690" i="42"/>
  <c r="AD685" i="42"/>
  <c r="AD684" i="42"/>
  <c r="AD679" i="42"/>
  <c r="AD678" i="42"/>
  <c r="AD673" i="42"/>
  <c r="AD672" i="42"/>
  <c r="AD667" i="42"/>
  <c r="AD666" i="42"/>
  <c r="AD661" i="42"/>
  <c r="AD660" i="42"/>
  <c r="AD655" i="42"/>
  <c r="AD654" i="42"/>
  <c r="AD649" i="42"/>
  <c r="AD648" i="42"/>
  <c r="AD643" i="42"/>
  <c r="AD642" i="42"/>
  <c r="AD637" i="42"/>
  <c r="AD636" i="42"/>
  <c r="AD631" i="42"/>
  <c r="AD630" i="42"/>
  <c r="AD625" i="42"/>
  <c r="AD624" i="42"/>
  <c r="AD619" i="42"/>
  <c r="AD618" i="42"/>
  <c r="AD613" i="42"/>
  <c r="AD612" i="42"/>
  <c r="AD607" i="42"/>
  <c r="AD606" i="42"/>
  <c r="AD601" i="42"/>
  <c r="AD600" i="42"/>
  <c r="AD595" i="42"/>
  <c r="AD594" i="42"/>
  <c r="AD593" i="42"/>
  <c r="AD588" i="42"/>
  <c r="AD587" i="42"/>
  <c r="AD586" i="42"/>
  <c r="AD581" i="42"/>
  <c r="AD580" i="42"/>
  <c r="AD579" i="42"/>
  <c r="AD574" i="42"/>
  <c r="AD573" i="42"/>
  <c r="AD572" i="42"/>
  <c r="AD567" i="42"/>
  <c r="AD562" i="42"/>
  <c r="AD561" i="42"/>
  <c r="AD560" i="42"/>
  <c r="AE549" i="42"/>
  <c r="AD549" i="42"/>
  <c r="AE544" i="42"/>
  <c r="AD544" i="42"/>
  <c r="AE539" i="42"/>
  <c r="AD539" i="42"/>
  <c r="AE534" i="42"/>
  <c r="AD534" i="42"/>
  <c r="AE529" i="42"/>
  <c r="AD529" i="42"/>
  <c r="AE524" i="42"/>
  <c r="AD524" i="42"/>
  <c r="AE519" i="42"/>
  <c r="AD519" i="42"/>
  <c r="AE514" i="42"/>
  <c r="AD514" i="42"/>
  <c r="AE509" i="42"/>
  <c r="AD509" i="42"/>
  <c r="AE504" i="42"/>
  <c r="AD504" i="42"/>
  <c r="AE499" i="42"/>
  <c r="AD499" i="42"/>
  <c r="AE498" i="42"/>
  <c r="AD498" i="42"/>
  <c r="AE493" i="42"/>
  <c r="AD493" i="42"/>
  <c r="AE488" i="42"/>
  <c r="AD488" i="42"/>
  <c r="AE477" i="42"/>
  <c r="AD477" i="42"/>
  <c r="AE476" i="42"/>
  <c r="AD476" i="42"/>
  <c r="AE471" i="42"/>
  <c r="AD471" i="42"/>
  <c r="AE470" i="42"/>
  <c r="AD470" i="42"/>
  <c r="AE465" i="42"/>
  <c r="AD465" i="42"/>
  <c r="AE464" i="42"/>
  <c r="AD464" i="42"/>
  <c r="AE459" i="42"/>
  <c r="AD459" i="42"/>
  <c r="AE458" i="42"/>
  <c r="AD458" i="42"/>
  <c r="AE453" i="42"/>
  <c r="AD453" i="42"/>
  <c r="AE448" i="42"/>
  <c r="AD448" i="42"/>
  <c r="AE447" i="42"/>
  <c r="AD447" i="42"/>
  <c r="AE442" i="42"/>
  <c r="AD442" i="42"/>
  <c r="AE441" i="42"/>
  <c r="AD441" i="42"/>
  <c r="AE436" i="42"/>
  <c r="AD436" i="42"/>
  <c r="AE435" i="42"/>
  <c r="AD435" i="42"/>
  <c r="AE430" i="42"/>
  <c r="AD430" i="42"/>
  <c r="AE429" i="42"/>
  <c r="AD429" i="42"/>
  <c r="AE424" i="42"/>
  <c r="AD424" i="42"/>
  <c r="AE423" i="42"/>
  <c r="AD423" i="42"/>
  <c r="AE418" i="42"/>
  <c r="AD418" i="42"/>
  <c r="AE417" i="42"/>
  <c r="AD417" i="42"/>
  <c r="AE412" i="42"/>
  <c r="AD412" i="42"/>
  <c r="AE411" i="42"/>
  <c r="AD411" i="42"/>
  <c r="AE406" i="42"/>
  <c r="AD406" i="42"/>
  <c r="AE405" i="42"/>
  <c r="AD405" i="42"/>
  <c r="AE400" i="42"/>
  <c r="AD400" i="42"/>
  <c r="AE399" i="42"/>
  <c r="AD399" i="42"/>
  <c r="AE388" i="42"/>
  <c r="AD388" i="42"/>
  <c r="AE383" i="42"/>
  <c r="AD383" i="42"/>
  <c r="AE378" i="42"/>
  <c r="AD378" i="42"/>
  <c r="AE373" i="42"/>
  <c r="AD373" i="42"/>
  <c r="AE368" i="42"/>
  <c r="AD368" i="42"/>
  <c r="AE363" i="42"/>
  <c r="AD363" i="42"/>
  <c r="AE358" i="42"/>
  <c r="AD358" i="42"/>
  <c r="AE353" i="42"/>
  <c r="AD353" i="42"/>
  <c r="AE348" i="42"/>
  <c r="AD348" i="42"/>
  <c r="AE343" i="42"/>
  <c r="AD343" i="42"/>
  <c r="AE338" i="42"/>
  <c r="AD338" i="42"/>
  <c r="AE327" i="42"/>
  <c r="AD327" i="42"/>
  <c r="AE322" i="42"/>
  <c r="AD322" i="42"/>
  <c r="AE317" i="42"/>
  <c r="AD317" i="42"/>
  <c r="AE312" i="42"/>
  <c r="AD312" i="42"/>
  <c r="AE307" i="42"/>
  <c r="AD307" i="42"/>
  <c r="AE302" i="42"/>
  <c r="AD302" i="42"/>
  <c r="AE297" i="42"/>
  <c r="AD297" i="42"/>
  <c r="AE292" i="42"/>
  <c r="AD292" i="42"/>
  <c r="AE287" i="42"/>
  <c r="AD287" i="42"/>
  <c r="AE282" i="42"/>
  <c r="AD282" i="42"/>
  <c r="AE277" i="42"/>
  <c r="AD277" i="42"/>
  <c r="AE272" i="42"/>
  <c r="AD272" i="42"/>
  <c r="AE267" i="42"/>
  <c r="AD267" i="42"/>
  <c r="AE262" i="42"/>
  <c r="AD262" i="42"/>
  <c r="AE257" i="42"/>
  <c r="AD257" i="42"/>
  <c r="AE252" i="42"/>
  <c r="AD252" i="42"/>
  <c r="AE247" i="42"/>
  <c r="AD247" i="42"/>
  <c r="AE236" i="42"/>
  <c r="AD236" i="42"/>
  <c r="AE231" i="42"/>
  <c r="AD231" i="42"/>
  <c r="AE226" i="42"/>
  <c r="AD226" i="42"/>
  <c r="AE221" i="42"/>
  <c r="AD221" i="42"/>
  <c r="AE216" i="42"/>
  <c r="AD216" i="42"/>
  <c r="AE211" i="42"/>
  <c r="AD211" i="42"/>
  <c r="AE206" i="42"/>
  <c r="AD206" i="42"/>
  <c r="AE201" i="42"/>
  <c r="AD201" i="42"/>
  <c r="AE196" i="42"/>
  <c r="AD196" i="42"/>
  <c r="AE191" i="42"/>
  <c r="AD191" i="42"/>
  <c r="AE186" i="42"/>
  <c r="AD186" i="42"/>
  <c r="AE181" i="42"/>
  <c r="AD181" i="42"/>
  <c r="AE176" i="42"/>
  <c r="AD176" i="42"/>
  <c r="AE171" i="42"/>
  <c r="AD171" i="42"/>
  <c r="AE166" i="42"/>
  <c r="AD166" i="42"/>
  <c r="AE155" i="42"/>
  <c r="AD155" i="42"/>
  <c r="AE150" i="42"/>
  <c r="AD150" i="42"/>
  <c r="AE145" i="42"/>
  <c r="AD145" i="42"/>
  <c r="AE140" i="42"/>
  <c r="AD140" i="42"/>
  <c r="AE135" i="42"/>
  <c r="AD135" i="42"/>
  <c r="AE130" i="42"/>
  <c r="AD130" i="42"/>
  <c r="AE125" i="42"/>
  <c r="AD125" i="42"/>
  <c r="AE120" i="42"/>
  <c r="AD120" i="42"/>
  <c r="AE115" i="42"/>
  <c r="AD115" i="42"/>
  <c r="AE110" i="42"/>
  <c r="AD110" i="42"/>
  <c r="AE105" i="42"/>
  <c r="AD105" i="42"/>
  <c r="AE94" i="42"/>
  <c r="AD94" i="42"/>
  <c r="AE83" i="42"/>
  <c r="AD83" i="42"/>
  <c r="AE78" i="42"/>
  <c r="AD78" i="42"/>
  <c r="AE73" i="42"/>
  <c r="AD73" i="42"/>
  <c r="AE68" i="42"/>
  <c r="AD68" i="42"/>
  <c r="AE63" i="42"/>
  <c r="AD63" i="42"/>
  <c r="AE58" i="42"/>
  <c r="AD58" i="42"/>
  <c r="AE53" i="42"/>
  <c r="AD53" i="42"/>
  <c r="AE42" i="42"/>
  <c r="AD42" i="42"/>
  <c r="AE37" i="42"/>
  <c r="AD37" i="42"/>
  <c r="AE32" i="42"/>
  <c r="AD32" i="42"/>
  <c r="AE27" i="42"/>
  <c r="AD27" i="42"/>
  <c r="AE22" i="42"/>
  <c r="AD22" i="42"/>
  <c r="F14" i="42"/>
  <c r="F6" i="42"/>
  <c r="H17" i="41"/>
  <c r="P13" i="41"/>
  <c r="F6" i="41"/>
  <c r="K28" i="40"/>
  <c r="G28" i="40"/>
  <c r="G27" i="40"/>
  <c r="G26" i="40"/>
  <c r="D23" i="40"/>
  <c r="D14" i="40"/>
  <c r="D13" i="40"/>
  <c r="D11" i="40"/>
  <c r="D10" i="40"/>
  <c r="D9" i="40"/>
  <c r="D7" i="40"/>
  <c r="D6" i="40"/>
  <c r="D4" i="40"/>
  <c r="D3" i="40"/>
  <c r="P12" i="39"/>
  <c r="O12" i="39"/>
  <c r="N12" i="39"/>
  <c r="M12" i="39"/>
  <c r="L12" i="39"/>
  <c r="K12" i="39"/>
  <c r="J12" i="39"/>
  <c r="I12" i="39"/>
  <c r="H12" i="39"/>
  <c r="G12" i="39"/>
  <c r="G9" i="39"/>
  <c r="M8" i="39"/>
  <c r="G8" i="39"/>
  <c r="G7" i="39"/>
  <c r="D4" i="39"/>
  <c r="D3" i="39"/>
  <c r="E28" i="38"/>
  <c r="L27" i="38"/>
  <c r="L16" i="38" s="1"/>
  <c r="K27" i="38"/>
  <c r="J27" i="38"/>
  <c r="I27" i="38"/>
  <c r="H27" i="38"/>
  <c r="H16" i="38" s="1"/>
  <c r="K16" i="38"/>
  <c r="J16" i="38"/>
  <c r="I16" i="38"/>
  <c r="H12" i="38"/>
  <c r="H11" i="38"/>
  <c r="H10" i="38"/>
  <c r="E7" i="38"/>
  <c r="E33" i="37"/>
  <c r="L32" i="37"/>
  <c r="L16" i="37" s="1"/>
  <c r="K32" i="37"/>
  <c r="K16" i="37" s="1"/>
  <c r="J32" i="37"/>
  <c r="I32" i="37"/>
  <c r="H32" i="37"/>
  <c r="J16" i="37"/>
  <c r="I16" i="37"/>
  <c r="H16" i="37"/>
  <c r="H12" i="37"/>
  <c r="K11" i="37"/>
  <c r="H11" i="37"/>
  <c r="H10" i="37"/>
  <c r="E7" i="37"/>
  <c r="I6" i="36"/>
  <c r="F2" i="36"/>
  <c r="E2" i="36"/>
  <c r="L12" i="35"/>
  <c r="L11" i="35"/>
  <c r="L10" i="35"/>
  <c r="I7" i="35"/>
  <c r="P3" i="35"/>
  <c r="O3" i="35"/>
  <c r="N3" i="35"/>
  <c r="L3" i="35"/>
  <c r="F2" i="35"/>
  <c r="E2" i="35"/>
  <c r="Q47" i="34"/>
  <c r="Q44" i="34"/>
  <c r="Q38" i="34"/>
  <c r="Q35" i="34"/>
  <c r="Q29" i="34"/>
  <c r="Q26" i="34"/>
  <c r="V20" i="34"/>
  <c r="Q20" i="34"/>
  <c r="V17" i="34"/>
  <c r="Q17" i="34"/>
  <c r="E6" i="34"/>
  <c r="E5" i="34"/>
  <c r="F136" i="33"/>
  <c r="M135" i="33"/>
  <c r="F135" i="33"/>
  <c r="F134" i="33"/>
  <c r="M133" i="33"/>
  <c r="F133" i="33"/>
  <c r="F132" i="33"/>
  <c r="E130" i="33"/>
  <c r="M129" i="33"/>
  <c r="F129" i="33"/>
  <c r="E127" i="33"/>
  <c r="M126" i="33"/>
  <c r="F123" i="33"/>
  <c r="M122" i="33"/>
  <c r="E122" i="33"/>
  <c r="M121" i="33"/>
  <c r="M120" i="33"/>
  <c r="E120" i="33"/>
  <c r="F119" i="33"/>
  <c r="E118" i="33"/>
  <c r="M117" i="33"/>
  <c r="M115" i="33"/>
  <c r="F115" i="33"/>
  <c r="M114" i="33"/>
  <c r="E114" i="33"/>
  <c r="M113" i="33"/>
  <c r="F113" i="33"/>
  <c r="E112" i="33"/>
  <c r="M111" i="33"/>
  <c r="F111" i="33"/>
  <c r="F110" i="33"/>
  <c r="M109" i="33"/>
  <c r="F109" i="33"/>
  <c r="E109" i="33"/>
  <c r="F108" i="33"/>
  <c r="E108" i="33"/>
  <c r="F105" i="33"/>
  <c r="E105" i="33"/>
  <c r="E106" i="33" s="1"/>
  <c r="M104" i="33"/>
  <c r="E104" i="33"/>
  <c r="M103" i="33"/>
  <c r="F103" i="33"/>
  <c r="M102" i="33"/>
  <c r="F101" i="33"/>
  <c r="E101" i="33"/>
  <c r="E100" i="33"/>
  <c r="M99" i="33"/>
  <c r="F99" i="33"/>
  <c r="F98" i="33"/>
  <c r="E98" i="33"/>
  <c r="F97" i="33"/>
  <c r="E97" i="33"/>
  <c r="M96" i="33"/>
  <c r="E96" i="33"/>
  <c r="M95" i="33"/>
  <c r="F95" i="33"/>
  <c r="F94" i="33"/>
  <c r="E94" i="33"/>
  <c r="M93" i="33"/>
  <c r="L93" i="33"/>
  <c r="K93" i="33"/>
  <c r="J93" i="33"/>
  <c r="I93" i="33"/>
  <c r="H93" i="33"/>
  <c r="F93" i="33"/>
  <c r="E93" i="33"/>
  <c r="F92" i="33"/>
  <c r="E92" i="33"/>
  <c r="M91" i="33"/>
  <c r="F91" i="33"/>
  <c r="E91" i="33"/>
  <c r="F90" i="33"/>
  <c r="E90" i="33"/>
  <c r="M89" i="33"/>
  <c r="F89" i="33"/>
  <c r="E89" i="33"/>
  <c r="F88" i="33"/>
  <c r="M87" i="33"/>
  <c r="E87" i="33"/>
  <c r="M86" i="33"/>
  <c r="F86" i="33"/>
  <c r="M85" i="33"/>
  <c r="F85" i="33"/>
  <c r="E85" i="33"/>
  <c r="F84" i="33"/>
  <c r="E84" i="33"/>
  <c r="M83" i="33"/>
  <c r="E83" i="33"/>
  <c r="M82" i="33"/>
  <c r="F82" i="33"/>
  <c r="E82" i="33"/>
  <c r="M81" i="33"/>
  <c r="F81" i="33"/>
  <c r="E81" i="33"/>
  <c r="F80" i="33"/>
  <c r="E80" i="33"/>
  <c r="M79" i="33"/>
  <c r="E79" i="33"/>
  <c r="M78" i="33"/>
  <c r="F78" i="33"/>
  <c r="E78" i="33"/>
  <c r="E74" i="33"/>
  <c r="E72" i="33"/>
  <c r="N69" i="33"/>
  <c r="M69" i="33"/>
  <c r="L69" i="33"/>
  <c r="K69" i="33"/>
  <c r="J69" i="33"/>
  <c r="I69" i="33"/>
  <c r="H69" i="33"/>
  <c r="E69" i="33"/>
  <c r="O68" i="33"/>
  <c r="N68" i="33"/>
  <c r="E68" i="33"/>
  <c r="N67" i="33"/>
  <c r="F67" i="33"/>
  <c r="E67" i="33"/>
  <c r="M66" i="33"/>
  <c r="O66" i="33" s="1"/>
  <c r="F66" i="33"/>
  <c r="E66" i="33"/>
  <c r="N66" i="33" s="1"/>
  <c r="M65" i="33"/>
  <c r="F65" i="33"/>
  <c r="E65" i="33"/>
  <c r="N65" i="33" s="1"/>
  <c r="F64" i="33"/>
  <c r="E64" i="33"/>
  <c r="N64" i="33" s="1"/>
  <c r="M63" i="33"/>
  <c r="M62" i="33"/>
  <c r="F62" i="33"/>
  <c r="E62" i="33"/>
  <c r="N62" i="33" s="1"/>
  <c r="M61" i="33"/>
  <c r="F61" i="33"/>
  <c r="E61" i="33"/>
  <c r="N61" i="33" s="1"/>
  <c r="M60" i="33"/>
  <c r="F60" i="33"/>
  <c r="E60" i="33"/>
  <c r="N60" i="33" s="1"/>
  <c r="M59" i="33"/>
  <c r="F59" i="33"/>
  <c r="E59" i="33"/>
  <c r="N59" i="33" s="1"/>
  <c r="M58" i="33"/>
  <c r="F58" i="33"/>
  <c r="F57" i="33"/>
  <c r="E57" i="33"/>
  <c r="N57" i="33" s="1"/>
  <c r="M56" i="33"/>
  <c r="F56" i="33"/>
  <c r="E56" i="33"/>
  <c r="N56" i="33" s="1"/>
  <c r="M55" i="33"/>
  <c r="E55" i="33"/>
  <c r="N55" i="33" s="1"/>
  <c r="M54" i="33"/>
  <c r="F54" i="33"/>
  <c r="F53" i="33"/>
  <c r="E53" i="33"/>
  <c r="N53" i="33" s="1"/>
  <c r="M52" i="33"/>
  <c r="F52" i="33"/>
  <c r="E52" i="33"/>
  <c r="N52" i="33" s="1"/>
  <c r="M51" i="33"/>
  <c r="M50" i="33"/>
  <c r="F50" i="33"/>
  <c r="E50" i="33"/>
  <c r="N50" i="33" s="1"/>
  <c r="M49" i="33"/>
  <c r="F49" i="33"/>
  <c r="E49" i="33"/>
  <c r="N49" i="33" s="1"/>
  <c r="M48" i="33"/>
  <c r="F48" i="33"/>
  <c r="E48" i="33"/>
  <c r="N48" i="33" s="1"/>
  <c r="M47" i="33"/>
  <c r="F47" i="33"/>
  <c r="E47" i="33"/>
  <c r="N47" i="33" s="1"/>
  <c r="M46" i="33"/>
  <c r="F46" i="33"/>
  <c r="E46" i="33"/>
  <c r="N46" i="33" s="1"/>
  <c r="L45" i="33"/>
  <c r="J45" i="33"/>
  <c r="I45" i="33"/>
  <c r="F45" i="33"/>
  <c r="E45" i="33"/>
  <c r="N45" i="33" s="1"/>
  <c r="M44" i="33"/>
  <c r="F44" i="33"/>
  <c r="E44" i="33"/>
  <c r="N44" i="33" s="1"/>
  <c r="N43" i="33"/>
  <c r="F43" i="33"/>
  <c r="E43" i="33"/>
  <c r="N42" i="33"/>
  <c r="M42" i="33"/>
  <c r="F42" i="33"/>
  <c r="E42" i="33"/>
  <c r="N41" i="33"/>
  <c r="F41" i="33"/>
  <c r="E41" i="33"/>
  <c r="N40" i="33"/>
  <c r="N39" i="33"/>
  <c r="N38" i="33"/>
  <c r="N37" i="33"/>
  <c r="N36" i="33"/>
  <c r="N35" i="33"/>
  <c r="N34" i="33"/>
  <c r="L33" i="33"/>
  <c r="K33" i="33"/>
  <c r="J33" i="33"/>
  <c r="I33" i="33"/>
  <c r="H33" i="33"/>
  <c r="F33" i="33"/>
  <c r="F32" i="33"/>
  <c r="E32" i="33"/>
  <c r="N32" i="33" s="1"/>
  <c r="M31" i="33"/>
  <c r="E31" i="33"/>
  <c r="L30" i="33"/>
  <c r="K30" i="33"/>
  <c r="I30" i="33"/>
  <c r="E30" i="33"/>
  <c r="H27" i="33"/>
  <c r="H26" i="33"/>
  <c r="H25" i="33"/>
  <c r="E22" i="33"/>
  <c r="E7" i="33"/>
  <c r="E6" i="33"/>
  <c r="E5" i="33"/>
  <c r="E4"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AD47" i="32"/>
  <c r="BF46" i="32"/>
  <c r="BC46" i="32"/>
  <c r="AD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G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K7" i="30"/>
  <c r="S7" i="30" s="1"/>
  <c r="AV6" i="30"/>
  <c r="AV5" i="30"/>
  <c r="S5" i="30"/>
  <c r="AV4" i="30"/>
  <c r="AG4" i="30"/>
  <c r="S4" i="30"/>
  <c r="I5" i="30" s="1"/>
  <c r="J6" i="30" s="1"/>
  <c r="S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S44" i="28"/>
  <c r="AN43" i="28"/>
  <c r="AN42" i="28"/>
  <c r="AC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S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S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S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S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S46" i="24"/>
  <c r="AN45" i="24"/>
  <c r="J45" i="24"/>
  <c r="K46" i="24" s="1"/>
  <c r="AN44" i="24"/>
  <c r="AN43" i="24"/>
  <c r="AN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S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S7" i="23"/>
  <c r="AN6" i="23"/>
  <c r="J6" i="23"/>
  <c r="K7"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C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S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B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U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S48" i="17"/>
  <c r="AP47" i="17"/>
  <c r="AP46" i="17"/>
  <c r="AP45" i="17"/>
  <c r="AP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D44" i="14"/>
  <c r="S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D46" i="12"/>
  <c r="S46" i="12"/>
  <c r="I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D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J45" i="28" s="1"/>
  <c r="S45" i="28" s="1"/>
  <c r="AO126" i="5"/>
  <c r="S42" i="28" s="1"/>
  <c r="AN126" i="5"/>
  <c r="S41" i="28" s="1"/>
  <c r="AM126" i="5"/>
  <c r="AL126" i="5"/>
  <c r="AC43" i="28" s="1"/>
  <c r="AK126" i="5"/>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J115" i="5"/>
  <c r="AI115" i="5"/>
  <c r="AH115" i="5"/>
  <c r="F135" i="48" s="1"/>
  <c r="AQ110" i="5"/>
  <c r="AP110" i="5"/>
  <c r="S44" i="31" s="1"/>
  <c r="I45" i="31" s="1"/>
  <c r="AO110" i="5"/>
  <c r="S43" i="31" s="1"/>
  <c r="AN110" i="5"/>
  <c r="S42" i="31" s="1"/>
  <c r="AM110" i="5"/>
  <c r="AL110" i="5"/>
  <c r="AG44" i="31" s="1"/>
  <c r="AK110" i="5"/>
  <c r="AG43" i="31" s="1"/>
  <c r="AJ110" i="5"/>
  <c r="G69" i="48" s="1"/>
  <c r="AI110" i="5"/>
  <c r="AH110" i="5"/>
  <c r="AQ105" i="5"/>
  <c r="AP105" i="5"/>
  <c r="S44" i="30" s="1"/>
  <c r="I45" i="30" s="1"/>
  <c r="AO105" i="5"/>
  <c r="S43" i="30" s="1"/>
  <c r="AN105" i="5"/>
  <c r="S42" i="30" s="1"/>
  <c r="AM105" i="5"/>
  <c r="AL105" i="5"/>
  <c r="AK105" i="5"/>
  <c r="AG43" i="30" s="1"/>
  <c r="AJ105" i="5"/>
  <c r="AI105" i="5"/>
  <c r="AH105" i="5"/>
  <c r="F312" i="48" s="1"/>
  <c r="AQ99" i="5"/>
  <c r="AP99" i="5"/>
  <c r="S48" i="26" s="1"/>
  <c r="K52" i="26" s="1"/>
  <c r="S52" i="26" s="1"/>
  <c r="AO99" i="5"/>
  <c r="S47" i="26" s="1"/>
  <c r="AN99" i="5"/>
  <c r="AM99" i="5"/>
  <c r="AL99" i="5"/>
  <c r="AD48" i="26" s="1"/>
  <c r="AK99" i="5"/>
  <c r="AD47" i="26" s="1"/>
  <c r="AJ99" i="5"/>
  <c r="AI99" i="5"/>
  <c r="AH99" i="5"/>
  <c r="AQ94" i="5"/>
  <c r="AP94" i="5"/>
  <c r="S43" i="24" s="1"/>
  <c r="I44" i="24" s="1"/>
  <c r="S44" i="24" s="1"/>
  <c r="AO94" i="5"/>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F181" i="48" s="1"/>
  <c r="AQ84" i="5"/>
  <c r="AP84" i="5"/>
  <c r="S43" i="22" s="1"/>
  <c r="I44" i="22" s="1"/>
  <c r="AO84" i="5"/>
  <c r="S42" i="22" s="1"/>
  <c r="AN84" i="5"/>
  <c r="S41" i="22" s="1"/>
  <c r="AM84" i="5"/>
  <c r="AL84" i="5"/>
  <c r="AK84" i="5"/>
  <c r="AC42" i="22" s="1"/>
  <c r="AJ84" i="5"/>
  <c r="AI84" i="5"/>
  <c r="AH84" i="5"/>
  <c r="AQ79" i="5"/>
  <c r="AP79" i="5"/>
  <c r="S43" i="21" s="1"/>
  <c r="I44" i="21" s="1"/>
  <c r="J45" i="21" s="1"/>
  <c r="S45" i="21" s="1"/>
  <c r="AO79" i="5"/>
  <c r="S42" i="21" s="1"/>
  <c r="AN79" i="5"/>
  <c r="S41" i="21" s="1"/>
  <c r="AM79" i="5"/>
  <c r="AL79" i="5"/>
  <c r="AC43" i="21" s="1"/>
  <c r="AK79" i="5"/>
  <c r="AC42" i="21" s="1"/>
  <c r="AJ79" i="5"/>
  <c r="AI79" i="5"/>
  <c r="AH79" i="5"/>
  <c r="AQ63" i="5"/>
  <c r="S46" i="14" s="1"/>
  <c r="I47" i="14" s="1"/>
  <c r="AP63" i="5"/>
  <c r="S45" i="14" s="1"/>
  <c r="AO63" i="5"/>
  <c r="AN63" i="5"/>
  <c r="S43" i="13" s="1"/>
  <c r="AM63" i="5"/>
  <c r="AD46" i="14" s="1"/>
  <c r="AL63" i="5"/>
  <c r="AD45" i="14" s="1"/>
  <c r="AK63" i="5"/>
  <c r="AD44" i="13" s="1"/>
  <c r="AJ63" i="5"/>
  <c r="AD43" i="13" s="1"/>
  <c r="AI63" i="5"/>
  <c r="AH63" i="5"/>
  <c r="AQ58" i="5"/>
  <c r="S45" i="25" s="1"/>
  <c r="AP58" i="5"/>
  <c r="S44" i="25" s="1"/>
  <c r="AO58" i="5"/>
  <c r="S43" i="25" s="1"/>
  <c r="AN58" i="5"/>
  <c r="AM58" i="5"/>
  <c r="AC45" i="25" s="1"/>
  <c r="AL58" i="5"/>
  <c r="AC44" i="25" s="1"/>
  <c r="AK58" i="5"/>
  <c r="AC43" i="25" s="1"/>
  <c r="AJ58" i="5"/>
  <c r="AI58" i="5"/>
  <c r="AH58" i="5"/>
  <c r="AQ53" i="5"/>
  <c r="S48" i="20" s="1"/>
  <c r="AP53" i="5"/>
  <c r="S47" i="20" s="1"/>
  <c r="AO53" i="5"/>
  <c r="S46" i="20" s="1"/>
  <c r="AN53" i="5"/>
  <c r="S45" i="20" s="1"/>
  <c r="AM53" i="5"/>
  <c r="AB48" i="20" s="1"/>
  <c r="AL53" i="5"/>
  <c r="AK53" i="5"/>
  <c r="AB46" i="20" s="1"/>
  <c r="AJ53" i="5"/>
  <c r="AI53" i="5"/>
  <c r="AH53" i="5"/>
  <c r="AQ48" i="5"/>
  <c r="S46" i="15" s="1"/>
  <c r="I47" i="15" s="1"/>
  <c r="AP48" i="5"/>
  <c r="S45" i="15" s="1"/>
  <c r="AO48" i="5"/>
  <c r="S44" i="15" s="1"/>
  <c r="AN48" i="5"/>
  <c r="S43" i="15" s="1"/>
  <c r="AM48" i="5"/>
  <c r="AL48" i="5"/>
  <c r="AD45" i="15" s="1"/>
  <c r="AK48" i="5"/>
  <c r="AD44" i="15" s="1"/>
  <c r="AJ48" i="5"/>
  <c r="AI48" i="5"/>
  <c r="AH48" i="5"/>
  <c r="AQ43" i="5"/>
  <c r="S46" i="18" s="1"/>
  <c r="J48" i="18" s="1"/>
  <c r="K49" i="18" s="1"/>
  <c r="S49" i="18" s="1"/>
  <c r="AP43" i="5"/>
  <c r="S45" i="18" s="1"/>
  <c r="AO43" i="5"/>
  <c r="AN43" i="5"/>
  <c r="S43" i="18" s="1"/>
  <c r="AM43" i="5"/>
  <c r="AD46" i="18" s="1"/>
  <c r="AL43" i="5"/>
  <c r="AD45" i="18" s="1"/>
  <c r="AK43" i="5"/>
  <c r="AD44" i="18" s="1"/>
  <c r="AJ43" i="5"/>
  <c r="AI43" i="5"/>
  <c r="AH43" i="5"/>
  <c r="F102" i="48" s="1"/>
  <c r="AQ38" i="5"/>
  <c r="S46" i="17" s="1"/>
  <c r="J48" i="17" s="1"/>
  <c r="K49" i="17" s="1"/>
  <c r="S49" i="17" s="1"/>
  <c r="AP38" i="5"/>
  <c r="S45" i="17" s="1"/>
  <c r="AO38" i="5"/>
  <c r="S44" i="17" s="1"/>
  <c r="AN38" i="5"/>
  <c r="AM38" i="5"/>
  <c r="AD46" i="17" s="1"/>
  <c r="AL38" i="5"/>
  <c r="AD45" i="17" s="1"/>
  <c r="AK38" i="5"/>
  <c r="AD44" i="17" s="1"/>
  <c r="AJ38" i="5"/>
  <c r="AI38" i="5"/>
  <c r="AH38" i="5"/>
  <c r="AQ33" i="5"/>
  <c r="U52" i="19" s="1"/>
  <c r="I53" i="19" s="1"/>
  <c r="J54" i="19" s="1"/>
  <c r="AP33" i="5"/>
  <c r="AO33" i="5"/>
  <c r="U50" i="19" s="1"/>
  <c r="AN33" i="5"/>
  <c r="U49" i="19" s="1"/>
  <c r="AM33" i="5"/>
  <c r="AG52" i="19" s="1"/>
  <c r="AL33" i="5"/>
  <c r="AG51" i="19" s="1"/>
  <c r="AK33" i="5"/>
  <c r="AG50" i="19" s="1"/>
  <c r="AJ33" i="5"/>
  <c r="G279" i="48" s="1"/>
  <c r="AI33" i="5"/>
  <c r="AH33" i="5"/>
  <c r="F218" i="48" s="1"/>
  <c r="AQ28" i="5"/>
  <c r="AP28" i="5"/>
  <c r="L21" i="64" s="1"/>
  <c r="AO28" i="5"/>
  <c r="L20" i="64" s="1"/>
  <c r="AN28" i="5"/>
  <c r="L19" i="64" s="1"/>
  <c r="AM28" i="5"/>
  <c r="AL28" i="5"/>
  <c r="O21" i="64" s="1"/>
  <c r="AK28" i="5"/>
  <c r="AJ28" i="5"/>
  <c r="AI28" i="5"/>
  <c r="AH28" i="5"/>
  <c r="AQ23" i="5"/>
  <c r="AP23" i="5"/>
  <c r="AO23" i="5"/>
  <c r="AN23" i="5"/>
  <c r="AM23" i="5"/>
  <c r="AL23" i="5"/>
  <c r="AK23" i="5"/>
  <c r="AJ23" i="5"/>
  <c r="AI23" i="5"/>
  <c r="AH23" i="5"/>
  <c r="AQ18" i="5"/>
  <c r="AP18" i="5"/>
  <c r="S45" i="12" s="1"/>
  <c r="AO18" i="5"/>
  <c r="S44" i="12" s="1"/>
  <c r="AN18" i="5"/>
  <c r="S43" i="12" s="1"/>
  <c r="AM18" i="5"/>
  <c r="AL18" i="5"/>
  <c r="AD45" i="12" s="1"/>
  <c r="AK18" i="5"/>
  <c r="AD44" i="12" s="1"/>
  <c r="AJ18" i="5"/>
  <c r="AI18" i="5"/>
  <c r="AH18" i="5"/>
  <c r="AQ13" i="5"/>
  <c r="S46" i="11" s="1"/>
  <c r="I47" i="11" s="1"/>
  <c r="AP13" i="5"/>
  <c r="S45" i="11" s="1"/>
  <c r="AO13" i="5"/>
  <c r="AN13" i="5"/>
  <c r="AM13" i="5"/>
  <c r="AD46" i="11" s="1"/>
  <c r="AL13" i="5"/>
  <c r="AK13" i="5"/>
  <c r="AJ13" i="5"/>
  <c r="AD43" i="11" s="1"/>
  <c r="AI13" i="5"/>
  <c r="AH13" i="5"/>
  <c r="D6" i="5"/>
  <c r="D5" i="5"/>
  <c r="R21" i="4"/>
  <c r="Q21" i="4"/>
  <c r="I21" i="4"/>
  <c r="E21" i="4"/>
  <c r="P21" i="4" s="1"/>
  <c r="R18" i="4"/>
  <c r="P18" i="4"/>
  <c r="E18" i="4"/>
  <c r="R15" i="4"/>
  <c r="L27" i="33" s="1"/>
  <c r="R13" i="4"/>
  <c r="E13" i="4"/>
  <c r="P15" i="4" s="1"/>
  <c r="E7" i="4"/>
  <c r="D5" i="4"/>
  <c r="O16" i="3"/>
  <c r="M16" i="3" a="1"/>
  <c r="M16" i="3" s="1"/>
  <c r="E16" i="3"/>
  <c r="E15" i="3"/>
  <c r="G15" i="3" s="1"/>
  <c r="I15" i="4" s="1"/>
  <c r="Q15" i="4" s="1"/>
  <c r="O13" i="3"/>
  <c r="M13" i="3" a="1"/>
  <c r="M13" i="3"/>
  <c r="E13" i="3"/>
  <c r="E12" i="3"/>
  <c r="G12" i="3" s="1"/>
  <c r="E4" i="3"/>
  <c r="E41" i="2"/>
  <c r="E31" i="2"/>
  <c r="E27" i="2"/>
  <c r="E26" i="2"/>
  <c r="F25" i="2"/>
  <c r="E22" i="2"/>
  <c r="E21" i="2"/>
  <c r="F20" i="2"/>
  <c r="E19" i="2"/>
  <c r="I9" i="2"/>
  <c r="E3" i="2"/>
  <c r="E2" i="2"/>
  <c r="M10" i="54"/>
  <c r="AL7" i="23"/>
  <c r="M10" i="55"/>
  <c r="AL7" i="21"/>
  <c r="AN49" i="15"/>
  <c r="AT47" i="30"/>
  <c r="AN49" i="12"/>
  <c r="AT7" i="31"/>
  <c r="AN8" i="15"/>
  <c r="AL48" i="25"/>
  <c r="AN8" i="18"/>
  <c r="J13" i="3"/>
  <c r="M2" i="55"/>
  <c r="AR56" i="19"/>
  <c r="M2" i="54"/>
  <c r="AN49" i="18"/>
  <c r="AN8" i="14"/>
  <c r="AT7" i="30"/>
  <c r="AN8" i="11"/>
  <c r="AL7" i="24"/>
  <c r="AN8" i="13"/>
  <c r="AL46" i="23"/>
  <c r="AN8" i="17"/>
  <c r="AL46" i="27"/>
  <c r="AR55" i="19"/>
  <c r="AL7" i="28"/>
  <c r="AN49" i="17"/>
  <c r="AN49" i="13"/>
  <c r="AL7" i="22"/>
  <c r="AL8" i="25"/>
  <c r="AL46" i="22"/>
  <c r="AL46" i="28"/>
  <c r="AL46" i="21"/>
  <c r="AN8" i="16"/>
  <c r="AL7" i="27"/>
  <c r="AN49" i="16"/>
  <c r="AT47" i="31"/>
  <c r="AN8" i="12"/>
  <c r="AR8" i="19"/>
  <c r="Y25" i="64"/>
  <c r="AV8" i="20"/>
  <c r="AV51" i="20"/>
  <c r="AN49" i="14"/>
  <c r="AL46" i="24"/>
  <c r="AN49" i="11"/>
  <c r="K9" i="45" l="1"/>
  <c r="O7" i="39"/>
  <c r="H41" i="34"/>
  <c r="L25" i="33"/>
  <c r="O26" i="40"/>
  <c r="L10" i="38"/>
  <c r="L10" i="37"/>
  <c r="P10" i="35"/>
  <c r="O9" i="50"/>
  <c r="J46" i="30"/>
  <c r="S45" i="30"/>
  <c r="S47" i="11"/>
  <c r="J48" i="11"/>
  <c r="D35" i="7"/>
  <c r="D36" i="7"/>
  <c r="D37" i="7"/>
  <c r="D38" i="7" s="1"/>
  <c r="D39" i="7" s="1"/>
  <c r="D34" i="7"/>
  <c r="S45" i="31"/>
  <c r="J46" i="31"/>
  <c r="S44" i="27"/>
  <c r="J45" i="27"/>
  <c r="J7" i="13"/>
  <c r="S6" i="13"/>
  <c r="I19" i="4"/>
  <c r="I18" i="4"/>
  <c r="Q18" i="4" s="1"/>
  <c r="I13" i="4"/>
  <c r="Q13" i="4" s="1"/>
  <c r="U54" i="19"/>
  <c r="K55" i="19"/>
  <c r="S47" i="14"/>
  <c r="J48" i="14"/>
  <c r="J7" i="11"/>
  <c r="S6" i="11"/>
  <c r="O10" i="50"/>
  <c r="P11" i="35"/>
  <c r="H42" i="34"/>
  <c r="K10" i="45"/>
  <c r="O8" i="39"/>
  <c r="O27" i="40"/>
  <c r="L11" i="38"/>
  <c r="L11" i="37"/>
  <c r="L26" i="33"/>
  <c r="M26" i="40"/>
  <c r="M7" i="39"/>
  <c r="K10" i="38"/>
  <c r="M9" i="50"/>
  <c r="J9" i="45"/>
  <c r="H32" i="34"/>
  <c r="K10" i="37"/>
  <c r="K25" i="33"/>
  <c r="O10" i="35"/>
  <c r="S44" i="23"/>
  <c r="J45" i="23"/>
  <c r="J48" i="15"/>
  <c r="S47" i="15"/>
  <c r="K48" i="25"/>
  <c r="S48" i="25" s="1"/>
  <c r="I46" i="25"/>
  <c r="J47" i="25"/>
  <c r="J48" i="12"/>
  <c r="S47" i="12"/>
  <c r="S7" i="14"/>
  <c r="K8" i="14"/>
  <c r="S8" i="14" s="1"/>
  <c r="D4" i="4"/>
  <c r="B5" i="1"/>
  <c r="J10" i="37"/>
  <c r="K26" i="40"/>
  <c r="J10" i="38"/>
  <c r="N10" i="35"/>
  <c r="K9" i="50"/>
  <c r="I9" i="45"/>
  <c r="J25" i="33"/>
  <c r="K7" i="39"/>
  <c r="H23" i="34"/>
  <c r="M11" i="50"/>
  <c r="O12" i="35"/>
  <c r="H34" i="34"/>
  <c r="M28" i="40"/>
  <c r="K12" i="38"/>
  <c r="J11" i="45"/>
  <c r="K27" i="33"/>
  <c r="O20" i="64"/>
  <c r="AD44" i="16"/>
  <c r="K51" i="20"/>
  <c r="S51" i="20" s="1"/>
  <c r="I49" i="20"/>
  <c r="J50" i="20"/>
  <c r="S44" i="16"/>
  <c r="S48" i="18"/>
  <c r="F114" i="48"/>
  <c r="F51" i="48"/>
  <c r="G306" i="48"/>
  <c r="G184" i="48"/>
  <c r="G60" i="48"/>
  <c r="G123" i="48"/>
  <c r="G245" i="48"/>
  <c r="AC41" i="24"/>
  <c r="G312" i="48"/>
  <c r="G190" i="48"/>
  <c r="G66" i="48"/>
  <c r="AG42" i="30"/>
  <c r="G129" i="48"/>
  <c r="G318" i="48"/>
  <c r="G196" i="48"/>
  <c r="G72" i="48"/>
  <c r="G257" i="48"/>
  <c r="F138" i="48"/>
  <c r="F75" i="48"/>
  <c r="F260" i="48"/>
  <c r="F321" i="48"/>
  <c r="F199" i="48"/>
  <c r="G324" i="48"/>
  <c r="G202" i="48"/>
  <c r="G78" i="48"/>
  <c r="G263" i="48"/>
  <c r="G141" i="48"/>
  <c r="F327" i="48"/>
  <c r="F205" i="48"/>
  <c r="F144" i="48"/>
  <c r="F81" i="48"/>
  <c r="D23" i="7"/>
  <c r="S7" i="12"/>
  <c r="AD43" i="14"/>
  <c r="L12" i="38"/>
  <c r="V36" i="43"/>
  <c r="K36" i="43"/>
  <c r="K54" i="43"/>
  <c r="F57" i="48"/>
  <c r="F120" i="48"/>
  <c r="U148" i="63"/>
  <c r="M148" i="63" s="1"/>
  <c r="E12" i="46" s="1"/>
  <c r="AA16" i="63"/>
  <c r="N16" i="63" s="1"/>
  <c r="L21" i="45" s="1"/>
  <c r="AA12" i="63"/>
  <c r="N12" i="63" s="1"/>
  <c r="L16" i="45" s="1"/>
  <c r="U14" i="63"/>
  <c r="M14" i="63" s="1"/>
  <c r="E18" i="45" s="1"/>
  <c r="E5" i="62"/>
  <c r="C5" i="62" s="1"/>
  <c r="D5" i="46" s="1"/>
  <c r="E3" i="62"/>
  <c r="C3" i="62" s="1"/>
  <c r="D5" i="45" s="1"/>
  <c r="J47" i="51"/>
  <c r="J46" i="51"/>
  <c r="M270" i="48"/>
  <c r="M148" i="48"/>
  <c r="M24" i="48"/>
  <c r="E14" i="48"/>
  <c r="E35" i="47"/>
  <c r="E25" i="47"/>
  <c r="G17" i="46"/>
  <c r="AA15" i="63"/>
  <c r="N15" i="63" s="1"/>
  <c r="L19" i="45" s="1"/>
  <c r="AA13" i="63"/>
  <c r="N13" i="63" s="1"/>
  <c r="L17" i="45" s="1"/>
  <c r="E30" i="62"/>
  <c r="C30" i="62" s="1"/>
  <c r="D14" i="47" s="1"/>
  <c r="E5" i="55"/>
  <c r="J50" i="51"/>
  <c r="J49" i="51"/>
  <c r="E10" i="49"/>
  <c r="F84" i="48"/>
  <c r="E31" i="47"/>
  <c r="U15" i="63"/>
  <c r="M15" i="63" s="1"/>
  <c r="E19" i="45" s="1"/>
  <c r="AA11" i="63"/>
  <c r="N11" i="63" s="1"/>
  <c r="L15" i="45" s="1"/>
  <c r="E32" i="62"/>
  <c r="C32" i="62" s="1"/>
  <c r="E29" i="62"/>
  <c r="C29" i="62" s="1"/>
  <c r="D5" i="49" s="1"/>
  <c r="E6" i="62"/>
  <c r="C6" i="62" s="1"/>
  <c r="E21" i="33" s="1"/>
  <c r="J51" i="51"/>
  <c r="E42" i="47"/>
  <c r="E28" i="47"/>
  <c r="E16" i="46"/>
  <c r="E5" i="54"/>
  <c r="J52" i="51"/>
  <c r="E11" i="49"/>
  <c r="M209" i="48"/>
  <c r="E38" i="47"/>
  <c r="I11" i="45"/>
  <c r="K11" i="50"/>
  <c r="J27" i="33"/>
  <c r="K9" i="39"/>
  <c r="J12" i="38"/>
  <c r="J12" i="37"/>
  <c r="H25" i="34"/>
  <c r="N12" i="35"/>
  <c r="O22" i="64"/>
  <c r="AD46" i="16"/>
  <c r="L22" i="64"/>
  <c r="F23" i="64" s="1"/>
  <c r="S46" i="16"/>
  <c r="D20" i="7"/>
  <c r="G27" i="7"/>
  <c r="G15" i="10"/>
  <c r="S45" i="13"/>
  <c r="AD46" i="13"/>
  <c r="J7" i="15"/>
  <c r="S7" i="16"/>
  <c r="S45" i="16"/>
  <c r="S7" i="17"/>
  <c r="I47" i="17"/>
  <c r="S7" i="18"/>
  <c r="I47" i="18"/>
  <c r="U8" i="19"/>
  <c r="L9" i="19"/>
  <c r="U9" i="19" s="1"/>
  <c r="U7" i="19"/>
  <c r="S5" i="21"/>
  <c r="K46" i="21"/>
  <c r="S46" i="21" s="1"/>
  <c r="S6" i="23"/>
  <c r="S45" i="24"/>
  <c r="K7" i="27"/>
  <c r="S7" i="27" s="1"/>
  <c r="K7" i="28"/>
  <c r="S7" i="28" s="1"/>
  <c r="AC41" i="28"/>
  <c r="E32" i="47"/>
  <c r="F39" i="48"/>
  <c r="G157" i="48"/>
  <c r="F190" i="48"/>
  <c r="F251" i="48"/>
  <c r="I28" i="40"/>
  <c r="I9" i="39"/>
  <c r="I12" i="38"/>
  <c r="H16" i="34"/>
  <c r="I12" i="37"/>
  <c r="M12" i="35"/>
  <c r="I11" i="50"/>
  <c r="I27" i="33"/>
  <c r="L12" i="37"/>
  <c r="K11" i="45"/>
  <c r="O9" i="39"/>
  <c r="P12" i="35"/>
  <c r="G2" i="48"/>
  <c r="G270" i="48"/>
  <c r="G209" i="48"/>
  <c r="F90" i="48"/>
  <c r="F27" i="48"/>
  <c r="F212" i="48"/>
  <c r="F273" i="48"/>
  <c r="F151" i="48"/>
  <c r="F154" i="48"/>
  <c r="F93" i="48"/>
  <c r="F276" i="48"/>
  <c r="F215" i="48"/>
  <c r="F30" i="48"/>
  <c r="G218" i="48"/>
  <c r="G96" i="48"/>
  <c r="G33" i="48"/>
  <c r="AG49" i="19"/>
  <c r="F36" i="48"/>
  <c r="F160" i="48"/>
  <c r="F99" i="48"/>
  <c r="G224" i="48"/>
  <c r="G102" i="48"/>
  <c r="G285" i="48"/>
  <c r="AD43" i="18"/>
  <c r="F42" i="48"/>
  <c r="F288" i="48"/>
  <c r="F227" i="48"/>
  <c r="F166" i="48"/>
  <c r="G230" i="48"/>
  <c r="G108" i="48"/>
  <c r="G169" i="48"/>
  <c r="AB45" i="20"/>
  <c r="G291" i="48"/>
  <c r="G45" i="48"/>
  <c r="F294" i="48"/>
  <c r="F233" i="48"/>
  <c r="F172" i="48"/>
  <c r="F48" i="48"/>
  <c r="F111" i="48"/>
  <c r="G300" i="48"/>
  <c r="G178" i="48"/>
  <c r="G54" i="48"/>
  <c r="G239" i="48"/>
  <c r="AC41" i="22"/>
  <c r="F303" i="48"/>
  <c r="F242" i="48"/>
  <c r="F248" i="48"/>
  <c r="F187" i="48"/>
  <c r="F309" i="48"/>
  <c r="F126" i="48"/>
  <c r="F63" i="48"/>
  <c r="F132" i="48"/>
  <c r="F69" i="48"/>
  <c r="F254" i="48"/>
  <c r="F193" i="48"/>
  <c r="S46" i="13"/>
  <c r="I47" i="13" s="1"/>
  <c r="K7" i="21"/>
  <c r="S7" i="21" s="1"/>
  <c r="J6" i="31"/>
  <c r="S5" i="31"/>
  <c r="H43" i="34"/>
  <c r="O28" i="40"/>
  <c r="N36" i="43"/>
  <c r="G5" i="48"/>
  <c r="G24" i="48"/>
  <c r="G148" i="48"/>
  <c r="F236" i="48"/>
  <c r="E49" i="2"/>
  <c r="E59" i="2"/>
  <c r="P13" i="4"/>
  <c r="J10" i="45"/>
  <c r="M27" i="40"/>
  <c r="K11" i="38"/>
  <c r="K26" i="33"/>
  <c r="M10" i="50"/>
  <c r="H33" i="34"/>
  <c r="F209" i="48"/>
  <c r="F87" i="48"/>
  <c r="F148" i="48"/>
  <c r="F270" i="48"/>
  <c r="G212" i="48"/>
  <c r="G90" i="48"/>
  <c r="G27" i="48"/>
  <c r="G151" i="48"/>
  <c r="G273" i="48"/>
  <c r="O19" i="64"/>
  <c r="G276" i="48"/>
  <c r="G154" i="48"/>
  <c r="G30" i="48"/>
  <c r="G215" i="48"/>
  <c r="G93" i="48"/>
  <c r="AD43" i="16"/>
  <c r="F279" i="48"/>
  <c r="F157" i="48"/>
  <c r="F96" i="48"/>
  <c r="F33" i="48"/>
  <c r="G282" i="48"/>
  <c r="G160" i="48"/>
  <c r="G36" i="48"/>
  <c r="G99" i="48"/>
  <c r="G221" i="48"/>
  <c r="AD43" i="17"/>
  <c r="F224" i="48"/>
  <c r="F163" i="48"/>
  <c r="F285" i="48"/>
  <c r="G288" i="48"/>
  <c r="G166" i="48"/>
  <c r="G42" i="48"/>
  <c r="G105" i="48"/>
  <c r="G227" i="48"/>
  <c r="AD43" i="15"/>
  <c r="F108" i="48"/>
  <c r="F45" i="48"/>
  <c r="F230" i="48"/>
  <c r="F169" i="48"/>
  <c r="F291" i="48"/>
  <c r="G294" i="48"/>
  <c r="G172" i="48"/>
  <c r="G48" i="48"/>
  <c r="AC42" i="25"/>
  <c r="G111" i="48"/>
  <c r="G236" i="48"/>
  <c r="G114" i="48"/>
  <c r="G51" i="48"/>
  <c r="G175" i="48"/>
  <c r="F178" i="48"/>
  <c r="F117" i="48"/>
  <c r="F300" i="48"/>
  <c r="F239" i="48"/>
  <c r="J45" i="22"/>
  <c r="S44" i="22"/>
  <c r="G242" i="48"/>
  <c r="G120" i="48"/>
  <c r="G57" i="48"/>
  <c r="G303" i="48"/>
  <c r="G181" i="48"/>
  <c r="AC41" i="23"/>
  <c r="F60" i="48"/>
  <c r="F184" i="48"/>
  <c r="F123" i="48"/>
  <c r="F306" i="48"/>
  <c r="F245" i="48"/>
  <c r="G248" i="48"/>
  <c r="G126" i="48"/>
  <c r="G309" i="48"/>
  <c r="AD46" i="26"/>
  <c r="G187" i="48"/>
  <c r="G63" i="48"/>
  <c r="F66" i="48"/>
  <c r="F129" i="48"/>
  <c r="G254" i="48"/>
  <c r="G132" i="48"/>
  <c r="G193" i="48"/>
  <c r="G315" i="48"/>
  <c r="AG42" i="31"/>
  <c r="F318" i="48"/>
  <c r="F257" i="48"/>
  <c r="G260" i="48"/>
  <c r="G138" i="48"/>
  <c r="G75" i="48"/>
  <c r="G199" i="48"/>
  <c r="G321" i="48"/>
  <c r="F202" i="48"/>
  <c r="F141" i="48"/>
  <c r="F324" i="48"/>
  <c r="F263" i="48"/>
  <c r="F78" i="48"/>
  <c r="G266" i="48"/>
  <c r="G144" i="48"/>
  <c r="AD46" i="29"/>
  <c r="G81" i="48"/>
  <c r="G28" i="7"/>
  <c r="AD43" i="12"/>
  <c r="AD45" i="13"/>
  <c r="AD45" i="16"/>
  <c r="S44" i="21"/>
  <c r="J6" i="22"/>
  <c r="S6" i="24"/>
  <c r="K7" i="24"/>
  <c r="S7" i="24" s="1"/>
  <c r="S5" i="27"/>
  <c r="AC41" i="27"/>
  <c r="S5" i="28"/>
  <c r="K46" i="28"/>
  <c r="S46" i="28" s="1"/>
  <c r="O11" i="35"/>
  <c r="K12" i="37"/>
  <c r="M9" i="39"/>
  <c r="G39" i="48"/>
  <c r="F72" i="48"/>
  <c r="F105" i="48"/>
  <c r="G135" i="48"/>
  <c r="G163" i="48"/>
  <c r="F196" i="48"/>
  <c r="F221" i="48"/>
  <c r="G251" i="48"/>
  <c r="F282" i="48"/>
  <c r="F315" i="48"/>
  <c r="O11" i="50"/>
  <c r="B34" i="33"/>
  <c r="N33" i="33"/>
  <c r="E73" i="33"/>
  <c r="E70" i="33"/>
  <c r="N70" i="33" s="1"/>
  <c r="H31" i="33" s="1"/>
  <c r="H142" i="33" s="1"/>
  <c r="E75" i="33"/>
  <c r="Z36" i="43"/>
  <c r="O58" i="43"/>
  <c r="P38" i="43"/>
  <c r="P58" i="43" s="1"/>
  <c r="T38" i="43"/>
  <c r="X38" i="43"/>
  <c r="AB38" i="43"/>
  <c r="AB58" i="43" s="1"/>
  <c r="E71" i="33"/>
  <c r="E76" i="33"/>
  <c r="I36" i="43"/>
  <c r="H36" i="43" s="1"/>
  <c r="K28" i="43"/>
  <c r="L48" i="43"/>
  <c r="P48" i="43"/>
  <c r="T48" i="43"/>
  <c r="X48" i="43"/>
  <c r="AB48" i="43"/>
  <c r="E32" i="51"/>
  <c r="E29" i="51"/>
  <c r="S58" i="43"/>
  <c r="W58" i="43"/>
  <c r="AA58" i="43"/>
  <c r="K39" i="43"/>
  <c r="K15" i="43"/>
  <c r="L38" i="43"/>
  <c r="G52" i="51"/>
  <c r="G51" i="51"/>
  <c r="G46" i="51"/>
  <c r="H52" i="51"/>
  <c r="F2" i="54"/>
  <c r="J48" i="13" l="1"/>
  <c r="S47" i="13"/>
  <c r="J48" i="16"/>
  <c r="I47" i="16"/>
  <c r="K46" i="23"/>
  <c r="S46" i="23" s="1"/>
  <c r="S45" i="23"/>
  <c r="I31" i="33"/>
  <c r="S7" i="11"/>
  <c r="K8" i="11"/>
  <c r="S8" i="11" s="1"/>
  <c r="X58" i="43"/>
  <c r="K7" i="31"/>
  <c r="S7" i="31" s="1"/>
  <c r="S6" i="31"/>
  <c r="K8" i="15"/>
  <c r="S8" i="15" s="1"/>
  <c r="S7" i="15"/>
  <c r="S48" i="12"/>
  <c r="K49" i="12"/>
  <c r="S49" i="12" s="1"/>
  <c r="K49" i="14"/>
  <c r="S49" i="14" s="1"/>
  <c r="S48" i="14"/>
  <c r="I11" i="37"/>
  <c r="M11" i="35"/>
  <c r="I10" i="50"/>
  <c r="H10" i="45"/>
  <c r="I26" i="33"/>
  <c r="I27" i="40"/>
  <c r="I11" i="38"/>
  <c r="I8" i="39"/>
  <c r="H15" i="34"/>
  <c r="K8" i="13"/>
  <c r="S8" i="13" s="1"/>
  <c r="S7" i="13"/>
  <c r="S46" i="30"/>
  <c r="K47" i="30"/>
  <c r="S47" i="30" s="1"/>
  <c r="K7" i="22"/>
  <c r="S7" i="22" s="1"/>
  <c r="S6" i="22"/>
  <c r="U55" i="19"/>
  <c r="L56" i="19"/>
  <c r="U56" i="19" s="1"/>
  <c r="D43" i="7"/>
  <c r="D44" i="7" s="1"/>
  <c r="D45" i="7" s="1"/>
  <c r="D41" i="7"/>
  <c r="D40" i="7"/>
  <c r="L23" i="64"/>
  <c r="G24" i="64"/>
  <c r="K47" i="31"/>
  <c r="S47" i="31" s="1"/>
  <c r="S46" i="31"/>
  <c r="K38" i="43"/>
  <c r="L58" i="43"/>
  <c r="K58" i="43" s="1"/>
  <c r="K48" i="43"/>
  <c r="T58" i="43"/>
  <c r="K31" i="33"/>
  <c r="J31" i="33"/>
  <c r="L31" i="33"/>
  <c r="K46" i="22"/>
  <c r="S46" i="22" s="1"/>
  <c r="S45" i="22"/>
  <c r="I9" i="50"/>
  <c r="M10" i="35"/>
  <c r="I10" i="37"/>
  <c r="I26" i="40"/>
  <c r="I25" i="33"/>
  <c r="H14" i="34"/>
  <c r="H9" i="45"/>
  <c r="I7" i="39"/>
  <c r="I10" i="38"/>
  <c r="F5" i="42"/>
  <c r="F5" i="41"/>
  <c r="F5" i="44"/>
  <c r="F5" i="43"/>
  <c r="S48" i="15"/>
  <c r="K49" i="15"/>
  <c r="S49" i="15" s="1"/>
  <c r="K27" i="40"/>
  <c r="K8" i="39"/>
  <c r="J11" i="38"/>
  <c r="K10" i="50"/>
  <c r="J11" i="37"/>
  <c r="H24" i="34"/>
  <c r="I10" i="45"/>
  <c r="N11" i="35"/>
  <c r="J26" i="33"/>
  <c r="S45" i="27"/>
  <c r="K46" i="27"/>
  <c r="S46" i="27" s="1"/>
  <c r="K49" i="11"/>
  <c r="S49" i="11" s="1"/>
  <c r="S48" i="11"/>
  <c r="D47" i="7" l="1"/>
  <c r="D51" i="7"/>
  <c r="D49" i="7"/>
  <c r="D46" i="7"/>
  <c r="D48" i="7"/>
  <c r="K142" i="33"/>
  <c r="K86" i="33"/>
  <c r="I86" i="33"/>
  <c r="I142" i="33"/>
  <c r="K49" i="16"/>
  <c r="S49" i="16" s="1"/>
  <c r="S48" i="16"/>
  <c r="J142" i="33"/>
  <c r="J86" i="33"/>
  <c r="L24" i="64"/>
  <c r="H25" i="64"/>
  <c r="L25" i="64" s="1"/>
  <c r="L142" i="33"/>
  <c r="L86" i="33"/>
  <c r="S48" i="13"/>
  <c r="K49" i="13"/>
  <c r="S49" i="13"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<sst xmlns="http://schemas.openxmlformats.org/spreadsheetml/2006/main" count="45155" uniqueCount="5861">
  <si>
    <t xml:space="preserve"> (требуется обновление)</t>
  </si>
  <si>
    <t>Код отчёта: PP108.OPEN.INFO.BALANCE.COLDVSNA.EIAS</t>
  </si>
  <si>
    <t>Версия отчёта: 1.1.3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</si>
  <si>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</si>
  <si>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</si>
  <si>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</si>
  <si>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</si>
  <si>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</si>
  <si>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</si>
  <si>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</si>
  <si>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</si>
  <si>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</si>
  <si>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</si>
  <si>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26373662</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</si>
  <si>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</si>
  <si>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</si>
  <si>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</si>
  <si>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</si>
  <si>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</si>
  <si>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</si>
  <si>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</si>
  <si>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</si>
  <si>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</si>
  <si>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</si>
  <si>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</si>
  <si>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</si>
  <si>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</si>
  <si>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</si>
  <si>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</si>
  <si>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</si>
  <si>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</si>
  <si>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</si>
  <si>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</si>
  <si>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</si>
  <si>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</si>
  <si>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</si>
  <si>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</si>
  <si>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</si>
  <si>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</si>
  <si>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</si>
  <si>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</si>
  <si>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</si>
  <si>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</si>
  <si>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</si>
  <si>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</si>
  <si>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"НИЖЕГОРОДСКИЙ ВОДОКАНАЛ"</t>
  </si>
  <si>
    <t>Наименование (описание) обособленного подразделения</t>
  </si>
  <si>
    <t>ИНН</t>
  </si>
  <si>
    <t>5257086827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</si>
  <si>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</si>
  <si>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</si>
  <si>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</si>
  <si>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</si>
  <si>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</si>
  <si>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</si>
  <si>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</si>
  <si>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</si>
  <si>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</si>
  <si>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</si>
  <si>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</si>
  <si>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</si>
  <si>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</si>
  <si>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</si>
  <si>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</si>
  <si>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</si>
  <si>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</si>
  <si>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</si>
  <si>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</si>
  <si>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</si>
  <si>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603950, Нижегородская обл, Городской округ город Нижний Новгород, Нижний Новгород г, Керченская ул, 15 А</t>
  </si>
  <si>
    <t>Фамилия, имя, отчество руководителя</t>
  </si>
  <si>
    <t>Халтурин Илья Вячеславович</t>
  </si>
  <si>
    <t>Ответственный за заполнение формы</t>
  </si>
  <si>
    <t>Фамилия, имя, отчество</t>
  </si>
  <si>
    <t>Целищева Марина Юрьевна</t>
  </si>
  <si>
    <t>Должность</t>
  </si>
  <si>
    <t>заместитель начальника управления цен и тарифов</t>
  </si>
  <si>
    <t>Контактный телефон</t>
  </si>
  <si>
    <t>(831) 246-99-46</t>
  </si>
  <si>
    <t>E-mail</t>
  </si>
  <si>
    <t>mtselisheva@vodokanal-nn.ru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</si>
  <si>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</si>
  <si>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</si>
  <si>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</si>
  <si>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</si>
  <si>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</si>
  <si>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</si>
  <si>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</si>
  <si>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</si>
  <si>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</si>
  <si>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</si>
  <si>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</si>
  <si>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</si>
  <si>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</si>
  <si>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</si>
  <si>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</si>
  <si>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</si>
  <si>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</si>
  <si>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</si>
  <si>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</si>
  <si>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</si>
  <si>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</si>
  <si>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2</t>
  </si>
  <si>
    <t>×</t>
  </si>
  <si>
    <t>ter_5</t>
  </si>
  <si>
    <t>24</t>
  </si>
  <si>
    <t>Кстовский муниципальный округ</t>
  </si>
  <si>
    <t>22537000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</si>
  <si>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</si>
  <si>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</si>
  <si>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</si>
  <si>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</si>
  <si>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</si>
  <si>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</si>
  <si>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</si>
  <si>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</si>
  <si>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</si>
  <si>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</si>
  <si>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</si>
  <si>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</si>
  <si>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</si>
  <si>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Централизованная система водоснабжения города Нижнего Новгорода (1)</t>
  </si>
  <si>
    <t>diff_1</t>
  </si>
  <si>
    <t>4189671</t>
  </si>
  <si>
    <t>a</t>
  </si>
  <si>
    <t>Добавить централизованную систему</t>
  </si>
  <si>
    <t>Централизованная система водоснабжения Кстовского муниципального района</t>
  </si>
  <si>
    <t>diff_511</t>
  </si>
  <si>
    <t>Добавить описание территории</t>
  </si>
  <si>
    <t>Централизованная система водоснабжения города Нижнего Новгорода (2)</t>
  </si>
  <si>
    <t>diff_5</t>
  </si>
  <si>
    <t>4189672</t>
  </si>
  <si>
    <t>diff_51</t>
  </si>
  <si>
    <t>4189677</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</si>
  <si>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</si>
  <si>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</si>
  <si>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</si>
  <si>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</si>
  <si>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</si>
  <si>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</si>
  <si>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</si>
  <si>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</si>
  <si>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</si>
  <si>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</si>
  <si>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</si>
  <si>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</si>
  <si>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</si>
  <si>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</si>
  <si>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</si>
  <si>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</si>
  <si>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</si>
  <si>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</si>
  <si>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</si>
  <si>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</si>
  <si>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</si>
  <si>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</si>
  <si>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</si>
  <si>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</si>
  <si>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</si>
  <si>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</si>
  <si>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</si>
  <si>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</si>
  <si>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</si>
  <si>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</si>
  <si>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</si>
  <si>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</si>
  <si>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</si>
  <si>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</si>
  <si>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</si>
  <si>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</si>
  <si>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</si>
  <si>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</si>
  <si>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</si>
  <si>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</si>
  <si>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</si>
  <si>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</si>
  <si>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</si>
  <si>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</si>
  <si>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</si>
  <si>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</si>
  <si>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</si>
  <si>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</si>
  <si>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</si>
  <si>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</si>
  <si>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</si>
  <si>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</si>
  <si>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</si>
  <si>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</si>
  <si>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</si>
  <si>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</si>
  <si>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</si>
  <si>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</si>
  <si>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</si>
  <si>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</si>
  <si>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</si>
  <si>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</si>
  <si>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</si>
  <si>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</si>
  <si>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</si>
  <si>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</si>
  <si>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</si>
  <si>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</si>
  <si>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</si>
  <si>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</si>
  <si>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</si>
  <si>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</si>
  <si>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</si>
  <si>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</si>
  <si>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</si>
  <si>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</si>
  <si>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</si>
  <si>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</si>
  <si>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</si>
  <si>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</si>
  <si>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</si>
  <si>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</si>
  <si>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</si>
  <si>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</si>
  <si>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</si>
  <si>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</si>
  <si>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</si>
  <si>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</si>
  <si>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</si>
  <si>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</si>
  <si>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</si>
  <si>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</si>
  <si>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</si>
  <si>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</si>
  <si>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</si>
  <si>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</si>
  <si>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</si>
  <si>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</si>
  <si>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</si>
  <si>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</si>
  <si>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</si>
  <si>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</si>
  <si>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</si>
  <si>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</si>
  <si>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</si>
  <si>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</si>
  <si>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</si>
  <si>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</si>
  <si>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</si>
  <si>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</si>
  <si>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</si>
  <si>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</si>
  <si>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</si>
  <si>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</si>
  <si>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</si>
  <si>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</si>
  <si>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</si>
  <si>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</si>
  <si>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</si>
  <si>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</si>
  <si>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</si>
  <si>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</si>
  <si>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</si>
  <si>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</si>
  <si>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</si>
  <si>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</si>
  <si>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</si>
  <si>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</si>
  <si>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</si>
  <si>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</si>
  <si>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</si>
  <si>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</si>
  <si>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</si>
  <si>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</si>
  <si>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</si>
  <si>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</si>
  <si>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</si>
  <si>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</si>
  <si>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</si>
  <si>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</si>
  <si>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</si>
  <si>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</si>
  <si>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</si>
  <si>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</si>
  <si>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</si>
  <si>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</si>
  <si>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</si>
  <si>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</si>
  <si>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</si>
  <si>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</si>
  <si>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</si>
  <si>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</si>
  <si>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</si>
  <si>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</si>
  <si>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</si>
  <si>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</si>
  <si>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</si>
  <si>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</si>
  <si>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</si>
  <si>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</si>
  <si>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</si>
  <si>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</si>
  <si>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</si>
  <si>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</si>
  <si>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</si>
  <si>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</si>
  <si>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</si>
  <si>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</si>
  <si>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</si>
  <si>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</si>
  <si>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</si>
  <si>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</si>
  <si>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</si>
  <si>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</si>
  <si>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</si>
  <si>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</si>
  <si>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</si>
  <si>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</si>
  <si>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</si>
  <si>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</si>
  <si>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</si>
  <si>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</si>
  <si>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</si>
  <si>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</si>
  <si>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</si>
  <si>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</si>
  <si>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</si>
  <si>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</si>
  <si>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</si>
  <si>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</si>
  <si>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</si>
  <si>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</si>
  <si>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</si>
  <si>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</si>
  <si>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</si>
  <si>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</si>
  <si>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</si>
  <si>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</si>
  <si>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</si>
  <si>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</si>
  <si>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</si>
  <si>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</si>
  <si>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</si>
  <si>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</si>
  <si>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</si>
  <si>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</si>
  <si>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</si>
  <si>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</si>
  <si>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</si>
  <si>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</si>
  <si>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</si>
  <si>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</si>
  <si>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</si>
  <si>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</si>
  <si>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</si>
  <si>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</si>
  <si>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</si>
  <si>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</si>
  <si>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</si>
  <si>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</si>
  <si>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</si>
  <si>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</si>
  <si>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</si>
  <si>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</si>
  <si>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</si>
  <si>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</si>
  <si>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</si>
  <si>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</si>
  <si>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</si>
  <si>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</si>
  <si>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</si>
  <si>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</si>
  <si>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</si>
  <si>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</si>
  <si>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</si>
  <si>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</si>
  <si>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</si>
  <si>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</si>
  <si>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</si>
  <si>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</si>
  <si>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</si>
  <si>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</si>
  <si>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</si>
  <si>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</si>
  <si>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</si>
  <si>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</si>
  <si>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</si>
  <si>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</si>
  <si>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</si>
  <si>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</si>
  <si>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</si>
  <si>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</si>
  <si>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</si>
  <si>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</si>
  <si>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</si>
  <si>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</si>
  <si>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</si>
  <si>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</si>
  <si>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</si>
  <si>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</si>
  <si>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</si>
  <si>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</si>
  <si>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</si>
  <si>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</si>
  <si>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</si>
  <si>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</si>
  <si>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</si>
  <si>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</si>
  <si>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</si>
  <si>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</si>
  <si>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</si>
  <si>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</si>
  <si>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</si>
  <si>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</si>
  <si>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</si>
  <si>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</si>
  <si>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</si>
  <si>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</si>
  <si>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</si>
  <si>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</si>
  <si>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</si>
  <si>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</si>
  <si>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</si>
  <si>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</si>
  <si>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</si>
  <si>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</si>
  <si>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</si>
  <si>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</si>
  <si>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</si>
  <si>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</si>
  <si>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</si>
  <si>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</si>
  <si>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</si>
  <si>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</si>
  <si>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</si>
  <si>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</si>
  <si>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</si>
  <si>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</si>
  <si>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</si>
  <si>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</si>
  <si>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</si>
  <si>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</si>
  <si>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</si>
  <si>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</si>
  <si>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</si>
  <si>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</si>
  <si>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</si>
  <si>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</si>
  <si>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</si>
  <si>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</si>
  <si>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</si>
  <si>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</si>
  <si>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</si>
  <si>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</si>
  <si>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</si>
  <si>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</si>
  <si>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</si>
  <si>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</si>
  <si>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</si>
  <si>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</si>
  <si>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</si>
  <si>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</si>
  <si>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</si>
  <si>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</si>
  <si>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</si>
  <si>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</si>
  <si>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</si>
  <si>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</si>
  <si>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</si>
  <si>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</si>
  <si>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</si>
  <si>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</si>
  <si>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</si>
  <si>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</si>
  <si>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</si>
  <si>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</si>
  <si>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</si>
  <si>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</si>
  <si>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</si>
  <si>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</si>
  <si>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</si>
  <si>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</si>
  <si>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</si>
  <si>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</si>
  <si>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</si>
  <si>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</si>
  <si>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</si>
  <si>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</si>
  <si>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</si>
  <si>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</si>
  <si>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</si>
  <si>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</si>
  <si>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</si>
  <si>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</si>
  <si>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</si>
  <si>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</si>
  <si>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</si>
  <si>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</si>
  <si>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</si>
  <si>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</si>
  <si>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</si>
  <si>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</si>
  <si>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</si>
  <si>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</si>
  <si>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</si>
  <si>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</si>
  <si>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</si>
  <si>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</si>
  <si>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</si>
  <si>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</si>
  <si>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</si>
  <si>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</si>
  <si>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</si>
  <si>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</si>
  <si>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</si>
  <si>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</si>
  <si>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</si>
  <si>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</si>
  <si>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</si>
  <si>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</si>
  <si>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</si>
  <si>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</si>
  <si>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</si>
  <si>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</si>
  <si>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</si>
  <si>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</si>
  <si>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</si>
  <si>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</si>
  <si>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</si>
  <si>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</si>
  <si>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</si>
  <si>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</si>
  <si>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</si>
  <si>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</si>
  <si>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</si>
  <si>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</si>
  <si>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</si>
  <si>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</si>
  <si>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</si>
  <si>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</si>
  <si>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</si>
  <si>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</si>
  <si>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</si>
  <si>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</si>
  <si>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</si>
  <si>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</si>
  <si>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</si>
  <si>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</si>
  <si>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</si>
  <si>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</si>
  <si>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</si>
  <si>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</si>
  <si>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</si>
  <si>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</si>
  <si>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</si>
  <si>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</si>
  <si>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</si>
  <si>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</si>
  <si>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</si>
  <si>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</si>
  <si>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</si>
  <si>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</si>
  <si>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</si>
  <si>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</si>
  <si>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</si>
  <si>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</si>
  <si>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</si>
  <si>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</si>
  <si>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</si>
  <si>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</si>
  <si>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</si>
  <si>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</si>
  <si>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</si>
  <si>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</si>
  <si>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</si>
  <si>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</si>
  <si>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</si>
  <si>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</si>
  <si>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</si>
  <si>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</si>
  <si>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</si>
  <si>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</si>
  <si>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</si>
  <si>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</si>
  <si>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</si>
  <si>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</si>
  <si>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</si>
  <si>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</si>
  <si>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</si>
  <si>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</si>
  <si>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</si>
  <si>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</si>
  <si>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</si>
  <si>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</si>
  <si>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Плата за пользование водными объектами</t>
  </si>
  <si>
    <t>Водный налог</t>
  </si>
  <si>
    <t>Транспортный налог</t>
  </si>
  <si>
    <t>Налог на имущество с учетом льгот</t>
  </si>
  <si>
    <t>Проценты к уплате</t>
  </si>
  <si>
    <t>Прочие расходы</t>
  </si>
  <si>
    <t>Добавить прочие расходы</t>
  </si>
  <si>
    <t>HEAT_P2</t>
  </si>
  <si>
    <t>NOT_HEAT_P2</t>
  </si>
  <si>
    <t>https://portal.eias.ru/Portal/DownloadPage.aspx?type=12&amp;guid=cb685ced-3882-4134-8457-213c11d7d79a</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</si>
  <si>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</si>
  <si>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</si>
  <si>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</si>
  <si>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</si>
  <si>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</si>
  <si>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</si>
  <si>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</si>
  <si>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</si>
  <si>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</si>
  <si>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</si>
  <si>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</si>
  <si>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</si>
  <si>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</si>
  <si>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</si>
  <si>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</si>
  <si>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</si>
  <si>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</si>
  <si>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</si>
  <si>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</si>
  <si>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</si>
  <si>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</si>
  <si>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</si>
  <si>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</si>
  <si>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</si>
  <si>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</si>
  <si>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</si>
  <si>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</si>
  <si>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</si>
  <si>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</si>
  <si>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</si>
  <si>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</si>
  <si>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</si>
  <si>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</si>
  <si>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</si>
  <si>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</si>
  <si>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</si>
  <si>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</si>
  <si>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</si>
  <si>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</si>
  <si>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</si>
  <si>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</si>
  <si>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</si>
  <si>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</si>
  <si>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</si>
  <si>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</si>
  <si>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</si>
  <si>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</si>
  <si>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</si>
  <si>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</si>
  <si>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</si>
  <si>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</si>
  <si>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</si>
  <si>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</si>
  <si>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</si>
  <si>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</si>
  <si>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</si>
  <si>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</si>
  <si>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</si>
  <si>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</si>
  <si>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</si>
  <si>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</si>
  <si>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</si>
  <si>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</si>
  <si>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</si>
  <si>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</si>
  <si>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</si>
  <si>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</si>
  <si>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</si>
  <si>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</si>
  <si>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</si>
  <si>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</si>
  <si>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</si>
  <si>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</si>
  <si>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</si>
  <si>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</si>
  <si>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</si>
  <si>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</si>
  <si>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</si>
  <si>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</si>
  <si>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</si>
  <si>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</si>
  <si>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</si>
  <si>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</si>
  <si>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</si>
  <si>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</si>
  <si>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</si>
  <si>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</si>
  <si>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</si>
  <si>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</si>
  <si>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</si>
  <si>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</si>
  <si>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</si>
  <si>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</si>
  <si>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</si>
  <si>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</si>
  <si>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</si>
  <si>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</si>
  <si>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</si>
  <si>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</si>
  <si>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</si>
  <si>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</si>
  <si>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</si>
  <si>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</si>
  <si>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</si>
  <si>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</si>
  <si>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</si>
  <si>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</si>
  <si>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</si>
  <si>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</si>
  <si>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</si>
  <si>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</si>
  <si>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</si>
  <si>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</si>
  <si>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</si>
  <si>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</si>
  <si>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</si>
  <si>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</si>
  <si>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</si>
  <si>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</si>
  <si>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</si>
  <si>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</si>
  <si>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</si>
  <si>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</si>
  <si>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</si>
  <si>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</si>
  <si>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</si>
  <si>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</si>
  <si>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</si>
  <si>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</si>
  <si>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</si>
  <si>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</si>
  <si>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</si>
  <si>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</si>
  <si>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</si>
  <si>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</si>
  <si>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</si>
  <si>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</si>
  <si>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</si>
  <si>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</si>
  <si>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</si>
  <si>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</si>
  <si>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</si>
  <si>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</si>
  <si>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</si>
  <si>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</si>
  <si>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</si>
  <si>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</si>
  <si>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</si>
  <si>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</si>
  <si>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</si>
  <si>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</si>
  <si>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</si>
  <si>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</si>
  <si>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</si>
  <si>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</si>
  <si>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</si>
  <si>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</si>
  <si>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</si>
  <si>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</si>
  <si>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</si>
  <si>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</si>
  <si>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</si>
  <si>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</si>
  <si>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</si>
  <si>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</si>
  <si>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</si>
  <si>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</si>
  <si>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</si>
  <si>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</si>
  <si>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</si>
  <si>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</si>
  <si>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</si>
  <si>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</si>
  <si>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</si>
  <si>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</si>
  <si>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</si>
  <si>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</si>
  <si>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</si>
  <si>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</si>
  <si>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</si>
  <si>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</si>
  <si>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</si>
  <si>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</si>
  <si>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</si>
  <si>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</si>
  <si>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</si>
  <si>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</si>
  <si>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</si>
  <si>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</si>
  <si>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</si>
  <si>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</si>
  <si>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</si>
  <si>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</si>
  <si>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</si>
  <si>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</si>
  <si>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</si>
  <si>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</si>
  <si>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</si>
  <si>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</si>
  <si>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</si>
  <si>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</si>
  <si>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</si>
  <si>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</si>
  <si>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</si>
  <si>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</si>
  <si>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</si>
  <si>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</si>
  <si>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</si>
  <si>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</si>
  <si>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</si>
  <si>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</si>
  <si>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</si>
  <si>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</si>
  <si>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</si>
  <si>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</si>
  <si>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</si>
  <si>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</si>
  <si>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</si>
  <si>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</si>
  <si>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</si>
  <si>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</si>
  <si>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</si>
  <si>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</si>
  <si>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</si>
  <si>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</si>
  <si>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</si>
  <si>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</si>
  <si>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</si>
  <si>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</si>
  <si>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</si>
  <si>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</si>
  <si>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</si>
  <si>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</si>
  <si>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</si>
  <si>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</si>
  <si>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</si>
  <si>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</si>
  <si>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</si>
  <si>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</si>
  <si>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</si>
  <si>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</si>
  <si>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</si>
  <si>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</si>
  <si>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</si>
  <si>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</si>
  <si>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</si>
  <si>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</si>
  <si>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</si>
  <si>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</si>
  <si>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</si>
  <si>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</si>
  <si>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</si>
  <si>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</si>
  <si>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</si>
  <si>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</si>
  <si>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</si>
  <si>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</si>
  <si>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</si>
  <si>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</si>
  <si>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</si>
  <si>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</si>
  <si>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</si>
  <si>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</si>
  <si>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</si>
  <si>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</si>
  <si>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</si>
  <si>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</si>
  <si>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</si>
  <si>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</si>
  <si>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</si>
  <si>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</si>
  <si>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</si>
  <si>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</si>
  <si>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</si>
  <si>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</si>
  <si>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</si>
  <si>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</si>
  <si>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</si>
  <si>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</si>
  <si>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</si>
  <si>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</si>
  <si>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</si>
  <si>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</si>
  <si>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</si>
  <si>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</si>
  <si>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</si>
  <si>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</si>
  <si>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</si>
  <si>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</si>
  <si>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</si>
  <si>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</si>
  <si>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</si>
  <si>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</si>
  <si>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</si>
  <si>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</si>
  <si>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</si>
  <si>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</si>
  <si>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</si>
  <si>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</si>
  <si>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</si>
  <si>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</si>
  <si>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</si>
  <si>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</si>
  <si>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</si>
  <si>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</si>
  <si>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</si>
  <si>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</si>
  <si>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</si>
  <si>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</si>
  <si>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</si>
  <si>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</si>
  <si>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</si>
  <si>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</si>
  <si>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</si>
  <si>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https://portal.eias.ru/Portal/DownloadPage.aspx?type=12&amp;guid=942217bc-b013-418a-a306-ea174c4244ad</t>
  </si>
  <si>
    <t>https://portal.eias.ru/Portal/DownloadPage.aspx?type=12&amp;guid=8927f305-6f6c-4ed9-b22a-11942abeba0b</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</si>
  <si>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</si>
  <si>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</si>
  <si>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</si>
  <si>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</si>
  <si>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</si>
  <si>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</si>
  <si>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</si>
  <si>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</si>
  <si>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</si>
  <si>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</si>
  <si>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</si>
  <si>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</si>
  <si>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</si>
  <si>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</si>
  <si>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</si>
  <si>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</si>
  <si>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</si>
  <si>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</si>
  <si>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</si>
  <si>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</si>
  <si>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</si>
  <si>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</si>
  <si>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</si>
  <si>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</si>
  <si>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</si>
  <si>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</si>
  <si>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</si>
  <si>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</si>
  <si>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</si>
  <si>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</si>
  <si>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</si>
  <si>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</si>
  <si>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</si>
  <si>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</si>
  <si>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</si>
  <si>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</si>
  <si>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</si>
  <si>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</si>
  <si>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</si>
  <si>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</si>
  <si>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</si>
  <si>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</si>
  <si>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</si>
  <si>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</si>
  <si>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</si>
  <si>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</si>
  <si>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</si>
  <si>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</si>
  <si>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</si>
  <si>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</si>
  <si>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</si>
  <si>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</si>
  <si>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</si>
  <si>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</si>
  <si>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</si>
  <si>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</si>
  <si>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</si>
  <si>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</si>
  <si>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</si>
  <si>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</si>
  <si>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</si>
  <si>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</si>
  <si>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</si>
  <si>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</si>
  <si>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</si>
  <si>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</si>
  <si>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</si>
  <si>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</si>
  <si>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</si>
  <si>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</si>
  <si>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</si>
  <si>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</si>
  <si>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</si>
  <si>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</si>
  <si>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</si>
  <si>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</si>
  <si>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</si>
  <si>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</si>
  <si>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</si>
  <si>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</si>
  <si>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</si>
  <si>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</si>
  <si>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</si>
  <si>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</si>
  <si>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</si>
  <si>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</si>
  <si>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</si>
  <si>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</si>
  <si>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</si>
  <si>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</si>
  <si>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</si>
  <si>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</si>
  <si>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</si>
  <si>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19.12.2013 АО "НИЖЕГОРОДСКИЙ ВОДОКАНАЛ"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Нижний Новгород на 2014-2030 годы</t>
  </si>
  <si>
    <t>улучшение качества; повышение надёжности и энергетической эффективности</t>
  </si>
  <si>
    <t>Министерство энергетики и жилищно-коммунального хозяйства Нижегородской области</t>
  </si>
  <si>
    <t>Администрация города Нижнего Новгорода</t>
  </si>
  <si>
    <t>01.01.2014</t>
  </si>
  <si>
    <t>31.12.2030</t>
  </si>
  <si>
    <t>Инвестиционная программа "Модернизация" ОАО "Нижегородский водоканал"</t>
  </si>
  <si>
    <t>титульный лист ИП</t>
  </si>
  <si>
    <t>б/н</t>
  </si>
  <si>
    <t>19.12.2013</t>
  </si>
  <si>
    <t>Об утверждении скорректированной инвестиционной программы «Модернизация» 2014-2030 гг. АО «Нижегородский водоканал»</t>
  </si>
  <si>
    <t>Приказ</t>
  </si>
  <si>
    <t>329-487/23П/од</t>
  </si>
  <si>
    <t>Концессионное соглашение № б/н от 14.06.2013 в отношении централизованных систем холодного водоснабжения и водоотведения, расположенных на территории городского округа Нижний Новгород</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</si>
  <si>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</si>
  <si>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</si>
  <si>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</si>
  <si>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</si>
  <si>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</si>
  <si>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</si>
  <si>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</si>
  <si>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</si>
  <si>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</si>
  <si>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</si>
  <si>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</si>
  <si>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</si>
  <si>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</si>
  <si>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</si>
  <si>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</si>
  <si>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</si>
  <si>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</si>
  <si>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</si>
  <si>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</si>
  <si>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</si>
  <si>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</si>
  <si>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</si>
  <si>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</si>
  <si>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</si>
  <si>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</si>
  <si>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</si>
  <si>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</si>
  <si>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</si>
  <si>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</si>
  <si>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</si>
  <si>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</si>
  <si>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</si>
  <si>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Мероприятия, направленные на повышение экологической эффективности</t>
  </si>
  <si>
    <t>Строительство станции УФ-обеззараживания  воды на Ново-Сормовской водопроводной станции</t>
  </si>
  <si>
    <t>Декабрь</t>
  </si>
  <si>
    <t>2019</t>
  </si>
  <si>
    <t>Ново-Сормовская водопроводная станция</t>
  </si>
  <si>
    <t>ОС</t>
  </si>
  <si>
    <t>г Нижний Новгород</t>
  </si>
  <si>
    <t>22701000001</t>
  </si>
  <si>
    <t>ул. Алебастровая</t>
  </si>
  <si>
    <t>91</t>
  </si>
  <si>
    <t xml:space="preserve">  Кредиты</t>
  </si>
  <si>
    <t>Добавить источник финансирования</t>
  </si>
  <si>
    <t>Добавить объект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</si>
  <si>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</si>
  <si>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Рыбозащитное устройство типа "жалюзийный экран с потокопреобразователем" водозабора НС-1  водопроводной станции "Малиновая гряда"</t>
  </si>
  <si>
    <t>2015</t>
  </si>
  <si>
    <t>водопроводная станция Малиновая гряда</t>
  </si>
  <si>
    <t>пр-кт. Гагарина</t>
  </si>
  <si>
    <t>121</t>
  </si>
  <si>
    <t>Рыбозащитное устройство типа "жалюзийный экран с потокопреобразователем" водозабора НС-1 Слудинской водопроводной станции</t>
  </si>
  <si>
    <t>2014</t>
  </si>
  <si>
    <t>Слудинская водопроводная станция</t>
  </si>
  <si>
    <t>31</t>
  </si>
  <si>
    <t>VSNA_IP_EVENT_SUBGROUP_3_LIST</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</si>
  <si>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</si>
  <si>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водоснабжения, за исключением сетей водоснабжения</t>
  </si>
  <si>
    <t>Создание гидравлической модели работы сетей и сооружений предприятия</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</si>
  <si>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</si>
  <si>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водовода (3-й этап) Д=1200-1400 мм от водопроводной станции «Малиновая гряда» в Приокском районе г. Н. Новгорода до Высоковской ВНС в Советском районе г. Н. Новгорода»</t>
  </si>
  <si>
    <t>2021</t>
  </si>
  <si>
    <t>Добавить мероприятие</t>
  </si>
  <si>
    <t>Создание АСУ ТП водоснабжения</t>
  </si>
  <si>
    <t>2028</t>
  </si>
  <si>
    <t>Мероприятия, направленные на повышение энергоэффективности в сфере водоснабжения</t>
  </si>
  <si>
    <t>Реконструкция насосных станций 1 и 2 подъема "Ново-Сормовской" водопроводной станции</t>
  </si>
  <si>
    <t>Реконструкция насосных станций 1 и 2 подъема водопроводной станции "Малиновая гряда"</t>
  </si>
  <si>
    <t>2017</t>
  </si>
  <si>
    <t>Реконструкция насосных станций 1 и 2 подъема водопроводной станции "Слудинская"</t>
  </si>
  <si>
    <t>2018</t>
  </si>
  <si>
    <t xml:space="preserve">Создание станции обеззараживания воды на Ново-Сормовской водопроводной станции </t>
  </si>
  <si>
    <t>2022</t>
  </si>
  <si>
    <t xml:space="preserve">Создание станции обеззараживания воды на водопроводной станции "Малиновая гряда" </t>
  </si>
  <si>
    <t>2020</t>
  </si>
  <si>
    <t>Модернизация химико-бактериологической лаборатории при Ново-Сормовской водопроводной станции</t>
  </si>
  <si>
    <t>Мероприятия по предотвращению гидроударов на водопроводной станции "Малиновая гряда"</t>
  </si>
  <si>
    <t>Модернизация центральной химико-бактериологической лаборатории при Слудинской водопроводной станции</t>
  </si>
  <si>
    <t>Реконструкция напорных водоводов Д800 мм и Д900 мм от НС-1 и НС-1А на водопроводной станции «Слудинская» по адресу: г. Н. Новгород, Советский район, пр. Гагарина, д.31</t>
  </si>
  <si>
    <t>Прокладка высоковольтного кабеля Ф. 602, 605 на Ново-Сормовской водопроводной станции</t>
  </si>
  <si>
    <t>«Строительство водопроводной станции «Березовая Пойма» в Московском районе»</t>
  </si>
  <si>
    <t>2026</t>
  </si>
  <si>
    <t>ВНС "Березовая пойма"</t>
  </si>
  <si>
    <t>НС</t>
  </si>
  <si>
    <t>ул. Брикетная</t>
  </si>
  <si>
    <t>1в</t>
  </si>
  <si>
    <t>Модернизация хлораторной на водопроводной станции "Малиновая гряда"</t>
  </si>
  <si>
    <t>Реконструкция (модернизация) водонапорных станций с заменой насосного оборудования, шкафов управления, установкой частотно-регулируемых приводов и заменой арматуры</t>
  </si>
  <si>
    <t>2027</t>
  </si>
  <si>
    <t>Реконструкция кабельной линии 6кВ Ф 624 1500м до Слудинской в/станции</t>
  </si>
  <si>
    <t>Строительство сетей водоснабжения в Нижнем Новгороде</t>
  </si>
  <si>
    <t>15</t>
  </si>
  <si>
    <t>Модернизация водопроводной станции «Малиновая гряда» по адресу: город Нижний Новгород, Приокский район, пр. Гагарина, д. 121. Установка оборудования по предварительной аммонизации  на территории НС-1.</t>
  </si>
  <si>
    <t>Водозабор НС-1 Ново-Сормовской водопроводной станции ОАО «Нижегородский водоканал». Строительство рыбозащитных сооружений</t>
  </si>
  <si>
    <t xml:space="preserve">Реконструкция cооружения передающих устройств - водовод (сооружение), инвентарный номер: 22:401:900:000442090, литер:1, протяженность: 2777 м Адрес (местоположение) объекта: Город НИЖНИЙ НОВГОРОД, проспект МОЛОДЕЖНЫЙ, от водозабора до пр. Молодежный, 2А (пр. Ленина, 100) (от т. А до ВК-27). </t>
  </si>
  <si>
    <t>Строительство наружных сетей водоснабжения 1-й очереди строительства ЖК «Новинки Смарт Сити»</t>
  </si>
  <si>
    <t xml:space="preserve">Модернизация Ново-Сормовской водопроводной станции по адресу: город Нижний Новгород, Сормовский район, ул. Алебастровая, д. 91. Установка оборудования по предварительной аммонизации  на территории НС-1. </t>
  </si>
  <si>
    <t>16</t>
  </si>
  <si>
    <t>Модернизация водопроводной станции «Слудинская» по адресу: город Нижний Новгород, Советский район, пр. Гагарина, д. 31. Установка оборудования по предварительной аммонизации  на территории НС-1</t>
  </si>
  <si>
    <t>17</t>
  </si>
  <si>
    <t>Проектирование мероприятий по защите водозабора Ново-Сормовской водопроводной станции от воздействия при строительстве и эксплуатации Нижегородского низконапорного гидроузла.</t>
  </si>
  <si>
    <t>VSNA_IP_EVENT_SUBGROUP_1_LIST</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</si>
  <si>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</si>
  <si>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новых сетей водоснабжения в целях подключения потребителей</t>
  </si>
  <si>
    <t>Прокладка 2-х вводов 2хД=500 мм протяженностью ~75 п.м. каждый, общей протяженностью ~150п.м., от водопроводной линии Д=500 мм по ул.Самаркандская/Керченская до границ земельного участка объекта строительства: «Универсальный спортивный комплекс с искусственным льдом в г. Нижнем Новгороде», расположенного по адресу: Нижегородская область, город Нижний Новгород, Канавинский район, в квартале ул. Бетанкура, набережной р. Волга, ул. Должанская, ул. Самаркандская (с запрошенной мощностью: хозяйственно-бытовые и производственные нужды 135,13 м3/час/422,95 м3/сут., (в том числе производственные нужды 24,5 м3/час/88,98м3/сут.), противопожарные нужды: - внутреннее – 15,6 л/с, - автоматическое – 74,26 л/с, - наружное – 110 л/с).</t>
  </si>
  <si>
    <t>2023</t>
  </si>
  <si>
    <t xml:space="preserve">  Средства, полученные за счет платы за подключение (технологическое присоединение)</t>
  </si>
  <si>
    <t xml:space="preserve">  Прибыль направляемая на инвестиции</t>
  </si>
  <si>
    <t xml:space="preserve">     Прочие амортизационные отчисления</t>
  </si>
  <si>
    <t>реконструкция или модернизация существующих сетей водоснабжения</t>
  </si>
  <si>
    <t>Реконструкция водопроводной линии по адресу Московское ш., 235 - Московское ш., 312</t>
  </si>
  <si>
    <t>2030</t>
  </si>
  <si>
    <t>Реконструкция водопроводных сетей Д 110мм, в Канавинском районе по ул. Окт.Революции от д. 5 до д.74 и от д.5 до 70</t>
  </si>
  <si>
    <t>Реконструкция (модернизация) водопроводных сетей. Реконструкция водопровода Д-250мм в г. Н. Новгород в районе улиц Усилова,3/3 – Яблоневая,12А</t>
  </si>
  <si>
    <t>2024</t>
  </si>
  <si>
    <t>Строительство водовода d315 мм от водовода d500 мм в к.п. Зеленый город до во-довода 2d225 мм в районе НПЭК</t>
  </si>
  <si>
    <t>Реконструкция водопроводной станции "Малиновая гряда"</t>
  </si>
  <si>
    <t xml:space="preserve">  Бюджет субъекта РФ</t>
  </si>
  <si>
    <t xml:space="preserve">  Бюджет муниципального образования</t>
  </si>
  <si>
    <t>Строительство водовода (перемычки) Д=600 мм между водоводами Д=600 мм по ул. Детской и Д=1020 мм у дома №31 по ул. Переходникова</t>
  </si>
  <si>
    <t>Строительство водопроводной насосной станции у дома №9А по ул.Медицинская Приокского района г.Н.Новгород</t>
  </si>
  <si>
    <t xml:space="preserve">  Прочие собственные средства</t>
  </si>
  <si>
    <t xml:space="preserve">Строительство сетей холодного водоснабжения Д=110 мм от проектируемого водопроводного колодца на границе земельного участка до существующей водопроводной линии Д=200 мм идущей на здание № 5 по ул. Ветеринарная.  Разрешаемый отбор объема питьевой воды: 1,755 м3/час/3,005 м3/сут. (в т.ч. производственные нужды)  </t>
  </si>
  <si>
    <t xml:space="preserve">Строительство сетей холодного водоснабжения Ду=63 мм, общей протяженностью 20 м от проектируемого водопроводного колодца на границе земельного участка до существующей водопроводной линии Ду=300 мм идущей по бульвару Мещерский у дома № 5.                                      Разрешаемый отбор объема питьевой воды: 3,38м3/час/18,2 м3/сут. (в т.ч. производственные нужды). </t>
  </si>
  <si>
    <t>Строительство сетей холодного водоснабжения Д=32 мм, общей протяженностью 180 м (ГНБ, в футляре) от проектируемого водопроводного колодца на границе земельного участка до существующей водопроводной линии Д=160 мм идущей по ул. Суетинская.                                                                            Разрешаемый объем отбора питьевой воды:-1,18 м3/час/ 6.93 м3/сут. в том чичле производственные нужды.</t>
  </si>
  <si>
    <t>Строительство сетей холодного водоснабжения Д=32 мм, общей протяженностью 12 м (ГНБ, в футляре) от проектируемого водопроводного колодца на границе земельного участка до существующей водопроводной линии Д=150 мм идущей по ул. Дальняя в районе дома № 1/29В. Разрешаемый объем отбора питьевой воды: 0,832 м3/час/ 7,485 м3/сут. (в том чичле производственные нужды).</t>
  </si>
  <si>
    <t xml:space="preserve">Строительство сетей холодного водоснабжения 2Д=225 мм, каждая протяженностью 9 м, общей протяженностью 18 м (ГНБ, в футляре) от проектируемой точки на границе земельного участка до существующей водопроводной линии Д=500 мм по ул. Большая Покровская у дома № 1. </t>
  </si>
  <si>
    <t>Строительство сетей холодного водоснабжения Д=90 мм, общей протяженностью 53 м от проектируемой точки на границе земельного участка до существующей водопроводной линии Д=110 мм, проходящей по ул. Гребешковский откос,3.</t>
  </si>
  <si>
    <t xml:space="preserve">Строительство сетей холодного водоснабжения Д=110 мм, общей протяженностью 60 м от проектируемой точки на границе земельного участка до существующей водопроводной линии Д=300 мм, проходящей по ул. Композиторской. </t>
  </si>
  <si>
    <t xml:space="preserve">Строительство сетей холодного водоснабжения Д=32 мм общей протяженностью 1,0 м от проектируемой точки на границе земельного участка до существующей водопроводной линии Д=200 мм по ул. Вторчермета.     </t>
  </si>
  <si>
    <t>Строительство сетей холодного водоснабжения 2Д=160 мм, каждая протяженностью 60 м, общей протяженностью 120 м. от проектируемой точки на границе земельного участка до существующей водопроводной линии Д=500 мм, проходящей по ул. Бурнаковская.</t>
  </si>
  <si>
    <t xml:space="preserve">Строительство сетей холодного водоснабжения Д=110 мм, общей протяженностью 57 м от проектируемой точки на границе земельного участка до существующей водопроводной линии Д=1000 мм по ул. Космическая. </t>
  </si>
  <si>
    <t>18</t>
  </si>
  <si>
    <t xml:space="preserve">Строительство сетей холодного водоснабжения Д=63мм, общей протяженностью 12м от проектируемой точки на границе земельного участка до существующей водопроводной линии Д=150 мм, проходящей по ул. Дальняя объекта:«Блочно-модульная котельная» по адресу: Нижегородская область, г. Нижний Новгород, Нижегородский район, в 30 метрах на юго-запад от дома № 7 по ул. Дальняя.  </t>
  </si>
  <si>
    <t>19</t>
  </si>
  <si>
    <t xml:space="preserve">Строительство сетей холодного водоснабжения Д=63мм, общей протяженностью  100м от проектируемой точки на границе земельного участка до существующей водопроводной линии Д=300 мм, проходящей в районе дома № 2 по ул. Ярославская. </t>
  </si>
  <si>
    <t>20</t>
  </si>
  <si>
    <t>Прокладка водопроводных линий от водопровода Д=500 мм, идущего по ул. Вязниковская (точка присоединения на сетях АО «Нижегородский водоканал»), до точки врезки на границе земельного участка (кадастровый № земельного участка 52:18:0030260:190).  Разрешенный отбор объемов питьевой воды: по водоснабжению – 23,295 л/сек/ 71,728 куб.м/час/ 990,89 куб.м/сут;  пожаротушение общее (внутреннее и автоматическое) – 50,4л/с, 181,44 куб.м/час/ 181,44 куб.м/сут., наружное 40 л/с, 144 куб.м/час/ 432 куб.м/сут.</t>
  </si>
  <si>
    <t>21</t>
  </si>
  <si>
    <t>"Прокладка двух водопроводных линий от водопровода Д=1000 мм, проходящих в районе дома № 23 по ул. Красных Зорь, до границ земельного участка объекта. Размеры нагрузки объекта: -хозяйственно-бытовые нужды –16,709 л/сек/39,815м3/час/40,265.м3/сут;     - производственные:-53,2162л/сек/180,739м3/час/ 3991,51.м3/сут; 
пожаротушение:внутреннее –20л/с/ 72м3/час/ 216м3/сут., наружное 90 л/с, 324 м3/час/ 972 м3/сут."</t>
  </si>
  <si>
    <t>22</t>
  </si>
  <si>
    <t>Прокладка водопроводной линии от водопровода Д=500 мм, идущего по ул. Станиславского, до границ земельного участка объекта.</t>
  </si>
  <si>
    <t>23</t>
  </si>
  <si>
    <t xml:space="preserve">Прокладка водопроводных линий 2Д=280мм, каждая протяженностью 46 м,  общей протяженностью 92 м от водопровода Д=700 мм, идущего по ул. Малая Ямская  до границ земельного участка объекта «ИТ-Кампус мирового уровня в г. Нижний Новгород, гостиница без звезд по адресу: Нижегородская обл., г. Н. Новгород, Нижегородский район, ул. Б.Овраги». </t>
  </si>
  <si>
    <t xml:space="preserve">Прокладка водопроводных линий 2Д=280 мм, каждая протяженностью 580,6 м, общей протяженностью 1161,2 м от водопровода Д=700 мм, идущего по ул. Малая Ямская, до границ земельного участка подключаемого объекта по ул. Дальняя». </t>
  </si>
  <si>
    <t>25</t>
  </si>
  <si>
    <t xml:space="preserve">Прокладка водопроводных линий 2Д=355 мм – 110,0 м, 2Д=315 мм – 570,0 м, 2Д=250 мм – 55,0 м, 2Д=225 мм – 250,0 м, общей протяженностью 985 м от водопровода Д=500 мм, идущего по пр. Гагарина, до границ земельных участков объекта.    </t>
  </si>
  <si>
    <t>26</t>
  </si>
  <si>
    <t>27</t>
  </si>
  <si>
    <t>28</t>
  </si>
  <si>
    <t>29</t>
  </si>
  <si>
    <t>Выполнение мероприятий по обеспечению безопасности объекта по адресу г.ННовгород,ул.Иванова,9а</t>
  </si>
  <si>
    <t>30</t>
  </si>
  <si>
    <t>Приобретение спецтехники и оборудования (оборудование водоснабжения)</t>
  </si>
  <si>
    <t>Реконструкция водопроводной станции "Малиновая гряда",</t>
  </si>
  <si>
    <t>Установка регуляторов давления на водопроводах Нагорной части города Нижнего Новгорода</t>
  </si>
  <si>
    <t>2025</t>
  </si>
  <si>
    <t>Строительство сетей холодного водоснабжения Д=110 мм, общей протяженностью 660 м (ГНБ, в футляре) от проектируемого водопроводного колодца на границе земельного участка до существующей водопроводной линии Д=200 мм проходящей в районе дома № 47 по ул. Федосеенко. Разрешаемый объем отбора питьевой воды: 1,393 м3/час/ 7,711 м3/сут. в том чичле производственные нужды.</t>
  </si>
  <si>
    <t>Прокладка сетей холодного водоснабжения 2Д=63 мм от проектируемой точки на границе земельного участка до существующей водопроводной линии Д=315 мм, проходящей у дома № 48 по ул. Украинская.</t>
  </si>
  <si>
    <t>Строительство объекта" Ограждающая дамба в акватории р. Волга, расположенная ориентировочно в 180 м по направлению на северо-восток от границ земельного участка с кадастровым номером 52:18:0000000:104"</t>
  </si>
  <si>
    <t>Строительство объекта «Сети водоснабжения пос. Нагулино, Автозаводский район, г. Н.Новгород»</t>
  </si>
  <si>
    <t>Реконструкция водопроводной линии по ул. Гороховецкая, 1 – ВНС 435км</t>
  </si>
  <si>
    <t>Строительство водопровода в поселке Новое Доскино Автозаводского района г. Нижнего Новгорода</t>
  </si>
  <si>
    <t>Строительство объекта «Сети водоснабжения пос. Гнилицы, пос. Стригино, Автозаводский район, г. Н.Новгород»</t>
  </si>
  <si>
    <t>Строительство автономного источника теплоснабжения на  Ново-Сормовской водопроводной станции</t>
  </si>
  <si>
    <t>Реконструкция водопроводной линии от ул. Федосеенко, 34 до ул. Травяная, 6</t>
  </si>
  <si>
    <t xml:space="preserve">Строительство водопровода в поселке Новое Доскино Автозаводского района г. Нижнего Новгорода
</t>
  </si>
  <si>
    <t>Строительство объекта «Водопроводная линия Ду-150мм к ул. Мунина от водовода Ду-400мм».</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</si>
  <si>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</si>
  <si>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</si>
  <si>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</si>
  <si>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</si>
  <si>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</si>
  <si>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</si>
  <si>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</si>
  <si>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</si>
  <si>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</si>
  <si>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</si>
  <si>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</si>
  <si>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</si>
  <si>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</si>
  <si>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</si>
  <si>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</si>
  <si>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</si>
  <si>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</si>
  <si>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</si>
  <si>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</si>
  <si>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</si>
  <si>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</si>
  <si>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</si>
  <si>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</si>
  <si>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</si>
  <si>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</si>
  <si>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</si>
  <si>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</si>
  <si>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</si>
  <si>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</si>
  <si>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</si>
  <si>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</si>
  <si>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</si>
  <si>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</si>
  <si>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</si>
  <si>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</si>
  <si>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</si>
  <si>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</si>
  <si>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</si>
  <si>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</si>
  <si>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</si>
  <si>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</si>
  <si>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</si>
  <si>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</si>
  <si>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</si>
  <si>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</si>
  <si>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</si>
  <si>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</si>
  <si>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</si>
  <si>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</si>
  <si>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</si>
  <si>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</si>
  <si>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</si>
  <si>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</si>
  <si>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</si>
  <si>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</si>
  <si>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</si>
  <si>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</si>
  <si>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</si>
  <si>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</si>
  <si>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</si>
  <si>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</si>
  <si>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</si>
  <si>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</si>
  <si>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</si>
  <si>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</si>
  <si>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</si>
  <si>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</si>
  <si>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</si>
  <si>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</si>
  <si>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</si>
  <si>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</si>
  <si>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</si>
  <si>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</si>
  <si>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</si>
  <si>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</si>
  <si>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</si>
  <si>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</si>
  <si>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</si>
  <si>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</si>
  <si>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</si>
  <si>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</si>
  <si>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</si>
  <si>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</si>
  <si>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</si>
  <si>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</si>
  <si>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</si>
  <si>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</si>
  <si>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</si>
  <si>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</si>
  <si>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</si>
  <si>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</si>
  <si>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</si>
  <si>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</si>
  <si>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</si>
  <si>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</si>
  <si>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</si>
  <si>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</si>
  <si>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</si>
  <si>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</si>
  <si>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</si>
  <si>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</si>
  <si>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по организации</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</si>
  <si>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</si>
  <si>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</si>
  <si>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</si>
  <si>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</si>
  <si>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</si>
  <si>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</si>
  <si>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</si>
  <si>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</si>
  <si>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</si>
  <si>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</si>
  <si>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</si>
  <si>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</si>
  <si>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</si>
  <si>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</si>
  <si>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</si>
  <si>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</si>
  <si>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</si>
  <si>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</si>
  <si>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</si>
  <si>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</si>
  <si>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</si>
  <si>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</si>
  <si>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</si>
  <si>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</si>
  <si>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</si>
  <si>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</si>
  <si>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</si>
  <si>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</si>
  <si>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</si>
  <si>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</si>
  <si>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</si>
  <si>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</si>
  <si>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</si>
  <si>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</si>
  <si>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</si>
  <si>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</si>
  <si>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</si>
  <si>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</si>
  <si>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</si>
  <si>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</si>
  <si>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</si>
  <si>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</si>
  <si>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</si>
  <si>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</si>
  <si>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</si>
  <si>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</si>
  <si>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</si>
  <si>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</si>
  <si>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</si>
  <si>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</si>
  <si>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</si>
  <si>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</si>
  <si>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</si>
  <si>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</si>
  <si>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</si>
  <si>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</si>
  <si>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</si>
  <si>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</si>
  <si>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</si>
  <si>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</si>
  <si>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</si>
  <si>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</si>
  <si>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</si>
  <si>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</si>
  <si>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</si>
  <si>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</si>
  <si>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</si>
  <si>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</si>
  <si>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</si>
  <si>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</si>
  <si>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</si>
  <si>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</si>
  <si>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</si>
  <si>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</si>
  <si>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</si>
  <si>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</si>
  <si>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</si>
  <si>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</si>
  <si>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</si>
  <si>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</si>
  <si>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</si>
  <si>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</si>
  <si>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</si>
  <si>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</si>
  <si>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</si>
  <si>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</si>
  <si>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</si>
  <si>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</si>
  <si>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</si>
  <si>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</si>
  <si>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</si>
  <si>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</si>
  <si>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</si>
  <si>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</si>
  <si>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</si>
  <si>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</si>
  <si>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</si>
  <si>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</si>
  <si>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</si>
  <si>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</si>
  <si>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</si>
  <si>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</si>
  <si>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</si>
  <si>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</si>
  <si>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</si>
  <si>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</si>
  <si>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</si>
  <si>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</si>
  <si>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</si>
  <si>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</si>
  <si>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</si>
  <si>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</si>
  <si>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</si>
  <si>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</si>
  <si>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</si>
  <si>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</si>
  <si>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</si>
  <si>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</si>
  <si>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</si>
  <si>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</si>
  <si>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</si>
  <si>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</si>
  <si>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</si>
  <si>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</si>
  <si>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</si>
  <si>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</si>
  <si>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</si>
  <si>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</si>
  <si>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</si>
  <si>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</si>
  <si>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</si>
  <si>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</si>
  <si>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</si>
  <si>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</si>
  <si>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</si>
  <si>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</si>
  <si>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</si>
  <si>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</si>
  <si>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</si>
  <si>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</si>
  <si>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</si>
  <si>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</si>
  <si>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</si>
  <si>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</si>
  <si>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</si>
  <si>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</si>
  <si>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</si>
  <si>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</si>
  <si>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</si>
  <si>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</si>
  <si>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</si>
  <si>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</si>
  <si>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</si>
  <si>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</si>
  <si>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</si>
  <si>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</si>
  <si>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</si>
  <si>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</si>
  <si>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</si>
  <si>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</si>
  <si>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</si>
  <si>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</si>
  <si>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</si>
  <si>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</si>
  <si>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</si>
  <si>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</si>
  <si>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</si>
  <si>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</si>
  <si>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</si>
  <si>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</si>
  <si>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</si>
  <si>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</si>
  <si>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</si>
  <si>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</si>
  <si>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</si>
  <si>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</si>
  <si>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</si>
  <si>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</si>
  <si>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</si>
  <si>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</si>
  <si>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</si>
  <si>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</si>
  <si>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</si>
  <si>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</si>
  <si>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</si>
  <si>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</si>
  <si>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</si>
  <si>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</si>
  <si>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</si>
  <si>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</si>
  <si>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</si>
  <si>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</si>
  <si>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</si>
  <si>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</si>
  <si>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</si>
  <si>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</si>
  <si>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</si>
  <si>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</si>
  <si>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</si>
  <si>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</si>
  <si>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</si>
  <si>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</si>
  <si>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</si>
  <si>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</si>
  <si>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</si>
  <si>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</si>
  <si>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</si>
  <si>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</si>
  <si>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</si>
  <si>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</si>
  <si>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</si>
  <si>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</si>
  <si>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</si>
  <si>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</si>
  <si>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</si>
  <si>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</si>
  <si>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</si>
  <si>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</si>
  <si>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</si>
  <si>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</si>
  <si>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</si>
  <si>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</si>
  <si>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</si>
  <si>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</si>
  <si>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</si>
  <si>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</si>
  <si>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</si>
  <si>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</si>
  <si>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</si>
  <si>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</si>
  <si>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</si>
  <si>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</si>
  <si>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</si>
  <si>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</si>
  <si>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</si>
  <si>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</si>
  <si>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</si>
  <si>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</si>
  <si>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</si>
  <si>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</si>
  <si>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</si>
  <si>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</si>
  <si>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</si>
  <si>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</si>
  <si>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</si>
  <si>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</si>
  <si>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</si>
  <si>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</si>
  <si>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</si>
  <si>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</si>
  <si>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</si>
  <si>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</si>
  <si>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</si>
  <si>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</si>
  <si>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</si>
  <si>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</si>
  <si>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</si>
  <si>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</si>
  <si>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</si>
  <si>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</si>
  <si>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</si>
  <si>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</si>
  <si>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</si>
  <si>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</si>
  <si>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</si>
  <si>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</si>
  <si>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</si>
  <si>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</si>
  <si>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</si>
  <si>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</si>
  <si>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</si>
  <si>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</si>
  <si>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</si>
  <si>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</si>
  <si>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</si>
  <si>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</si>
  <si>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</si>
  <si>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</si>
  <si>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</si>
  <si>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</si>
  <si>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</si>
  <si>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</si>
  <si>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</si>
  <si>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</si>
  <si>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</si>
  <si>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</si>
  <si>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</si>
  <si>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</si>
  <si>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</si>
  <si>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</si>
  <si>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Сентябрь</t>
  </si>
  <si>
    <t xml:space="preserve">  За счет платы за технологическое присоединение</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</si>
  <si>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</si>
  <si>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</si>
  <si>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</si>
  <si>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</si>
  <si>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</si>
  <si>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</si>
  <si>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</si>
  <si>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</si>
  <si>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</si>
  <si>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</si>
  <si>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</si>
  <si>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</si>
  <si>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</si>
  <si>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</si>
  <si>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</si>
  <si>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</si>
  <si>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</si>
  <si>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</si>
  <si>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</si>
  <si>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</si>
  <si>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</si>
  <si>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</si>
  <si>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</si>
  <si>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</si>
  <si>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</si>
  <si>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</si>
  <si>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</si>
  <si>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</si>
  <si>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</si>
  <si>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</si>
  <si>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</si>
  <si>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</si>
  <si>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</si>
  <si>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</si>
  <si>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</si>
  <si>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</si>
  <si>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</si>
  <si>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</si>
  <si>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</si>
  <si>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</si>
  <si>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</si>
  <si>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</si>
  <si>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</si>
  <si>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</si>
  <si>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</si>
  <si>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</si>
  <si>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</si>
  <si>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</si>
  <si>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</si>
  <si>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</si>
  <si>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</si>
  <si>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</si>
  <si>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</si>
  <si>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</si>
  <si>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</si>
  <si>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</si>
  <si>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</si>
  <si>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</si>
  <si>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</si>
  <si>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</si>
  <si>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</si>
  <si>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</si>
  <si>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</si>
  <si>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</si>
  <si>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</si>
  <si>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</si>
  <si>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</si>
  <si>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</si>
  <si>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</si>
  <si>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</si>
  <si>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</si>
  <si>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</si>
  <si>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</si>
  <si>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</si>
  <si>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</si>
  <si>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</si>
  <si>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</si>
  <si>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</si>
  <si>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</si>
  <si>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</si>
  <si>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</si>
  <si>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</si>
  <si>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</si>
  <si>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</si>
  <si>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</si>
  <si>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</si>
  <si>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</si>
  <si>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</si>
  <si>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</si>
  <si>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</si>
  <si>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</si>
  <si>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</si>
  <si>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</si>
  <si>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</si>
  <si>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</si>
  <si>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</si>
  <si>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</si>
  <si>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</si>
  <si>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</si>
  <si>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</si>
  <si>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</si>
  <si>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</si>
  <si>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</si>
  <si>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</si>
  <si>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</si>
  <si>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</si>
  <si>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</si>
  <si>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</si>
  <si>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</si>
  <si>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</si>
  <si>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</si>
  <si>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</si>
  <si>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</si>
  <si>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</si>
  <si>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</si>
  <si>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</si>
  <si>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</si>
  <si>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</si>
  <si>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</si>
  <si>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</si>
  <si>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</si>
  <si>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</si>
  <si>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</si>
  <si>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</si>
  <si>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</si>
  <si>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</si>
  <si>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</si>
  <si>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</si>
  <si>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</si>
  <si>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</si>
  <si>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</si>
  <si>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</si>
  <si>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</si>
  <si>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</si>
  <si>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</si>
  <si>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</si>
  <si>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</si>
  <si>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</si>
  <si>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</si>
  <si>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</si>
  <si>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</si>
  <si>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</si>
  <si>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</si>
  <si>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</si>
  <si>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</si>
  <si>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</si>
  <si>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</si>
  <si>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</si>
  <si>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</si>
  <si>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</si>
  <si>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</si>
  <si>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</si>
  <si>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</si>
  <si>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</si>
  <si>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</si>
  <si>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</si>
  <si>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</si>
  <si>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</si>
  <si>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</si>
  <si>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</si>
  <si>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</si>
  <si>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</si>
  <si>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</si>
  <si>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</si>
  <si>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</si>
  <si>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</si>
  <si>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</si>
  <si>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</si>
  <si>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</si>
  <si>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</si>
  <si>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</si>
  <si>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</si>
  <si>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</si>
  <si>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</si>
  <si>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</si>
  <si>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</si>
  <si>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</si>
  <si>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</si>
  <si>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</si>
  <si>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</si>
  <si>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</si>
  <si>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</si>
  <si>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</si>
  <si>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</si>
  <si>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</si>
  <si>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</si>
  <si>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</si>
  <si>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</si>
  <si>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</si>
  <si>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</si>
  <si>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</si>
  <si>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</si>
  <si>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</si>
  <si>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</si>
  <si>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</si>
  <si>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</si>
  <si>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</si>
  <si>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</si>
  <si>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</si>
  <si>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</si>
  <si>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</si>
  <si>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</si>
  <si>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</si>
  <si>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</si>
  <si>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</si>
  <si>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</si>
  <si>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</si>
  <si>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</si>
  <si>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</si>
  <si>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</si>
  <si>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</si>
  <si>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</si>
  <si>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</si>
  <si>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</si>
  <si>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</si>
  <si>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</si>
  <si>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</si>
  <si>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</si>
  <si>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</si>
  <si>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</si>
  <si>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</si>
  <si>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</si>
  <si>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</si>
  <si>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</si>
  <si>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</si>
  <si>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</si>
  <si>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</si>
  <si>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</si>
  <si>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</si>
  <si>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</si>
  <si>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</si>
  <si>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</si>
  <si>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</si>
  <si>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</si>
  <si>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</si>
  <si>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</si>
  <si>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</si>
  <si>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</si>
  <si>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</si>
  <si>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</si>
  <si>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</si>
  <si>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</si>
  <si>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</si>
  <si>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</si>
  <si>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</si>
  <si>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</si>
  <si>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</si>
  <si>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</si>
  <si>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</si>
  <si>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</si>
  <si>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</si>
  <si>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</si>
  <si>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</si>
  <si>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</si>
  <si>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</si>
  <si>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</si>
  <si>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</si>
  <si>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</si>
  <si>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</si>
  <si>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</si>
  <si>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</si>
  <si>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</si>
  <si>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</si>
  <si>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</si>
  <si>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</si>
  <si>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</si>
  <si>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</si>
  <si>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</si>
  <si>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</si>
  <si>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</si>
  <si>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</si>
  <si>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</si>
  <si>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</si>
  <si>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</si>
  <si>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</si>
  <si>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</si>
  <si>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</si>
  <si>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</si>
  <si>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</si>
  <si>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</si>
  <si>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</si>
  <si>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</si>
  <si>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</si>
  <si>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</si>
  <si>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</si>
  <si>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</si>
  <si>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</si>
  <si>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</si>
  <si>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</si>
  <si>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</si>
  <si>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</si>
  <si>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</si>
  <si>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</si>
  <si>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</si>
  <si>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</si>
  <si>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</si>
  <si>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</si>
  <si>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</si>
  <si>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</si>
  <si>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</si>
  <si>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</si>
  <si>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</si>
  <si>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</si>
  <si>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</si>
  <si>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</si>
  <si>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</si>
  <si>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</si>
  <si>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</si>
  <si>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</si>
  <si>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</si>
  <si>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</si>
  <si>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</si>
  <si>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</si>
  <si>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</si>
  <si>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</si>
  <si>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</si>
  <si>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</si>
  <si>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</si>
  <si>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</si>
  <si>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</si>
  <si>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</si>
  <si>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</si>
  <si>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</si>
  <si>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</si>
  <si>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</si>
  <si>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</si>
  <si>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</si>
  <si>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</si>
  <si>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</si>
  <si>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</si>
  <si>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</si>
  <si>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</si>
  <si>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</si>
  <si>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</si>
  <si>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</si>
  <si>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</si>
  <si>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</si>
  <si>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</si>
  <si>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</si>
  <si>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</si>
  <si>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</si>
  <si>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</si>
  <si>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</si>
  <si>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</si>
  <si>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</si>
  <si>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</si>
  <si>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</si>
  <si>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</si>
  <si>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</si>
  <si>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</si>
  <si>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</si>
  <si>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</si>
  <si>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</si>
  <si>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</si>
  <si>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</si>
  <si>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</si>
  <si>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</si>
  <si>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</si>
  <si>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</si>
  <si>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</si>
  <si>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</si>
  <si>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</si>
  <si>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</si>
  <si>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</si>
  <si>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</si>
  <si>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</si>
  <si>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</si>
  <si>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</si>
  <si>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</si>
  <si>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</si>
  <si>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</si>
  <si>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</si>
  <si>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</si>
  <si>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</si>
  <si>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</si>
  <si>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</si>
  <si>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</si>
  <si>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</si>
  <si>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</si>
  <si>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</si>
  <si>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</si>
  <si>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</si>
  <si>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</si>
  <si>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</si>
  <si>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</si>
  <si>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</si>
  <si>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</si>
  <si>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</si>
  <si>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</si>
  <si>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</si>
  <si>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</si>
  <si>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</si>
  <si>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</si>
  <si>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</si>
  <si>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</si>
  <si>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</si>
  <si>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</si>
  <si>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</si>
  <si>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</si>
  <si>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</si>
  <si>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</si>
  <si>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</si>
  <si>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</si>
  <si>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</si>
  <si>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</si>
  <si>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</si>
  <si>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</si>
  <si>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</si>
  <si>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</si>
  <si>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</si>
  <si>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</si>
  <si>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</si>
  <si>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</si>
  <si>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</si>
  <si>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</si>
  <si>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</si>
  <si>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</si>
  <si>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</si>
  <si>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</si>
  <si>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</si>
  <si>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</si>
  <si>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</si>
  <si>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</si>
  <si>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</si>
  <si>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</si>
  <si>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</si>
  <si>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</si>
  <si>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</si>
  <si>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</si>
  <si>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</si>
  <si>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</si>
  <si>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</si>
  <si>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</si>
  <si>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</si>
  <si>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</si>
  <si>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</si>
  <si>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</si>
  <si>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</si>
  <si>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</si>
  <si>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</si>
  <si>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</si>
  <si>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</si>
  <si>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</si>
  <si>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</si>
  <si>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</si>
  <si>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</si>
  <si>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</si>
  <si>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</si>
  <si>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</si>
  <si>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</si>
  <si>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</si>
  <si>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</si>
  <si>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</si>
  <si>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</si>
  <si>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</si>
  <si>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</si>
  <si>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листе "Показатели КНЭ" в пункте 7 "Средняя продолжительность рассмотрения договора о подключении" указан срок подготовки договора о подключении в рабочих днях, установленный законодательством РФ.</t>
  </si>
  <si>
    <t>На листе "Показатели ФХД", столбец "L", пункт 8 "Объем покупной воды" указан объем воды, полученной со стороны, в том числе покупная вода МУП "Водоканал Кстовского района" (391,3863 тыс.куб.м) и полученная из г. Нижнего Новгорода (1 523,67 тыс.куб.м)</t>
  </si>
  <si>
    <t>На листе "Показатели ФХД" по Питьевой воде.Территория 1 (г.о.г. Нижний Новгород) выручка от регулируемого вида деятельности указана с учетом доходов от холодного водоснабжения с повышающим коэффициентом (Питьевая вода - 2 765 879,51203 тыс.руб, Питьевая вода ПК - 79 152,79297 тыс. руб.)</t>
  </si>
  <si>
    <t>На листе "Показатели ФХД" по Питьевой воде.Территория 2 (КМО) выручка от регулируемого вида деятельности указана с учетом доходов от холодного водоснабжения с повышающим коэффициентом (Питьевая вода - 80 234,50564 тыс.руб, Питьевая вода ПК - 7 811,0868 тыс. руб.)</t>
  </si>
  <si>
    <t>На листе "Показатели ФХД" по Питьевой воде.Территория 2 (КМО) прочие доходы/прочие расходы составляют 3 242,01 тыс.руб</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</si>
  <si>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</si>
  <si>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</si>
  <si>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</si>
  <si>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</si>
  <si>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</si>
  <si>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</si>
  <si>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</si>
  <si>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</si>
  <si>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</si>
  <si>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</si>
  <si>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</si>
  <si>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</si>
  <si>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</si>
  <si>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</si>
  <si>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</si>
  <si>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</si>
  <si>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</si>
  <si>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</si>
  <si>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</si>
  <si>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</si>
  <si>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</si>
  <si>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</si>
  <si>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</si>
  <si>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</si>
  <si>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</si>
  <si>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</si>
  <si>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</si>
  <si>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</si>
  <si>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</si>
  <si>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</si>
  <si>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</si>
  <si>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</si>
  <si>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</si>
  <si>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</si>
  <si>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</si>
  <si>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</si>
  <si>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</si>
  <si>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</si>
  <si>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</si>
  <si>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</si>
  <si>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</si>
  <si>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</si>
  <si>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</si>
  <si>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</si>
  <si>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</si>
  <si>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</si>
  <si>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</si>
  <si>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</si>
  <si>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</si>
  <si>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</si>
  <si>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</si>
  <si>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</si>
  <si>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</si>
  <si>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</si>
  <si>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</si>
  <si>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</si>
  <si>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</si>
  <si>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</si>
  <si>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</si>
  <si>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</si>
  <si>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</si>
  <si>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</si>
  <si>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</si>
  <si>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</si>
  <si>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</si>
  <si>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</si>
  <si>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</si>
  <si>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</si>
  <si>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</si>
  <si>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</si>
  <si>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</si>
  <si>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</si>
  <si>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</si>
  <si>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</si>
  <si>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</si>
  <si>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</si>
  <si>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</si>
  <si>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</si>
  <si>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</si>
  <si>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</si>
  <si>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</si>
  <si>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</si>
  <si>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</si>
  <si>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</si>
  <si>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</si>
  <si>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</si>
  <si>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</si>
  <si>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</si>
  <si>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</si>
  <si>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</si>
  <si>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</si>
  <si>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</si>
  <si>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</si>
  <si>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</si>
  <si>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</si>
  <si>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</si>
  <si>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</si>
  <si>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</si>
  <si>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</si>
  <si>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</si>
  <si>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</si>
  <si>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</si>
  <si>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</si>
  <si>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</si>
  <si>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</si>
  <si>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</si>
  <si>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</si>
  <si>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</si>
  <si>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</si>
  <si>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</si>
  <si>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</si>
  <si>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</si>
  <si>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</si>
  <si>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</si>
  <si>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</si>
  <si>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</si>
  <si>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</si>
  <si>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</si>
  <si>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</si>
  <si>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</si>
  <si>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</si>
  <si>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</si>
  <si>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</si>
  <si>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</si>
  <si>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</si>
  <si>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</si>
  <si>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</si>
  <si>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</si>
  <si>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</si>
  <si>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</si>
  <si>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</si>
  <si>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</si>
  <si>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</si>
  <si>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</si>
  <si>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</si>
  <si>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</si>
  <si>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</si>
  <si>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</si>
  <si>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</si>
  <si>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</si>
  <si>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</si>
  <si>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</si>
  <si>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</si>
  <si>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</si>
  <si>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</si>
  <si>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</si>
  <si>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</si>
  <si>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</si>
  <si>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</si>
  <si>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</si>
  <si>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</si>
  <si>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</si>
  <si>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</si>
  <si>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</si>
  <si>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</si>
  <si>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</si>
  <si>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</si>
  <si>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</si>
  <si>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</si>
  <si>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</si>
  <si>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</si>
  <si>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</si>
  <si>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</si>
  <si>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</si>
  <si>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</si>
  <si>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</si>
  <si>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</si>
  <si>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</si>
  <si>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</si>
  <si>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</si>
  <si>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</si>
  <si>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</si>
  <si>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</si>
  <si>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</si>
  <si>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</si>
  <si>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</si>
  <si>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</si>
  <si>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</si>
  <si>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</si>
  <si>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</si>
  <si>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</si>
  <si>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</si>
  <si>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</si>
  <si>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</si>
  <si>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</si>
  <si>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</si>
  <si>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</si>
  <si>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</si>
  <si>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</si>
  <si>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</si>
  <si>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</si>
  <si>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</si>
  <si>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</si>
  <si>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</si>
  <si>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</si>
  <si>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</si>
  <si>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</si>
  <si>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</si>
  <si>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</si>
  <si>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</si>
  <si>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</si>
  <si>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</si>
  <si>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</si>
  <si>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</si>
  <si>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</si>
  <si>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</si>
  <si>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</si>
  <si>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</si>
  <si>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</si>
  <si>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</si>
  <si>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</si>
  <si>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</si>
  <si>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</si>
  <si>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</si>
  <si>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</si>
  <si>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</si>
  <si>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</si>
  <si>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</si>
  <si>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</si>
  <si>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</si>
  <si>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</si>
  <si>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</si>
  <si>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</si>
  <si>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</si>
  <si>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</si>
  <si>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</si>
  <si>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</si>
  <si>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</si>
  <si>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</si>
  <si>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</si>
  <si>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</si>
  <si>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</si>
  <si>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</si>
  <si>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</si>
  <si>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</si>
  <si>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</si>
  <si>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</si>
  <si>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</si>
  <si>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</si>
  <si>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</si>
  <si>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</si>
  <si>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</si>
  <si>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</si>
  <si>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</si>
  <si>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</si>
  <si>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</si>
  <si>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</si>
  <si>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</si>
  <si>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</si>
  <si>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</si>
  <si>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</si>
  <si>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</si>
  <si>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</si>
  <si>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</si>
  <si>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</si>
  <si>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</si>
  <si>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</si>
  <si>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</si>
  <si>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</si>
  <si>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</si>
  <si>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</si>
  <si>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</si>
  <si>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</si>
  <si>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</si>
  <si>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</si>
  <si>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</si>
  <si>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</si>
  <si>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</si>
  <si>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</si>
  <si>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</si>
  <si>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</si>
  <si>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</si>
  <si>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</si>
  <si>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</si>
  <si>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</si>
  <si>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</si>
  <si>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</si>
  <si>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</si>
  <si>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</si>
  <si>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</si>
  <si>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</si>
  <si>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</si>
  <si>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</si>
  <si>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</si>
  <si>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</si>
  <si>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</si>
  <si>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</si>
  <si>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</si>
  <si>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</si>
  <si>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</si>
  <si>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</si>
  <si>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</si>
  <si>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</si>
  <si>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</si>
  <si>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</si>
  <si>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</si>
  <si>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</si>
  <si>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</si>
  <si>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</si>
  <si>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</si>
  <si>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</si>
  <si>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</si>
  <si>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</si>
  <si>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</si>
  <si>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</si>
  <si>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</si>
  <si>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</si>
  <si>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</si>
  <si>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</si>
  <si>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</si>
  <si>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</si>
  <si>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</si>
  <si>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</si>
  <si>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</si>
  <si>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</si>
  <si>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</si>
  <si>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</si>
  <si>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</si>
  <si>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</si>
  <si>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</si>
  <si>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</si>
  <si>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</si>
  <si>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</si>
  <si>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</si>
  <si>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</si>
  <si>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</si>
  <si>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</si>
  <si>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</si>
  <si>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</si>
  <si>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</si>
  <si>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</si>
  <si>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</si>
  <si>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</si>
  <si>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</si>
  <si>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</si>
  <si>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</si>
  <si>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</si>
  <si>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</si>
  <si>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</si>
  <si>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</si>
  <si>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</si>
  <si>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</si>
  <si>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</si>
  <si>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</si>
  <si>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</si>
  <si>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</si>
  <si>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</si>
  <si>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</si>
  <si>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</si>
  <si>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</si>
  <si>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</si>
  <si>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</si>
  <si>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</si>
  <si>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</si>
  <si>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</si>
  <si>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</si>
  <si>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</si>
  <si>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</si>
  <si>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</si>
  <si>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</si>
  <si>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</si>
  <si>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</si>
  <si>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</si>
  <si>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</si>
  <si>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</si>
  <si>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</si>
  <si>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</si>
  <si>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</si>
  <si>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</si>
  <si>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</si>
  <si>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</si>
  <si>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</si>
  <si>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</si>
  <si>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</si>
  <si>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</si>
  <si>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</si>
  <si>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</si>
  <si>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</si>
  <si>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</si>
  <si>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</si>
  <si>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</si>
  <si>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</si>
  <si>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</si>
  <si>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</si>
  <si>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</si>
  <si>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</si>
  <si>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</si>
  <si>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</si>
  <si>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</si>
  <si>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</si>
  <si>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</si>
  <si>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</si>
  <si>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</si>
  <si>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</si>
  <si>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</si>
  <si>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</si>
  <si>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</si>
  <si>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</si>
  <si>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</si>
  <si>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</si>
  <si>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</si>
  <si>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</si>
  <si>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</si>
  <si>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</si>
  <si>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</si>
  <si>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</si>
  <si>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</si>
  <si>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</si>
  <si>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</si>
  <si>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</si>
  <si>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</si>
  <si>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</si>
  <si>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</si>
  <si>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</si>
  <si>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</si>
  <si>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</si>
  <si>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</si>
  <si>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</si>
  <si>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</si>
  <si>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</si>
  <si>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</si>
  <si>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</si>
  <si>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</si>
  <si>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</si>
  <si>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</si>
  <si>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</si>
  <si>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</si>
  <si>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</si>
  <si>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</si>
  <si>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</si>
  <si>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</si>
  <si>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</si>
  <si>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</si>
  <si>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</si>
  <si>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</si>
  <si>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</si>
  <si>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</si>
  <si>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</si>
  <si>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</si>
  <si>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</si>
  <si>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</si>
  <si>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</si>
  <si>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</si>
  <si>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</si>
  <si>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</si>
  <si>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</si>
  <si>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</si>
  <si>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</si>
  <si>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</si>
  <si>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</si>
  <si>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</si>
  <si>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</si>
  <si>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</si>
  <si>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</si>
  <si>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</si>
  <si>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</si>
  <si>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</si>
  <si>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</si>
  <si>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</si>
  <si>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</si>
  <si>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</si>
  <si>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</si>
  <si>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</si>
  <si>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</si>
  <si>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</si>
  <si>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</si>
  <si>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</si>
  <si>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</si>
  <si>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</si>
  <si>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</si>
  <si>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</si>
  <si>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</si>
  <si>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</si>
  <si>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</si>
  <si>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</si>
  <si>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</si>
  <si>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</si>
  <si>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</si>
  <si>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</si>
  <si>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</si>
  <si>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</si>
  <si>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</si>
  <si>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</si>
  <si>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</si>
  <si>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</si>
  <si>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</si>
  <si>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</si>
  <si>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</si>
  <si>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</si>
  <si>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</si>
  <si>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</si>
  <si>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</si>
  <si>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</si>
  <si>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</si>
  <si>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</si>
  <si>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</si>
  <si>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</si>
  <si>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</si>
  <si>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</si>
  <si>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</si>
  <si>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</si>
  <si>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</si>
  <si>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</si>
  <si>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</si>
  <si>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</si>
  <si>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</si>
  <si>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</si>
  <si>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</si>
  <si>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</si>
  <si>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</si>
  <si>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</si>
  <si>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</si>
  <si>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</si>
  <si>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</si>
  <si>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</si>
  <si>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</si>
  <si>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</si>
  <si>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</si>
  <si>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</si>
  <si>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</si>
  <si>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</si>
  <si>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</si>
  <si>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</si>
  <si>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</si>
  <si>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</si>
  <si>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</si>
  <si>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</si>
  <si>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</si>
  <si>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</si>
  <si>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</si>
  <si>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</si>
  <si>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</si>
  <si>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</si>
  <si>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</si>
  <si>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</si>
  <si>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</si>
  <si>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</si>
  <si>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</si>
  <si>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</si>
  <si>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</si>
  <si>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</si>
  <si>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</si>
  <si>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</si>
  <si>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</si>
  <si>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</si>
  <si>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</si>
  <si>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</si>
  <si>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</si>
  <si>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</si>
  <si>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</si>
  <si>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</si>
  <si>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</si>
  <si>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</si>
  <si>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</si>
  <si>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</si>
  <si>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</si>
  <si>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</si>
  <si>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</si>
  <si>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</si>
  <si>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</si>
  <si>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</si>
  <si>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</si>
  <si>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</si>
  <si>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</si>
  <si>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</si>
  <si>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</si>
  <si>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</si>
  <si>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</si>
  <si>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</si>
  <si>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</si>
  <si>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</si>
  <si>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</si>
  <si>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</si>
  <si>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</si>
  <si>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</si>
  <si>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</si>
  <si>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</si>
  <si>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</si>
  <si>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</si>
  <si>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</si>
  <si>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</si>
  <si>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</si>
  <si>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</si>
  <si>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</si>
  <si>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</si>
  <si>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</si>
  <si>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</si>
  <si>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</si>
  <si>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</si>
  <si>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</si>
  <si>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</si>
  <si>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</si>
  <si>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</si>
  <si>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</si>
  <si>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</si>
  <si>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</si>
  <si>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</si>
  <si>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</si>
  <si>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</si>
  <si>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</si>
  <si>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</si>
  <si>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</si>
  <si>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</si>
  <si>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</si>
  <si>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</si>
  <si>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</si>
  <si>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</si>
  <si>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</si>
  <si>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</si>
  <si>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</si>
  <si>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</si>
  <si>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</si>
  <si>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</si>
  <si>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</si>
  <si>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</si>
  <si>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</si>
  <si>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</si>
  <si>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</si>
  <si>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</si>
  <si>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</si>
  <si>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</si>
  <si>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</si>
  <si>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</si>
  <si>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</si>
  <si>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</si>
  <si>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</si>
  <si>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</si>
  <si>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</si>
  <si>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</si>
  <si>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</si>
  <si>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</si>
  <si>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</si>
  <si>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</si>
  <si>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</si>
  <si>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</si>
  <si>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</si>
  <si>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</si>
  <si>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</si>
  <si>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</si>
  <si>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</si>
  <si>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</si>
  <si>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</si>
  <si>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</si>
  <si>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</si>
  <si>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</si>
  <si>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</si>
  <si>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</si>
  <si>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</si>
  <si>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</si>
  <si>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</si>
  <si>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</si>
  <si>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</si>
  <si>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</si>
  <si>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</si>
  <si>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</si>
  <si>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</si>
  <si>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</si>
  <si>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</si>
  <si>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</si>
  <si>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</si>
  <si>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</si>
  <si>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</si>
  <si>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</si>
  <si>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</si>
  <si>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</si>
  <si>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</si>
  <si>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</si>
  <si>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</si>
  <si>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</si>
  <si>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</si>
  <si>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</si>
  <si>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</si>
  <si>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</si>
  <si>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</si>
  <si>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</si>
  <si>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</si>
  <si>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</si>
  <si>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</si>
  <si>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</si>
  <si>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</si>
  <si>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</si>
  <si>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</si>
  <si>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</si>
  <si>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</si>
  <si>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</si>
  <si>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</si>
  <si>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</si>
  <si>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</si>
  <si>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</si>
  <si>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</si>
  <si>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</si>
  <si>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</si>
  <si>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</si>
  <si>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</si>
  <si>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</si>
  <si>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</si>
  <si>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</si>
  <si>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</si>
  <si>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</si>
  <si>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</si>
  <si>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</si>
  <si>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</si>
  <si>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</si>
  <si>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</si>
  <si>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</si>
  <si>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</si>
  <si>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</si>
  <si>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</si>
  <si>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</si>
  <si>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</si>
  <si>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</si>
  <si>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</si>
  <si>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</si>
  <si>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</si>
  <si>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</si>
  <si>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</si>
  <si>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</si>
  <si>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</si>
  <si>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</si>
  <si>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</si>
  <si>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</si>
  <si>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</si>
  <si>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</si>
  <si>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</si>
  <si>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</si>
  <si>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</si>
  <si>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</si>
  <si>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</si>
  <si>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</si>
  <si>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</si>
  <si>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</si>
  <si>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</si>
  <si>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</si>
  <si>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</si>
  <si>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</si>
  <si>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</si>
  <si>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</si>
  <si>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</si>
  <si>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</si>
  <si>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</si>
  <si>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</si>
  <si>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</si>
  <si>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</si>
  <si>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</si>
  <si>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</si>
  <si>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</si>
  <si>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</si>
  <si>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</si>
  <si>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</si>
  <si>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</si>
  <si>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</si>
  <si>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</si>
  <si>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</si>
  <si>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</si>
  <si>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</si>
  <si>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</si>
  <si>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</si>
  <si>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</si>
  <si>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</si>
  <si>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</si>
  <si>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</si>
  <si>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</si>
  <si>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</si>
  <si>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</si>
  <si>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</si>
  <si>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</si>
  <si>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</si>
  <si>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</si>
  <si>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</si>
  <si>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</si>
  <si>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</si>
  <si>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</si>
  <si>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</si>
  <si>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</si>
  <si>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</si>
  <si>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</si>
  <si>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</si>
  <si>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</si>
  <si>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</si>
  <si>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</si>
  <si>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</si>
  <si>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</si>
  <si>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</si>
  <si>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</si>
  <si>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</si>
  <si>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</si>
  <si>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</si>
  <si>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</si>
  <si>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</si>
  <si>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</si>
  <si>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</si>
  <si>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</si>
  <si>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</si>
  <si>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</si>
  <si>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</si>
  <si>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</si>
  <si>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</si>
  <si>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</si>
  <si>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</si>
  <si>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</si>
  <si>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</si>
  <si>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</si>
  <si>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</si>
  <si>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</si>
  <si>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</si>
  <si>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</si>
  <si>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</si>
  <si>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</si>
  <si>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</si>
  <si>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</si>
  <si>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</si>
  <si>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</si>
  <si>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</si>
  <si>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</si>
  <si>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</si>
  <si>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</si>
  <si>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</si>
  <si>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</si>
  <si>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</si>
  <si>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</si>
  <si>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</si>
  <si>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</si>
  <si>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</si>
  <si>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</si>
  <si>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</si>
  <si>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</si>
  <si>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</si>
  <si>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</si>
  <si>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</si>
  <si>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</si>
  <si>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</si>
  <si>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</si>
  <si>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</si>
  <si>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</si>
  <si>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</si>
  <si>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</si>
  <si>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</si>
  <si>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</si>
  <si>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</si>
  <si>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</si>
  <si>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</si>
  <si>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</si>
  <si>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</si>
  <si>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</si>
  <si>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</si>
  <si>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</si>
  <si>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</si>
  <si>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</si>
  <si>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</si>
  <si>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</si>
  <si>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</si>
  <si>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</si>
  <si>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</si>
  <si>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</si>
  <si>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</si>
  <si>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</si>
  <si>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</si>
  <si>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</si>
  <si>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</si>
  <si>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</si>
  <si>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</si>
  <si>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</si>
  <si>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</si>
  <si>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</si>
  <si>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</si>
  <si>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</si>
  <si>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</si>
  <si>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</si>
  <si>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</si>
  <si>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</si>
  <si>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</si>
  <si>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</si>
  <si>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</si>
  <si>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</si>
  <si>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</si>
  <si>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</si>
  <si>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</si>
  <si>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</si>
  <si>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</si>
  <si>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</si>
  <si>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</si>
  <si>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</si>
  <si>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</si>
  <si>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</si>
  <si>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</si>
  <si>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</si>
  <si>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</si>
  <si>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</si>
  <si>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</si>
  <si>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</si>
  <si>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</si>
  <si>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</si>
  <si>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</si>
  <si>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</si>
  <si>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</si>
  <si>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</si>
  <si>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</si>
  <si>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</si>
  <si>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</si>
  <si>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</si>
  <si>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</si>
  <si>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</si>
  <si>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</si>
  <si>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</si>
  <si>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</si>
  <si>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</si>
  <si>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</si>
  <si>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</si>
  <si>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</si>
  <si>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</si>
  <si>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</si>
  <si>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</si>
  <si>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</si>
  <si>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</si>
  <si>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</si>
  <si>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</si>
  <si>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</si>
  <si>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</si>
  <si>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</si>
  <si>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</si>
  <si>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</si>
  <si>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</si>
  <si>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</si>
  <si>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</si>
  <si>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</si>
  <si>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</si>
  <si>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</si>
  <si>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</si>
  <si>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</si>
  <si>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</si>
  <si>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</si>
  <si>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</si>
  <si>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</si>
  <si>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</si>
  <si>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</si>
  <si>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</si>
  <si>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</si>
  <si>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</si>
  <si>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</si>
  <si>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</si>
  <si>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</si>
  <si>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</si>
  <si>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</si>
  <si>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</si>
  <si>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</si>
  <si>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</si>
  <si>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</si>
  <si>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</si>
  <si>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</si>
  <si>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</si>
  <si>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</si>
  <si>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</si>
  <si>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26358136</t>
  </si>
  <si>
    <t>МУП ЖКХ "БОГОЯВЛЕНСКОЕ"</t>
  </si>
  <si>
    <t>5215010375</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</si>
  <si>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</si>
  <si>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</si>
  <si>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</si>
  <si>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</si>
  <si>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</si>
  <si>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</si>
  <si>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</si>
  <si>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</si>
  <si>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</si>
  <si>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</si>
  <si>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</si>
  <si>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</si>
  <si>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</si>
  <si>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</si>
  <si>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</si>
  <si>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</si>
  <si>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</si>
  <si>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</si>
  <si>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</si>
  <si>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</si>
  <si>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</si>
  <si>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</si>
  <si>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</si>
  <si>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</si>
  <si>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</si>
  <si>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</si>
  <si>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</si>
  <si>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</si>
  <si>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</si>
  <si>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</si>
  <si>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</si>
  <si>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</si>
  <si>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</si>
  <si>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</si>
  <si>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</si>
  <si>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</si>
  <si>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</si>
  <si>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</si>
  <si>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</si>
  <si>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</si>
  <si>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</si>
  <si>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</si>
  <si>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</si>
  <si>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</si>
  <si>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</si>
  <si>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</si>
  <si>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</si>
  <si>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</si>
  <si>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</si>
  <si>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</si>
  <si>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</si>
  <si>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</si>
  <si>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</si>
  <si>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</si>
  <si>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</si>
  <si>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</si>
  <si>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</si>
  <si>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</si>
  <si>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</si>
  <si>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</si>
  <si>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</si>
  <si>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</si>
  <si>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</si>
  <si>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</si>
  <si>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</si>
  <si>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</si>
  <si>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</si>
  <si>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</si>
  <si>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</si>
  <si>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</si>
  <si>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</si>
  <si>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</si>
  <si>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</si>
  <si>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</si>
  <si>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</si>
  <si>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</si>
  <si>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</si>
  <si>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</si>
  <si>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</si>
  <si>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</si>
  <si>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</si>
  <si>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</si>
  <si>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</si>
  <si>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</si>
  <si>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</si>
  <si>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</si>
  <si>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</si>
  <si>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</si>
  <si>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</si>
  <si>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</si>
  <si>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</si>
  <si>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</si>
  <si>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</si>
  <si>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</si>
  <si>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</si>
  <si>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</si>
  <si>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26358117</t>
  </si>
  <si>
    <t>ОАО "Ильиногорское"</t>
  </si>
  <si>
    <t>5214001459</t>
  </si>
  <si>
    <t>02-04-2024 00:00:00</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</si>
  <si>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</si>
  <si>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</si>
  <si>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</si>
  <si>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</si>
  <si>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</si>
  <si>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</si>
  <si>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</si>
  <si>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</si>
  <si>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</si>
  <si>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</si>
  <si>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</si>
  <si>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</si>
  <si>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</si>
  <si>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</si>
  <si>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</si>
  <si>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</si>
  <si>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</si>
  <si>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</si>
  <si>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</si>
  <si>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</si>
  <si>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</si>
  <si>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</si>
  <si>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</si>
  <si>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</si>
  <si>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</si>
  <si>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</si>
  <si>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</si>
  <si>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</si>
  <si>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</si>
  <si>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</si>
  <si>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</si>
  <si>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</si>
  <si>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</si>
  <si>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</si>
  <si>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</si>
  <si>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</si>
  <si>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</si>
  <si>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</si>
  <si>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</si>
  <si>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</si>
  <si>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</si>
  <si>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</si>
  <si>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</si>
  <si>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</si>
  <si>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</si>
  <si>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</si>
  <si>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</si>
  <si>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</si>
  <si>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</si>
  <si>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</si>
  <si>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</si>
  <si>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</si>
  <si>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</si>
  <si>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</si>
  <si>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</si>
  <si>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</si>
  <si>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</si>
  <si>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</si>
  <si>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</si>
  <si>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</si>
  <si>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</si>
  <si>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</si>
  <si>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</si>
  <si>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</si>
  <si>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</si>
  <si>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</si>
  <si>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</si>
  <si>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</si>
  <si>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</si>
  <si>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</si>
  <si>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</si>
  <si>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</si>
  <si>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</si>
  <si>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</si>
  <si>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</si>
  <si>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</si>
  <si>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</si>
  <si>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</si>
  <si>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</si>
  <si>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</si>
  <si>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</si>
  <si>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</si>
  <si>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</si>
  <si>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</si>
  <si>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</si>
  <si>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</si>
  <si>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</si>
  <si>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</si>
  <si>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</si>
  <si>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</si>
  <si>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</si>
  <si>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</si>
  <si>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</si>
  <si>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</si>
  <si>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</si>
  <si>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</si>
  <si>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</si>
  <si>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</si>
  <si>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</si>
  <si>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</si>
  <si>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</si>
  <si>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</si>
  <si>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</si>
  <si>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</si>
  <si>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</si>
  <si>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</si>
  <si>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</si>
  <si>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</si>
  <si>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</si>
  <si>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</si>
  <si>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</si>
  <si>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</si>
  <si>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</si>
  <si>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</si>
  <si>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</si>
  <si>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</si>
  <si>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</si>
  <si>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</si>
  <si>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</si>
  <si>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</si>
  <si>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</si>
  <si>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</si>
  <si>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</si>
  <si>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</si>
  <si>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</si>
  <si>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</si>
  <si>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</si>
  <si>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</si>
  <si>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</si>
  <si>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</si>
  <si>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</si>
  <si>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</si>
  <si>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</si>
  <si>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</si>
  <si>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</si>
  <si>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</si>
  <si>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</si>
  <si>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</si>
  <si>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</si>
  <si>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</si>
  <si>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</si>
  <si>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</si>
  <si>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</si>
  <si>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</si>
  <si>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</si>
  <si>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</si>
  <si>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</si>
  <si>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</si>
  <si>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</si>
  <si>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</si>
  <si>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</si>
  <si>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</si>
  <si>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</si>
  <si>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</si>
  <si>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</si>
  <si>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</si>
  <si>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</si>
  <si>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</si>
  <si>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</si>
  <si>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</si>
  <si>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</si>
  <si>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</si>
  <si>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</si>
  <si>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</si>
  <si>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</si>
  <si>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</si>
  <si>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</si>
  <si>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</si>
  <si>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</si>
  <si>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</si>
  <si>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</si>
  <si>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</si>
  <si>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</si>
  <si>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</si>
  <si>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</si>
  <si>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</si>
  <si>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</si>
  <si>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</si>
  <si>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</si>
  <si>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</si>
  <si>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</si>
  <si>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</si>
  <si>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</si>
  <si>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</si>
  <si>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</si>
  <si>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</si>
  <si>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</si>
  <si>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</si>
  <si>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</si>
  <si>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</si>
  <si>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</si>
  <si>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</si>
  <si>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</si>
  <si>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</si>
  <si>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</si>
  <si>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</si>
  <si>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</si>
  <si>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</si>
  <si>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</si>
  <si>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31061810</t>
  </si>
  <si>
    <t>ООО "КАПИТАЛ-МЕНЕДЖМЕНТ"</t>
  </si>
  <si>
    <t>5258135717</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</si>
  <si>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</si>
  <si>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</si>
  <si>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</si>
  <si>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</si>
  <si>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</si>
  <si>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</si>
  <si>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</si>
  <si>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</si>
  <si>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</si>
  <si>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</si>
  <si>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</si>
  <si>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</si>
  <si>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</si>
  <si>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</si>
  <si>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</si>
  <si>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</si>
  <si>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</si>
  <si>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</si>
  <si>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</si>
  <si>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</si>
  <si>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</si>
  <si>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</si>
  <si>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</si>
  <si>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</si>
  <si>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</si>
  <si>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</si>
  <si>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</si>
  <si>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</si>
  <si>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</si>
  <si>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</si>
  <si>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</si>
  <si>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</si>
  <si>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</si>
  <si>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</si>
  <si>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</si>
  <si>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</si>
  <si>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</si>
  <si>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</si>
  <si>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</si>
  <si>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</si>
  <si>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</si>
  <si>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</si>
  <si>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</si>
  <si>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</si>
  <si>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</si>
  <si>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</si>
  <si>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</si>
  <si>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</si>
  <si>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</si>
  <si>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</si>
  <si>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</si>
  <si>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</si>
  <si>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</si>
  <si>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</si>
  <si>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</si>
  <si>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</si>
  <si>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</si>
  <si>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</si>
  <si>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</si>
  <si>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</si>
  <si>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</si>
  <si>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</si>
  <si>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</si>
  <si>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</si>
  <si>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</si>
  <si>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</si>
  <si>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</si>
  <si>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</si>
  <si>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</si>
  <si>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</si>
  <si>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</si>
  <si>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</si>
  <si>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</si>
  <si>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</si>
  <si>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</si>
  <si>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</si>
  <si>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</si>
  <si>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</si>
  <si>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</si>
  <si>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</si>
  <si>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</si>
  <si>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</si>
  <si>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</si>
  <si>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</si>
  <si>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</si>
  <si>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</si>
  <si>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</si>
  <si>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</si>
  <si>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</si>
  <si>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</si>
  <si>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</si>
  <si>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</si>
  <si>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</si>
  <si>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</si>
  <si>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</si>
  <si>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</si>
  <si>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</si>
  <si>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</si>
  <si>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</si>
  <si>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</si>
  <si>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</si>
  <si>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</si>
  <si>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</si>
  <si>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</si>
  <si>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</si>
  <si>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</si>
  <si>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</si>
  <si>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</si>
  <si>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</si>
  <si>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</si>
  <si>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</si>
  <si>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</si>
  <si>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</si>
  <si>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</si>
  <si>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</si>
  <si>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</si>
  <si>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</si>
  <si>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</si>
  <si>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</si>
  <si>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</si>
  <si>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</si>
  <si>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</si>
  <si>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</si>
  <si>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</si>
  <si>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</si>
  <si>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</si>
  <si>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</si>
  <si>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</si>
  <si>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</si>
  <si>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</si>
  <si>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</si>
  <si>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</si>
  <si>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</si>
  <si>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</si>
  <si>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</si>
  <si>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</si>
  <si>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</si>
  <si>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</si>
  <si>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</si>
  <si>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</si>
  <si>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</si>
  <si>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</si>
  <si>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</si>
  <si>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</si>
  <si>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</si>
  <si>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</si>
  <si>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</si>
  <si>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</si>
  <si>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</si>
  <si>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</si>
  <si>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</si>
  <si>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</si>
  <si>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</si>
  <si>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</si>
  <si>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</si>
  <si>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</si>
  <si>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</si>
  <si>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</si>
  <si>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</si>
  <si>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</si>
  <si>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</si>
  <si>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</si>
  <si>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</si>
  <si>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</si>
  <si>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</si>
  <si>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</si>
  <si>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</si>
  <si>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</si>
  <si>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</si>
  <si>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</si>
  <si>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</si>
  <si>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</si>
  <si>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</si>
  <si>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</si>
  <si>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</si>
  <si>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</si>
  <si>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</si>
  <si>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</si>
  <si>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</si>
  <si>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</si>
  <si>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</si>
  <si>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</si>
  <si>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</si>
  <si>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</si>
  <si>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</si>
  <si>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</si>
  <si>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</si>
  <si>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</si>
  <si>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</si>
  <si>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</si>
  <si>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</si>
  <si>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</si>
  <si>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</si>
  <si>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</si>
  <si>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</si>
  <si>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</si>
  <si>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</si>
  <si>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</si>
  <si>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</si>
  <si>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</si>
  <si>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</si>
  <si>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</si>
  <si>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</si>
  <si>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</si>
  <si>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</si>
  <si>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</si>
  <si>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</si>
  <si>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</si>
  <si>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</si>
  <si>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</si>
  <si>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</si>
  <si>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</si>
  <si>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</si>
  <si>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</si>
  <si>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</si>
  <si>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</si>
  <si>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</si>
  <si>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</si>
  <si>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</si>
  <si>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</si>
  <si>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</si>
  <si>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</si>
  <si>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</si>
  <si>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</si>
  <si>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</si>
  <si>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</si>
  <si>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</si>
  <si>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</si>
  <si>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</si>
  <si>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</si>
  <si>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</si>
  <si>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</si>
  <si>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</si>
  <si>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</si>
  <si>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</si>
  <si>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</si>
  <si>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</si>
  <si>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</si>
  <si>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</si>
  <si>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</si>
  <si>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</si>
  <si>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</si>
  <si>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</si>
  <si>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</si>
  <si>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</si>
  <si>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</si>
  <si>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</si>
  <si>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</si>
  <si>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</si>
  <si>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</si>
  <si>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</si>
  <si>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</si>
  <si>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</si>
  <si>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</si>
  <si>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</si>
  <si>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</si>
  <si>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</si>
  <si>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</si>
  <si>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</si>
  <si>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</si>
  <si>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</si>
  <si>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</si>
  <si>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</si>
  <si>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</si>
  <si>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</si>
  <si>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</si>
  <si>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</si>
  <si>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</si>
  <si>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</si>
  <si>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</si>
  <si>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</si>
  <si>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</si>
  <si>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</si>
  <si>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</si>
  <si>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</si>
  <si>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</si>
  <si>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</si>
  <si>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</si>
  <si>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</si>
  <si>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</si>
  <si>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</si>
  <si>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</si>
  <si>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</si>
  <si>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</si>
  <si>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</si>
  <si>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</si>
  <si>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</si>
  <si>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</si>
  <si>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</si>
  <si>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</si>
  <si>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</si>
  <si>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</si>
  <si>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</si>
  <si>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</si>
  <si>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</si>
  <si>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</si>
  <si>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</si>
  <si>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</si>
  <si>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</si>
  <si>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</si>
  <si>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</si>
  <si>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</si>
  <si>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</si>
  <si>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</si>
  <si>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</si>
  <si>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</si>
  <si>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</si>
  <si>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</si>
  <si>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</si>
  <si>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</si>
  <si>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</si>
  <si>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</si>
  <si>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</si>
  <si>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</si>
  <si>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</si>
  <si>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</si>
  <si>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</si>
  <si>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</si>
  <si>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</si>
  <si>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</si>
  <si>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</si>
  <si>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</si>
  <si>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</si>
  <si>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</si>
  <si>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</si>
  <si>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</si>
  <si>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</si>
  <si>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</si>
  <si>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</si>
  <si>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</si>
  <si>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</si>
  <si>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</si>
  <si>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</si>
  <si>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</si>
  <si>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</si>
  <si>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</si>
  <si>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</si>
  <si>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</si>
  <si>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</si>
  <si>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</si>
  <si>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</si>
  <si>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</si>
  <si>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</si>
  <si>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</si>
  <si>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</si>
  <si>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</si>
  <si>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</si>
  <si>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</si>
  <si>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</si>
  <si>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</si>
  <si>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</si>
  <si>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</si>
  <si>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</si>
  <si>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</si>
  <si>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</si>
  <si>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</si>
  <si>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</si>
  <si>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</si>
  <si>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</si>
  <si>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</si>
  <si>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</si>
  <si>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</si>
  <si>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</si>
  <si>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</si>
  <si>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</si>
  <si>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</si>
  <si>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</si>
  <si>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</si>
  <si>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</si>
  <si>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</si>
  <si>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</si>
  <si>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</si>
  <si>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</si>
  <si>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</si>
  <si>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</si>
  <si>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</si>
  <si>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</si>
  <si>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</si>
  <si>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</si>
  <si>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</si>
  <si>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</si>
  <si>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</si>
  <si>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</si>
  <si>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</si>
  <si>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</si>
  <si>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</si>
  <si>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</si>
  <si>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</si>
  <si>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</si>
  <si>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</si>
  <si>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</si>
  <si>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</si>
  <si>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</si>
  <si>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</si>
  <si>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</si>
  <si>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</si>
  <si>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</si>
  <si>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</si>
  <si>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</si>
  <si>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</si>
  <si>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</si>
  <si>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</si>
  <si>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</si>
  <si>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</si>
  <si>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</si>
  <si>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</si>
  <si>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</si>
  <si>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</si>
  <si>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</si>
  <si>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</si>
  <si>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</si>
  <si>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</si>
  <si>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</si>
  <si>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</si>
  <si>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</si>
  <si>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</si>
  <si>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</si>
  <si>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</si>
  <si>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</si>
  <si>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</si>
  <si>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</si>
  <si>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</si>
  <si>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</si>
  <si>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</si>
  <si>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</si>
  <si>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</si>
  <si>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</si>
  <si>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</si>
  <si>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</si>
  <si>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</si>
  <si>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</si>
  <si>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</si>
  <si>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</si>
  <si>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</si>
  <si>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</si>
  <si>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</si>
  <si>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</si>
  <si>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</si>
  <si>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</si>
  <si>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</si>
  <si>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</si>
  <si>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</si>
  <si>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</si>
  <si>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</si>
  <si>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</si>
  <si>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</si>
  <si>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</si>
  <si>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</si>
  <si>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</si>
  <si>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</si>
  <si>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</si>
  <si>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</si>
  <si>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</si>
  <si>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</si>
  <si>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</si>
  <si>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</si>
  <si>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</si>
  <si>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</si>
  <si>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</si>
  <si>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</si>
  <si>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</si>
  <si>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</si>
  <si>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</si>
  <si>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</si>
  <si>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</si>
  <si>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</si>
  <si>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</si>
  <si>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</si>
  <si>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</si>
  <si>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</si>
  <si>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</si>
  <si>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</si>
  <si>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</si>
  <si>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</si>
  <si>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</si>
  <si>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</si>
  <si>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</si>
  <si>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</si>
  <si>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</si>
  <si>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</si>
  <si>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</si>
  <si>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</si>
  <si>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</si>
  <si>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</si>
  <si>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</si>
  <si>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</si>
  <si>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</si>
  <si>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</si>
  <si>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</si>
  <si>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</si>
  <si>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</si>
  <si>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</si>
  <si>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</si>
  <si>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</si>
  <si>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</si>
  <si>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</si>
  <si>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</si>
  <si>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</si>
  <si>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</si>
  <si>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</si>
  <si>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</si>
  <si>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</si>
  <si>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</si>
  <si>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</si>
  <si>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</si>
  <si>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</si>
  <si>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</si>
  <si>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</si>
  <si>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</si>
  <si>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</si>
  <si>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</si>
  <si>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</si>
  <si>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</si>
  <si>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</si>
  <si>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</si>
  <si>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</si>
  <si>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</si>
  <si>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</si>
  <si>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</si>
  <si>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</si>
  <si>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</si>
  <si>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</si>
  <si>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</si>
  <si>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</si>
  <si>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</si>
  <si>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</si>
  <si>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</si>
  <si>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</si>
  <si>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</si>
  <si>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</si>
  <si>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</si>
  <si>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</si>
  <si>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</si>
  <si>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</si>
  <si>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</si>
  <si>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</si>
  <si>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</si>
  <si>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</si>
  <si>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</si>
  <si>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</si>
  <si>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</si>
  <si>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</si>
  <si>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</si>
  <si>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</si>
  <si>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</si>
  <si>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</si>
  <si>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</si>
  <si>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</si>
  <si>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</si>
  <si>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</si>
  <si>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</si>
  <si>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</si>
  <si>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</si>
  <si>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</si>
  <si>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</si>
  <si>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</si>
  <si>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</si>
  <si>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</si>
  <si>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</si>
  <si>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</si>
  <si>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</si>
  <si>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</si>
  <si>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</si>
  <si>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</si>
  <si>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</si>
  <si>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</si>
  <si>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</si>
  <si>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</si>
  <si>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</si>
  <si>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</si>
  <si>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</si>
  <si>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</si>
  <si>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</si>
  <si>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</si>
  <si>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</si>
  <si>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</si>
  <si>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</si>
  <si>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</si>
  <si>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</si>
  <si>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</si>
  <si>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</si>
  <si>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</si>
  <si>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</si>
  <si>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</si>
  <si>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</si>
  <si>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</si>
  <si>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</si>
  <si>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</si>
  <si>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</si>
  <si>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</si>
  <si>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</si>
  <si>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</si>
  <si>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</si>
  <si>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</si>
  <si>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</si>
  <si>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</si>
  <si>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</si>
  <si>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</si>
  <si>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</si>
  <si>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</si>
  <si>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</si>
  <si>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</si>
  <si>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</si>
  <si>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31332830</t>
  </si>
  <si>
    <t>МУМППЖКХ КУЖУТСКОЕ</t>
  </si>
  <si>
    <t>5215003498</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</si>
  <si>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</si>
  <si>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</si>
  <si>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</si>
  <si>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</si>
  <si>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</si>
  <si>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</si>
  <si>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</si>
  <si>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</si>
  <si>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</si>
  <si>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</si>
  <si>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</si>
  <si>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</si>
  <si>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</si>
  <si>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</si>
  <si>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</si>
  <si>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</si>
  <si>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</si>
  <si>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</si>
  <si>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</si>
  <si>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</si>
  <si>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</si>
  <si>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</si>
  <si>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</si>
  <si>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</si>
  <si>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</si>
  <si>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</si>
  <si>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</si>
  <si>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</si>
  <si>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</si>
  <si>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</si>
  <si>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</si>
  <si>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</si>
  <si>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</si>
  <si>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</si>
  <si>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</si>
  <si>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</si>
  <si>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</si>
  <si>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</si>
  <si>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</si>
  <si>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</si>
  <si>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</si>
  <si>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</si>
  <si>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</si>
  <si>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</si>
  <si>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</si>
  <si>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</si>
  <si>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</si>
  <si>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</si>
  <si>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</si>
  <si>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</si>
  <si>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</si>
  <si>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</si>
  <si>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31434482</t>
  </si>
  <si>
    <t>МУП "ЛУКОЯНОВВОДОКАНАЛ"</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</si>
  <si>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</si>
  <si>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</si>
  <si>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</si>
  <si>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</si>
  <si>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</si>
  <si>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</si>
  <si>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</si>
  <si>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</si>
  <si>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</si>
  <si>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</si>
  <si>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</si>
  <si>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</si>
  <si>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</si>
  <si>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</si>
  <si>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</si>
  <si>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</si>
  <si>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</si>
  <si>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</si>
  <si>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</si>
  <si>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</si>
  <si>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</si>
  <si>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</si>
  <si>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</si>
  <si>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</si>
  <si>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</si>
  <si>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</si>
  <si>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</si>
  <si>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</si>
  <si>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</si>
  <si>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</si>
  <si>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</si>
  <si>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</si>
  <si>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</si>
  <si>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</si>
  <si>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</si>
  <si>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</si>
  <si>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</si>
  <si>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</si>
  <si>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</si>
  <si>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</si>
  <si>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</si>
  <si>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</si>
  <si>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</si>
  <si>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</si>
  <si>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</si>
  <si>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</si>
  <si>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</si>
  <si>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</si>
  <si>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</si>
  <si>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</si>
  <si>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</si>
  <si>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</si>
  <si>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</si>
  <si>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</si>
  <si>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</si>
  <si>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</si>
  <si>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</si>
  <si>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</si>
  <si>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</si>
  <si>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</si>
  <si>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</si>
  <si>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</si>
  <si>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</si>
  <si>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</si>
  <si>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</si>
  <si>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</si>
  <si>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</si>
  <si>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</si>
  <si>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</si>
  <si>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</si>
  <si>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</si>
  <si>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</si>
  <si>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</si>
  <si>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</si>
  <si>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</si>
  <si>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</si>
  <si>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</si>
  <si>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</si>
  <si>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</si>
  <si>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</si>
  <si>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</si>
  <si>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</si>
  <si>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</si>
  <si>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</si>
  <si>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</si>
  <si>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</si>
  <si>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</si>
  <si>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</si>
  <si>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</si>
  <si>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</si>
  <si>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</si>
  <si>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</si>
  <si>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</si>
  <si>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</si>
  <si>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</si>
  <si>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</si>
  <si>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</si>
  <si>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</si>
  <si>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</si>
  <si>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</si>
  <si>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</si>
  <si>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</si>
  <si>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</si>
  <si>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</si>
  <si>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</si>
  <si>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</si>
  <si>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</si>
  <si>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</si>
  <si>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</si>
  <si>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</si>
  <si>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</si>
  <si>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</si>
  <si>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</si>
  <si>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</si>
  <si>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</si>
  <si>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</si>
  <si>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</si>
  <si>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</si>
  <si>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</si>
  <si>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</si>
  <si>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</si>
  <si>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</si>
  <si>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</si>
  <si>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</si>
  <si>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</si>
  <si>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</si>
  <si>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</si>
  <si>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</si>
  <si>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</si>
  <si>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</si>
  <si>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</si>
  <si>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</si>
  <si>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</si>
  <si>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</si>
  <si>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</si>
  <si>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</si>
  <si>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</si>
  <si>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</si>
  <si>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</si>
  <si>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</si>
  <si>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</si>
  <si>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</si>
  <si>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</si>
  <si>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</si>
  <si>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</si>
  <si>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</si>
  <si>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</si>
  <si>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</si>
  <si>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</si>
  <si>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</si>
  <si>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</si>
  <si>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</si>
  <si>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</si>
  <si>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</si>
  <si>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</si>
  <si>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</si>
  <si>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</si>
  <si>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</si>
  <si>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</si>
  <si>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</si>
  <si>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</si>
  <si>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</si>
  <si>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</si>
  <si>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</si>
  <si>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</si>
  <si>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</si>
  <si>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</si>
  <si>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</si>
  <si>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</si>
  <si>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</si>
  <si>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</si>
  <si>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</si>
  <si>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</si>
  <si>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</si>
  <si>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</si>
  <si>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</si>
  <si>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</si>
  <si>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</si>
  <si>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</si>
  <si>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</si>
  <si>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</si>
  <si>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</si>
  <si>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</si>
  <si>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</si>
  <si>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</si>
  <si>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</si>
  <si>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</si>
  <si>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</si>
  <si>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</si>
  <si>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</si>
  <si>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</si>
  <si>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</si>
  <si>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</si>
  <si>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</si>
  <si>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</si>
  <si>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</si>
  <si>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</si>
  <si>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</si>
  <si>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</si>
  <si>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</si>
  <si>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</si>
  <si>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</si>
  <si>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</si>
  <si>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</si>
  <si>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</si>
  <si>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</si>
  <si>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</si>
  <si>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</si>
  <si>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</si>
  <si>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</si>
  <si>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</si>
  <si>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</si>
  <si>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</si>
  <si>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</si>
  <si>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</si>
  <si>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</si>
  <si>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</si>
  <si>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</si>
  <si>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</si>
  <si>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</si>
  <si>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</si>
  <si>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</si>
  <si>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</si>
  <si>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</si>
  <si>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</si>
  <si>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</si>
  <si>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</si>
  <si>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</si>
  <si>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</si>
  <si>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</si>
  <si>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</si>
  <si>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</si>
  <si>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</si>
  <si>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</si>
  <si>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</si>
  <si>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</si>
  <si>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</si>
  <si>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</si>
  <si>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</si>
  <si>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</si>
  <si>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</si>
  <si>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</si>
  <si>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</si>
  <si>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</si>
  <si>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</si>
  <si>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</si>
  <si>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</si>
  <si>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</si>
  <si>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</si>
  <si>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</si>
  <si>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</si>
  <si>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</si>
  <si>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</si>
  <si>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</si>
  <si>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</si>
  <si>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</si>
  <si>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</si>
  <si>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</si>
  <si>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</si>
  <si>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</si>
  <si>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</si>
  <si>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</si>
  <si>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</si>
  <si>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</si>
  <si>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</si>
  <si>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</si>
  <si>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</si>
  <si>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</si>
  <si>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</si>
  <si>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</si>
  <si>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</si>
  <si>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</si>
  <si>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</si>
  <si>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</si>
  <si>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</si>
  <si>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</si>
  <si>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</si>
  <si>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</si>
  <si>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</si>
  <si>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</si>
  <si>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</si>
  <si>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</si>
  <si>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</si>
  <si>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</si>
  <si>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</si>
  <si>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</si>
  <si>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</si>
  <si>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</si>
  <si>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</si>
  <si>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</si>
  <si>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</si>
  <si>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</si>
  <si>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</si>
  <si>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</si>
  <si>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</si>
  <si>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</si>
  <si>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</si>
  <si>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</si>
  <si>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</si>
  <si>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</si>
  <si>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</si>
  <si>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</si>
  <si>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</si>
  <si>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</si>
  <si>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</si>
  <si>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</si>
  <si>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</si>
  <si>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</si>
  <si>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</si>
  <si>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</si>
  <si>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</si>
  <si>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</si>
  <si>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</si>
  <si>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</si>
  <si>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</si>
  <si>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</si>
  <si>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</si>
  <si>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</si>
  <si>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</si>
  <si>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</si>
  <si>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</si>
  <si>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</si>
  <si>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</si>
  <si>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</si>
  <si>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</si>
  <si>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</si>
  <si>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</si>
  <si>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</si>
  <si>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</si>
  <si>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</si>
  <si>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</si>
  <si>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</si>
  <si>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</si>
  <si>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</si>
  <si>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</si>
  <si>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</si>
  <si>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</si>
  <si>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</si>
  <si>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</si>
  <si>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</si>
  <si>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</si>
  <si>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</si>
  <si>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</si>
  <si>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</si>
  <si>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</si>
  <si>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</si>
  <si>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</si>
  <si>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</si>
  <si>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</si>
  <si>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</si>
  <si>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</si>
  <si>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</si>
  <si>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</si>
  <si>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</si>
  <si>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</si>
  <si>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</si>
  <si>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</si>
  <si>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</si>
  <si>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</si>
  <si>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</si>
  <si>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</si>
  <si>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</si>
  <si>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</si>
  <si>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</si>
  <si>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</si>
  <si>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</si>
  <si>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</si>
  <si>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</si>
  <si>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</si>
  <si>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</si>
  <si>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</si>
  <si>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</si>
  <si>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</si>
  <si>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</si>
  <si>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</si>
  <si>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</si>
  <si>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</si>
  <si>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</si>
  <si>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</si>
  <si>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</si>
  <si>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</si>
  <si>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</si>
  <si>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</si>
  <si>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</si>
  <si>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</si>
  <si>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</si>
  <si>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</si>
  <si>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</si>
  <si>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</si>
  <si>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</si>
  <si>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</si>
  <si>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</si>
  <si>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</si>
  <si>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</si>
  <si>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</si>
  <si>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</si>
  <si>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</si>
  <si>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</si>
  <si>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</si>
  <si>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</si>
  <si>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</si>
  <si>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</si>
  <si>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</si>
  <si>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</si>
  <si>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</si>
  <si>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</si>
  <si>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</si>
  <si>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</si>
  <si>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</si>
  <si>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</si>
  <si>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</si>
  <si>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</si>
  <si>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</si>
  <si>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</si>
  <si>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</si>
  <si>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</si>
  <si>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</si>
  <si>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</si>
  <si>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</si>
  <si>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</si>
  <si>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</si>
  <si>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</si>
  <si>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</si>
  <si>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</si>
  <si>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</si>
  <si>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</si>
  <si>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</si>
  <si>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</si>
  <si>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</si>
  <si>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</si>
  <si>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</si>
  <si>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</si>
  <si>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</si>
  <si>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</si>
  <si>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</si>
  <si>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</si>
  <si>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</si>
  <si>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</si>
  <si>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</si>
  <si>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</si>
  <si>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</si>
  <si>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</si>
  <si>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</si>
  <si>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</si>
  <si>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</si>
  <si>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</si>
  <si>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</si>
  <si>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</si>
  <si>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</si>
  <si>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</si>
  <si>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</si>
  <si>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</si>
  <si>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</si>
  <si>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</si>
  <si>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</si>
  <si>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</si>
  <si>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</si>
  <si>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</si>
  <si>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</si>
  <si>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</si>
  <si>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</si>
  <si>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</si>
  <si>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</si>
  <si>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</si>
  <si>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</si>
  <si>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</si>
  <si>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</si>
  <si>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</si>
  <si>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</si>
  <si>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7525366482</t>
  </si>
  <si>
    <t>Скорректированная  инвестиционная программа "Модернизация " 2014-2030 гг. АО "Нижегородский водоканал"</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</si>
  <si>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</si>
  <si>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</si>
  <si>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</si>
  <si>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</si>
  <si>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</si>
  <si>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</si>
  <si>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</si>
  <si>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</si>
  <si>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</si>
  <si>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</si>
  <si>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</si>
  <si>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</si>
  <si>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</si>
  <si>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</si>
  <si>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</si>
  <si>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</si>
  <si>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</si>
  <si>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</si>
  <si>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</si>
  <si>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</si>
  <si>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</si>
  <si>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</si>
  <si>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</si>
  <si>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</si>
  <si>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</si>
  <si>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</si>
  <si>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</si>
  <si>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</si>
  <si>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</si>
  <si>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</si>
  <si>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</si>
  <si>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Артезианская скважина глубина 50 м
(инв 90548816)</t>
  </si>
  <si>
    <t>с Запрудное</t>
  </si>
  <si>
    <t>22537000311</t>
  </si>
  <si>
    <t>Запрудновский сельсовет, с. Запрудное</t>
  </si>
  <si>
    <t>14 | Муниципальная собственность</t>
  </si>
  <si>
    <t>концессионное соглашение</t>
  </si>
  <si>
    <t>https://portal.eias.ru/Portal/DownloadPage.aspx?type=12&amp;guid=5071a8c5-4548-4dd8-ba4a-f923b6db7a36</t>
  </si>
  <si>
    <t>эксплуатируется</t>
  </si>
  <si>
    <t>соглашение</t>
  </si>
  <si>
    <t>19.12.2019</t>
  </si>
  <si>
    <t>Артезианская скважина глубина 50м</t>
  </si>
  <si>
    <t>с Шава</t>
  </si>
  <si>
    <t>22537000341</t>
  </si>
  <si>
    <t>Запрудновский сельсовет, с. Шава</t>
  </si>
  <si>
    <t>Артезианская скважина глубина 70 м</t>
  </si>
  <si>
    <t>д Семенцево</t>
  </si>
  <si>
    <t>22537000431</t>
  </si>
  <si>
    <t>Прокошевский сельсовет, д. Семенцево</t>
  </si>
  <si>
    <t>6.5</t>
  </si>
  <si>
    <t>.4</t>
  </si>
  <si>
    <t>Артезианская скважина глубина 78 м</t>
  </si>
  <si>
    <t>д Подлесово</t>
  </si>
  <si>
    <t>22537000536</t>
  </si>
  <si>
    <t>Слободской сельсовет, д. Подлесово</t>
  </si>
  <si>
    <t>не эксплуатируется</t>
  </si>
  <si>
    <t>Артезианская скважина с. Запрудное, глубина 50 м
(инв 90548814)</t>
  </si>
  <si>
    <t>Артезианская скважина с.Запрудное глубина 50м
(инв 90548809)</t>
  </si>
  <si>
    <t>Башня «Рожновского» д. Подлесово объем 15 куб м, д.Подлесово</t>
  </si>
  <si>
    <t>Башня Рожновского №1 объем 25 куб.м д.Чеченино</t>
  </si>
  <si>
    <t>д Чеченино</t>
  </si>
  <si>
    <t>22537000496</t>
  </si>
  <si>
    <t>Работкинский сельсовет, д. Чеченино</t>
  </si>
  <si>
    <t>16.5</t>
  </si>
  <si>
    <t>Башня Рожновского д. Малиновка 15 куб.м -1</t>
  </si>
  <si>
    <t>д Малиновка</t>
  </si>
  <si>
    <t>22537000476</t>
  </si>
  <si>
    <t>Работкинский сельсовет, д. Малиновка</t>
  </si>
  <si>
    <t>Башня Рожновского д. Малиновка 15 куб.м-2</t>
  </si>
  <si>
    <t>Башня Рожновского, объем 15м.3</t>
  </si>
  <si>
    <t>д Красноселово</t>
  </si>
  <si>
    <t>22537000411</t>
  </si>
  <si>
    <t>Прокошевский сельсовет, д. Красноселово</t>
  </si>
  <si>
    <t>Буровая скважина 74 м</t>
  </si>
  <si>
    <t>6.57</t>
  </si>
  <si>
    <t>Буровая скважина №1 54м</t>
  </si>
  <si>
    <t>с Слободское</t>
  </si>
  <si>
    <t>22537000541</t>
  </si>
  <si>
    <t>Слободской сельсовет, с. Слободское</t>
  </si>
  <si>
    <t>4.18</t>
  </si>
  <si>
    <t>Буровая скважина №2 с. Слободское глубина 54м</t>
  </si>
  <si>
    <t>Буровая скважина глубина 80м</t>
  </si>
  <si>
    <t>д Прокошево</t>
  </si>
  <si>
    <t>22537000426</t>
  </si>
  <si>
    <t>Прокошевский сельсовет, улицы д.Прокошево</t>
  </si>
  <si>
    <t>ВНС</t>
  </si>
  <si>
    <t>ул. Дружаева</t>
  </si>
  <si>
    <t>7а</t>
  </si>
  <si>
    <t>Город Нижний Новгород</t>
  </si>
  <si>
    <t>https://portal.eias.ru/Portal/DownloadPage.aspx?type=12&amp;guid=99bf1072-94bc-45d2-9eda-024b836c50cb</t>
  </si>
  <si>
    <t>14.06.2013</t>
  </si>
  <si>
    <t>200</t>
  </si>
  <si>
    <t>52.34</t>
  </si>
  <si>
    <t>ул. Героя Попова</t>
  </si>
  <si>
    <t>9 корп. 1</t>
  </si>
  <si>
    <t>аренда</t>
  </si>
  <si>
    <t>https://portal.eias.ru/Portal/DownloadPage.aspx?type=12&amp;guid=3bcd5d20-cdc0-41ae-858b-e60b77e725e0</t>
  </si>
  <si>
    <t>договор</t>
  </si>
  <si>
    <t>104-01-04-022.А</t>
  </si>
  <si>
    <t>16.11.2007</t>
  </si>
  <si>
    <t>100</t>
  </si>
  <si>
    <t>ул. Березовская</t>
  </si>
  <si>
    <t>89в</t>
  </si>
  <si>
    <t>64</t>
  </si>
  <si>
    <t>12.84</t>
  </si>
  <si>
    <t>ш. Московское</t>
  </si>
  <si>
    <t>139в</t>
  </si>
  <si>
    <t>25.19</t>
  </si>
  <si>
    <t>ул. Чаадаева</t>
  </si>
  <si>
    <t>37а</t>
  </si>
  <si>
    <t>364</t>
  </si>
  <si>
    <t>209.46</t>
  </si>
  <si>
    <t>ул. Федосеенко</t>
  </si>
  <si>
    <t>102</t>
  </si>
  <si>
    <t>360</t>
  </si>
  <si>
    <t>74.85</t>
  </si>
  <si>
    <t>ул. Мокроусова</t>
  </si>
  <si>
    <t>23а</t>
  </si>
  <si>
    <t>60</t>
  </si>
  <si>
    <t>.92</t>
  </si>
  <si>
    <t>ул. Пушкина</t>
  </si>
  <si>
    <t>около д. 12</t>
  </si>
  <si>
    <t>12.5</t>
  </si>
  <si>
    <t>1.46</t>
  </si>
  <si>
    <t>ул. Левинка</t>
  </si>
  <si>
    <t>39в</t>
  </si>
  <si>
    <t>ул. Шаляпина</t>
  </si>
  <si>
    <t>2в</t>
  </si>
  <si>
    <t>180</t>
  </si>
  <si>
    <t>8.79</t>
  </si>
  <si>
    <t>ул. Артемовская</t>
  </si>
  <si>
    <t>30в</t>
  </si>
  <si>
    <t>1.49</t>
  </si>
  <si>
    <t>ул. Удмуртская</t>
  </si>
  <si>
    <t>38а</t>
  </si>
  <si>
    <t>2000</t>
  </si>
  <si>
    <t>500</t>
  </si>
  <si>
    <t>ул. Светлоярская</t>
  </si>
  <si>
    <t>36а</t>
  </si>
  <si>
    <t>2.79</t>
  </si>
  <si>
    <t>70</t>
  </si>
  <si>
    <t>проезд Светлогорский</t>
  </si>
  <si>
    <t>4б</t>
  </si>
  <si>
    <t>https://portal.eias.ru/Portal/DownloadPage.aspx?type=12&amp;guid=d95a1ced-4df4-4ad3-b49a-b4a7d57e7ea9</t>
  </si>
  <si>
    <t>104-01-04.020.А</t>
  </si>
  <si>
    <t>09.08.2007</t>
  </si>
  <si>
    <t>318г</t>
  </si>
  <si>
    <t>139.96</t>
  </si>
  <si>
    <t>10.8</t>
  </si>
  <si>
    <t>ул. Зеленодольская</t>
  </si>
  <si>
    <t>56в</t>
  </si>
  <si>
    <t>80</t>
  </si>
  <si>
    <t>9.65</t>
  </si>
  <si>
    <t>ул. Страж Революции</t>
  </si>
  <si>
    <t>30а</t>
  </si>
  <si>
    <t>17.97</t>
  </si>
  <si>
    <t>ул. Металлистов</t>
  </si>
  <si>
    <t>около д. 6</t>
  </si>
  <si>
    <t>104-01-04.022.А</t>
  </si>
  <si>
    <t>4.34</t>
  </si>
  <si>
    <t>пер. Камчатский</t>
  </si>
  <si>
    <t>около д. 3</t>
  </si>
  <si>
    <t>ул. Раевского</t>
  </si>
  <si>
    <t>10.53</t>
  </si>
  <si>
    <t>ул. 1-я Оранжерейная</t>
  </si>
  <si>
    <t>44б</t>
  </si>
  <si>
    <t>42.4</t>
  </si>
  <si>
    <t>21 корпус 14</t>
  </si>
  <si>
    <t>14.85</t>
  </si>
  <si>
    <t>ул. Дружбы</t>
  </si>
  <si>
    <t>19б</t>
  </si>
  <si>
    <t>135</t>
  </si>
  <si>
    <t>ул. Совнаркомовская</t>
  </si>
  <si>
    <t>26б</t>
  </si>
  <si>
    <t>16 | Частная собственность</t>
  </si>
  <si>
    <t>https://portal.eias.ru/Portal/DownloadPage.aspx?type=12&amp;guid=6a5cfffc-678c-460a-9749-fdfc65663a18</t>
  </si>
  <si>
    <t>01.06.2014</t>
  </si>
  <si>
    <t>256</t>
  </si>
  <si>
    <t>98.91</t>
  </si>
  <si>
    <t>пр-кт. Ленина</t>
  </si>
  <si>
    <t>69а</t>
  </si>
  <si>
    <t>46.8</t>
  </si>
  <si>
    <t>3.03</t>
  </si>
  <si>
    <t>75б</t>
  </si>
  <si>
    <t>189.42</t>
  </si>
  <si>
    <t>24.39</t>
  </si>
  <si>
    <t>пер. Трамвайный</t>
  </si>
  <si>
    <t>1а</t>
  </si>
  <si>
    <t>ул. 50-летия Победы</t>
  </si>
  <si>
    <t>6.72</t>
  </si>
  <si>
    <t>б-р. Заречный</t>
  </si>
  <si>
    <t>7г</t>
  </si>
  <si>
    <t>90</t>
  </si>
  <si>
    <t>2.94</t>
  </si>
  <si>
    <t>ул. Островского</t>
  </si>
  <si>
    <t>4а</t>
  </si>
  <si>
    <t>120</t>
  </si>
  <si>
    <t>22.89</t>
  </si>
  <si>
    <t>ул. Анкудиновское шоссе</t>
  </si>
  <si>
    <t>4.66</t>
  </si>
  <si>
    <t>ул. Героя Рябцева</t>
  </si>
  <si>
    <t>45.72</t>
  </si>
  <si>
    <t>ул. Никиты Рыбакова</t>
  </si>
  <si>
    <t>9а</t>
  </si>
  <si>
    <t>177.2</t>
  </si>
  <si>
    <t>43.36</t>
  </si>
  <si>
    <t>ул. Александра Люкина</t>
  </si>
  <si>
    <t>7б</t>
  </si>
  <si>
    <t>13.06</t>
  </si>
  <si>
    <t>ш. Сормовское</t>
  </si>
  <si>
    <t>15в</t>
  </si>
  <si>
    <t>16.77</t>
  </si>
  <si>
    <t>34в</t>
  </si>
  <si>
    <t>1.55</t>
  </si>
  <si>
    <t>ул. Дьяконова</t>
  </si>
  <si>
    <t>9/1</t>
  </si>
  <si>
    <t>119.98</t>
  </si>
  <si>
    <t>6.62</t>
  </si>
  <si>
    <t>.05</t>
  </si>
  <si>
    <t>ул. Героев космоса</t>
  </si>
  <si>
    <t>10а</t>
  </si>
  <si>
    <t>13.08</t>
  </si>
  <si>
    <t>ул. Карла Маркса</t>
  </si>
  <si>
    <t>24к</t>
  </si>
  <si>
    <t>940</t>
  </si>
  <si>
    <t>55.33</t>
  </si>
  <si>
    <t>ул. Маршала Воронова</t>
  </si>
  <si>
    <t>20в</t>
  </si>
  <si>
    <t>передаточный акт</t>
  </si>
  <si>
    <t>https://portal.eias.ru/Portal/DownloadPage.aspx?type=12&amp;guid=ad70c3c4-0607-41b5-b40e-65ad7e9e2e11</t>
  </si>
  <si>
    <t>безвозмездное пользование</t>
  </si>
  <si>
    <t>02.005.Б</t>
  </si>
  <si>
    <t>15.05.2003</t>
  </si>
  <si>
    <t>17.5</t>
  </si>
  <si>
    <t>ул. Родионова</t>
  </si>
  <si>
    <t>182а</t>
  </si>
  <si>
    <t>https://portal.eias.ru/Portal/DownloadPage.aspx?type=12&amp;guid=8c303087-28f5-4cdb-9b36-6eafa42a8f00</t>
  </si>
  <si>
    <t>собственность</t>
  </si>
  <si>
    <t>19.05.2017</t>
  </si>
  <si>
    <t>14.67</t>
  </si>
  <si>
    <t>около д.64а</t>
  </si>
  <si>
    <t>.86</t>
  </si>
  <si>
    <t>ул. Гвардейцев</t>
  </si>
  <si>
    <t>16а</t>
  </si>
  <si>
    <t>23.12</t>
  </si>
  <si>
    <t>ул. Куйбышева</t>
  </si>
  <si>
    <t>2а</t>
  </si>
  <si>
    <t>92</t>
  </si>
  <si>
    <t>6.7</t>
  </si>
  <si>
    <t>пр-кт. Молодежный</t>
  </si>
  <si>
    <t>4.75</t>
  </si>
  <si>
    <t>ул. Мельникова-Печерского</t>
  </si>
  <si>
    <t>1б</t>
  </si>
  <si>
    <t>9.39</t>
  </si>
  <si>
    <t>ул. Политбойцов</t>
  </si>
  <si>
    <t>15а</t>
  </si>
  <si>
    <t>1060</t>
  </si>
  <si>
    <t>206.04</t>
  </si>
  <si>
    <t>ул. Аэродромная</t>
  </si>
  <si>
    <t>28а</t>
  </si>
  <si>
    <t>4.33</t>
  </si>
  <si>
    <t>ул. Веденяпина</t>
  </si>
  <si>
    <t>13в</t>
  </si>
  <si>
    <t>158.42</t>
  </si>
  <si>
    <t>ул. Коминтерна</t>
  </si>
  <si>
    <t>280</t>
  </si>
  <si>
    <t>65.97</t>
  </si>
  <si>
    <t>ул. Чонгарская</t>
  </si>
  <si>
    <t>46а</t>
  </si>
  <si>
    <t>4.53</t>
  </si>
  <si>
    <t>205в</t>
  </si>
  <si>
    <t>10.5</t>
  </si>
  <si>
    <t>ул. Ефремова</t>
  </si>
  <si>
    <t>13а</t>
  </si>
  <si>
    <t>5.11</t>
  </si>
  <si>
    <t>ул. Юлиуса Фучика</t>
  </si>
  <si>
    <t>2.47</t>
  </si>
  <si>
    <t>57б</t>
  </si>
  <si>
    <t>6.15</t>
  </si>
  <si>
    <t>ул. Дмитрия Павлова</t>
  </si>
  <si>
    <t>3а</t>
  </si>
  <si>
    <t>6.68</t>
  </si>
  <si>
    <t>ул. Искры</t>
  </si>
  <si>
    <t>11б</t>
  </si>
  <si>
    <t>https://portal.eias.ru/Portal/DownloadPage.aspx?type=12&amp;guid=c5f7bee1-d6f3-4fbd-b44d-bb1c323689f9</t>
  </si>
  <si>
    <t>22/17</t>
  </si>
  <si>
    <t>30.10.2017</t>
  </si>
  <si>
    <t>.34</t>
  </si>
  <si>
    <t>ул. Замкнутая</t>
  </si>
  <si>
    <t>18а</t>
  </si>
  <si>
    <t>80.6</t>
  </si>
  <si>
    <t>8.7</t>
  </si>
  <si>
    <t>78а</t>
  </si>
  <si>
    <t>140</t>
  </si>
  <si>
    <t>26.64</t>
  </si>
  <si>
    <t>ул. Маршала Казакова</t>
  </si>
  <si>
    <t>6в</t>
  </si>
  <si>
    <t>15.15</t>
  </si>
  <si>
    <t>ул. Цветочная</t>
  </si>
  <si>
    <t>у д.9</t>
  </si>
  <si>
    <t>бесхозное имущество</t>
  </si>
  <si>
    <t>Отсутствует</t>
  </si>
  <si>
    <t>акт приёма-передачи</t>
  </si>
  <si>
    <t>бесхозяйный объект</t>
  </si>
  <si>
    <t>19.12.2016</t>
  </si>
  <si>
    <t>https://portal.eias.ru/Portal/DownloadPage.aspx?type=12&amp;guid=8159be2f-9bb3-4525-bc63-9b398e6e6657</t>
  </si>
  <si>
    <t>6.22</t>
  </si>
  <si>
    <t>ул. Бурденко</t>
  </si>
  <si>
    <t>25б</t>
  </si>
  <si>
    <t>56.5</t>
  </si>
  <si>
    <t>1.85</t>
  </si>
  <si>
    <t>ул. Кулибина</t>
  </si>
  <si>
    <t>у д.15/1 и 15/2</t>
  </si>
  <si>
    <t>4.42</t>
  </si>
  <si>
    <t>49А</t>
  </si>
  <si>
    <t>7.27</t>
  </si>
  <si>
    <t>ул. Переходникова</t>
  </si>
  <si>
    <t>4.03</t>
  </si>
  <si>
    <t>82</t>
  </si>
  <si>
    <t>49.4</t>
  </si>
  <si>
    <t>193а</t>
  </si>
  <si>
    <t>10.16</t>
  </si>
  <si>
    <t>24а</t>
  </si>
  <si>
    <t>39.53</t>
  </si>
  <si>
    <t>ул. Циолковского</t>
  </si>
  <si>
    <t>1300</t>
  </si>
  <si>
    <t>280.01</t>
  </si>
  <si>
    <t>ул. Шимборского</t>
  </si>
  <si>
    <t>5а</t>
  </si>
  <si>
    <t>ул. Электровозная</t>
  </si>
  <si>
    <t>16в</t>
  </si>
  <si>
    <t>19.28</t>
  </si>
  <si>
    <t>188б</t>
  </si>
  <si>
    <t>14.41</t>
  </si>
  <si>
    <t>ул. Павла Орлова</t>
  </si>
  <si>
    <t>37.08</t>
  </si>
  <si>
    <t>ул. Краснозвездная</t>
  </si>
  <si>
    <t>около дома №4</t>
  </si>
  <si>
    <t>ул. Болотникова</t>
  </si>
  <si>
    <t>4в</t>
  </si>
  <si>
    <t>4.45</t>
  </si>
  <si>
    <t>ул. Октябрьской Революции</t>
  </si>
  <si>
    <t>74а</t>
  </si>
  <si>
    <t>4.01</t>
  </si>
  <si>
    <t>48д</t>
  </si>
  <si>
    <t>ул. Мончегорская</t>
  </si>
  <si>
    <t>29а</t>
  </si>
  <si>
    <t>32.51</t>
  </si>
  <si>
    <t>ул. Евгения Никонова</t>
  </si>
  <si>
    <t>6.24</t>
  </si>
  <si>
    <t>110а</t>
  </si>
  <si>
    <t>24.02</t>
  </si>
  <si>
    <t>ул. Профинтерна</t>
  </si>
  <si>
    <t>16б</t>
  </si>
  <si>
    <t>1.76</t>
  </si>
  <si>
    <t>ул. Деловая</t>
  </si>
  <si>
    <t>11870</t>
  </si>
  <si>
    <t>3710</t>
  </si>
  <si>
    <t>ул. Суетинская</t>
  </si>
  <si>
    <t>ул. Ванеева</t>
  </si>
  <si>
    <t>ул. Зайцева</t>
  </si>
  <si>
    <t>собственное имущество</t>
  </si>
  <si>
    <t>https://portal.eias.ru/Portal/DownloadPage.aspx?type=12&amp;guid=bd427871-f0be-45a4-8357-89b073936711</t>
  </si>
  <si>
    <t>свидетельство</t>
  </si>
  <si>
    <t>6-65/14</t>
  </si>
  <si>
    <t>06.11.2014</t>
  </si>
  <si>
    <t>1280</t>
  </si>
  <si>
    <t>ул. Нартова</t>
  </si>
  <si>
    <t>3.74</t>
  </si>
  <si>
    <t>ул. Луганская</t>
  </si>
  <si>
    <t>72а</t>
  </si>
  <si>
    <t>4.63</t>
  </si>
  <si>
    <t>102г</t>
  </si>
  <si>
    <t>6.18</t>
  </si>
  <si>
    <t>96а</t>
  </si>
  <si>
    <t>9.12</t>
  </si>
  <si>
    <t>ул. Тропинина</t>
  </si>
  <si>
    <t>55а</t>
  </si>
  <si>
    <t>8.46</t>
  </si>
  <si>
    <t>пр-кт. Героев</t>
  </si>
  <si>
    <t>24.38</t>
  </si>
  <si>
    <t>ул. Героя Давыдова</t>
  </si>
  <si>
    <t>21а</t>
  </si>
  <si>
    <t>25.15</t>
  </si>
  <si>
    <t>9.16</t>
  </si>
  <si>
    <t>ул. Глеба Успенского</t>
  </si>
  <si>
    <t>ул. Даргомыжского</t>
  </si>
  <si>
    <t>20а</t>
  </si>
  <si>
    <t>400</t>
  </si>
  <si>
    <t>70.61</t>
  </si>
  <si>
    <t>ул. Касимовская</t>
  </si>
  <si>
    <t>5.44</t>
  </si>
  <si>
    <t>б-р. Юбилейный</t>
  </si>
  <si>
    <t>30б</t>
  </si>
  <si>
    <t>150</t>
  </si>
  <si>
    <t>ул. Волжская</t>
  </si>
  <si>
    <t>40а</t>
  </si>
  <si>
    <t>3.46</t>
  </si>
  <si>
    <t>19а</t>
  </si>
  <si>
    <t>около д. 32</t>
  </si>
  <si>
    <t>ул. Горького</t>
  </si>
  <si>
    <t>80/1</t>
  </si>
  <si>
    <t>документов нет вообще</t>
  </si>
  <si>
    <t>01.01.2004</t>
  </si>
  <si>
    <t>84в</t>
  </si>
  <si>
    <t>6.31</t>
  </si>
  <si>
    <t>128в</t>
  </si>
  <si>
    <t>11.16</t>
  </si>
  <si>
    <t>65а</t>
  </si>
  <si>
    <t>97.38</t>
  </si>
  <si>
    <t>ул. Днепропетровская</t>
  </si>
  <si>
    <t>8б</t>
  </si>
  <si>
    <t>7.29</t>
  </si>
  <si>
    <t>111а</t>
  </si>
  <si>
    <t>23.45</t>
  </si>
  <si>
    <t>ул. Кировская</t>
  </si>
  <si>
    <t>14.14</t>
  </si>
  <si>
    <t>ул. Энгельса</t>
  </si>
  <si>
    <t>320</t>
  </si>
  <si>
    <t>58.49</t>
  </si>
  <si>
    <t>у д.5</t>
  </si>
  <si>
    <t>14.5</t>
  </si>
  <si>
    <t>ул. Германа Лопатина</t>
  </si>
  <si>
    <t>2б</t>
  </si>
  <si>
    <t>https://portal.eias.ru/Portal/DownloadPage.aspx?type=12&amp;guid=c3957240-8f6e-409b-af96-d23c9f4e9b16</t>
  </si>
  <si>
    <t>248</t>
  </si>
  <si>
    <t>124</t>
  </si>
  <si>
    <t>ул. Красных Зорь</t>
  </si>
  <si>
    <t>14б</t>
  </si>
  <si>
    <t>30.5</t>
  </si>
  <si>
    <t>5б</t>
  </si>
  <si>
    <t>6.19</t>
  </si>
  <si>
    <t>18.75</t>
  </si>
  <si>
    <t>10.68</t>
  </si>
  <si>
    <t>ВНС 106,3 кв.м</t>
  </si>
  <si>
    <t>с Безводное</t>
  </si>
  <si>
    <t>22537000136</t>
  </si>
  <si>
    <t>Безводнинский сельсовет, с . Безводное</t>
  </si>
  <si>
    <t>ВНС 12 кв.м</t>
  </si>
  <si>
    <t>с Варварское</t>
  </si>
  <si>
    <t>22537000286</t>
  </si>
  <si>
    <t>Запрудновский сельсовет, с. Варварское</t>
  </si>
  <si>
    <t>ВНС 12,2 кв.м</t>
  </si>
  <si>
    <t>Работкинский сельсовет, д. Чеченино, ул. Луговая</t>
  </si>
  <si>
    <t>ВНС 12,6 кв.м</t>
  </si>
  <si>
    <t>д Подвалиха</t>
  </si>
  <si>
    <t>22537000161</t>
  </si>
  <si>
    <t>Безводнинский сельсовет, д. Подвалиха</t>
  </si>
  <si>
    <t>ВНС 15,2 кв.м</t>
  </si>
  <si>
    <t>д Студенец</t>
  </si>
  <si>
    <t>22537000371</t>
  </si>
  <si>
    <t>Новоликеевский сельсовет, д. Студенец</t>
  </si>
  <si>
    <t>1.08</t>
  </si>
  <si>
    <t>ВНС 16 кв.м</t>
  </si>
  <si>
    <t>с Игумново</t>
  </si>
  <si>
    <t>22537000646</t>
  </si>
  <si>
    <t>Чернышихинский сельсовет, с. Игумново</t>
  </si>
  <si>
    <t>ВНС 17,9 кв.м</t>
  </si>
  <si>
    <t>с Работки</t>
  </si>
  <si>
    <t>22537000481</t>
  </si>
  <si>
    <t>Работкинский сельсовет, с. Работки, ул. Ключевая</t>
  </si>
  <si>
    <t>9.9</t>
  </si>
  <si>
    <t>ВНС 23,2 кв.м</t>
  </si>
  <si>
    <t>ВНС 24 кв.м</t>
  </si>
  <si>
    <t>с Ляписи</t>
  </si>
  <si>
    <t>22537000416</t>
  </si>
  <si>
    <t>Прокошевский сельсовет, д. Ляписи</t>
  </si>
  <si>
    <t>.5</t>
  </si>
  <si>
    <t>ВНС 28,3 кв.м</t>
  </si>
  <si>
    <t>Работкинский сельсовет, с. Работки, "Таран"</t>
  </si>
  <si>
    <t>11.82</t>
  </si>
  <si>
    <t>ВНС 29,6 кв.м</t>
  </si>
  <si>
    <t>д Лапшлей</t>
  </si>
  <si>
    <t>22537000596</t>
  </si>
  <si>
    <t>Чернухинский сельсовет, д. Лапшлей</t>
  </si>
  <si>
    <t>.93</t>
  </si>
  <si>
    <t>ВНС 37 кв.м п.Культура</t>
  </si>
  <si>
    <t>п Культура</t>
  </si>
  <si>
    <t>22537000506</t>
  </si>
  <si>
    <t>Ройкинский сельсовет, п. Культура</t>
  </si>
  <si>
    <t>ВНС 37,9 кв.м с.Б.Борисово</t>
  </si>
  <si>
    <t>с Ближнее Борисово</t>
  </si>
  <si>
    <t>22537000166</t>
  </si>
  <si>
    <t>Ближнеборисовский сельсовет, с. Ближнее Борисово</t>
  </si>
  <si>
    <t>ВНС 4 кв.м</t>
  </si>
  <si>
    <t>д Абатурово</t>
  </si>
  <si>
    <t>22537000456</t>
  </si>
  <si>
    <t>Работкинский сельсовет, д. Абатурово</t>
  </si>
  <si>
    <t>.6</t>
  </si>
  <si>
    <t>ВНС 53,5 кв.м п.Культура</t>
  </si>
  <si>
    <t>ВНС 9 кв.м</t>
  </si>
  <si>
    <t>д Калинино</t>
  </si>
  <si>
    <t>22537000321</t>
  </si>
  <si>
    <t>Запрудновский сельсовет, д.Калинино</t>
  </si>
  <si>
    <t>ВНС №2</t>
  </si>
  <si>
    <t>д Зименки</t>
  </si>
  <si>
    <t>22537000146</t>
  </si>
  <si>
    <t>Безводнинский сельсовет, д. Зименки</t>
  </si>
  <si>
    <t>ВНС в ЦТП</t>
  </si>
  <si>
    <t>115а</t>
  </si>
  <si>
    <t>8.85</t>
  </si>
  <si>
    <t>ул. Ошарская</t>
  </si>
  <si>
    <t>197 корпус 4</t>
  </si>
  <si>
    <t>130.28</t>
  </si>
  <si>
    <t>2.04</t>
  </si>
  <si>
    <t>пер. Гаражный</t>
  </si>
  <si>
    <t>ул. Верхне-Печерская</t>
  </si>
  <si>
    <t>9 корпус 2</t>
  </si>
  <si>
    <t>https://portal.eias.ru/Portal/DownloadPage.aspx?type=12&amp;guid=b61dd004-c504-4c49-b1b3-1ed7bf4b94c7</t>
  </si>
  <si>
    <t>3в</t>
  </si>
  <si>
    <t>300</t>
  </si>
  <si>
    <t>ул. Артельная</t>
  </si>
  <si>
    <t>6а</t>
  </si>
  <si>
    <t>26.9</t>
  </si>
  <si>
    <t>ул. им.Маршала Рокоссовского К.К.</t>
  </si>
  <si>
    <t>8а</t>
  </si>
  <si>
    <t>ул. Агрономическая</t>
  </si>
  <si>
    <t>138а</t>
  </si>
  <si>
    <t>ул. Маршала Жукова</t>
  </si>
  <si>
    <t>135.88</t>
  </si>
  <si>
    <t>2.91</t>
  </si>
  <si>
    <t>ул. Гордеевская</t>
  </si>
  <si>
    <t>34а</t>
  </si>
  <si>
    <t>15.35</t>
  </si>
  <si>
    <t>ул. Таганская</t>
  </si>
  <si>
    <t>15.45</t>
  </si>
  <si>
    <t>ул. Баумана</t>
  </si>
  <si>
    <t>58а</t>
  </si>
  <si>
    <t>190</t>
  </si>
  <si>
    <t>68.13</t>
  </si>
  <si>
    <t>60а</t>
  </si>
  <si>
    <t>250</t>
  </si>
  <si>
    <t>12.51</t>
  </si>
  <si>
    <t>ВНС в ЦТП-12</t>
  </si>
  <si>
    <t>111.2</t>
  </si>
  <si>
    <t>22.54</t>
  </si>
  <si>
    <t>ВНС в котельной</t>
  </si>
  <si>
    <t>пр-кт. Союзный</t>
  </si>
  <si>
    <t>65.99</t>
  </si>
  <si>
    <t>Водовод №1 75 м п.Культура</t>
  </si>
  <si>
    <t>сеть</t>
  </si>
  <si>
    <t>Водовод №2 75 м п.Культура</t>
  </si>
  <si>
    <t>Водокачка 13 кв.м</t>
  </si>
  <si>
    <t>п Селекционной станции</t>
  </si>
  <si>
    <t>22537000526</t>
  </si>
  <si>
    <t>Ройкинский сельсовет,п. Селекционной станции</t>
  </si>
  <si>
    <t>Водонапорная башня 15 куб.м (М)</t>
  </si>
  <si>
    <t>с Большое Мокрое</t>
  </si>
  <si>
    <t>22537000241</t>
  </si>
  <si>
    <t>Большемокринский сельсовет, с. Большое Мокрое</t>
  </si>
  <si>
    <t>Водонапорная башня 150 куб.м.</t>
  </si>
  <si>
    <t>с Чернышиха</t>
  </si>
  <si>
    <t>22537000706</t>
  </si>
  <si>
    <t>Чернышихинский сельсовет, с. Чернышиха</t>
  </si>
  <si>
    <t>Водонапорная башня 25 кв.м Кудьминская промзона</t>
  </si>
  <si>
    <t>п Дружный</t>
  </si>
  <si>
    <t>22537000176</t>
  </si>
  <si>
    <t>Ближнеборисовский сельсовет, п. Дружный, Кудьминская промзона</t>
  </si>
  <si>
    <t>Водонапорная башня 25 куб.м</t>
  </si>
  <si>
    <t>д Михальчиково</t>
  </si>
  <si>
    <t>22537000151</t>
  </si>
  <si>
    <t>Безводнинский сельсовет, д. Михальчиково</t>
  </si>
  <si>
    <t>д Чаглава</t>
  </si>
  <si>
    <t>22537000281</t>
  </si>
  <si>
    <t>Большемокринский сельсовет, д. Чаглава</t>
  </si>
  <si>
    <t>1.36</t>
  </si>
  <si>
    <t>Работкинский сельсовет, д. Чеченино, ул.Луговая</t>
  </si>
  <si>
    <t>Водонапорная башня 25 куб.м д.Прокошево</t>
  </si>
  <si>
    <t>Прокошевский сельсовет, д. Прокошево</t>
  </si>
  <si>
    <t>Водонапорная башня Рожновского в д. Шава, объем 25 куб.м.</t>
  </si>
  <si>
    <t>Водонапорная башня объем 15 куб.м</t>
  </si>
  <si>
    <t>Прокошевский сельсовет, с. Ляписи</t>
  </si>
  <si>
    <t>Работкинский сельсовет, с. Работки, д.Голошубиха</t>
  </si>
  <si>
    <t>21.5</t>
  </si>
  <si>
    <t>Водонапорная башня объем 15 куб.м с.Слободское</t>
  </si>
  <si>
    <t>Водонапорная башня объем 18 куб.м.</t>
  </si>
  <si>
    <t>Водонапорная башня объем 50 куб.м</t>
  </si>
  <si>
    <t>Работкинский сельсовет, с. Работки</t>
  </si>
  <si>
    <t>Водонапорная башня п. Селекция 50 куб.м п.Селекция</t>
  </si>
  <si>
    <t>Ройкинский сельсовет, п. Селекционной станции</t>
  </si>
  <si>
    <t>Водонапорная башня с. Шелокша, металл в кирпиче 70 куб.</t>
  </si>
  <si>
    <t>с Шелокша</t>
  </si>
  <si>
    <t>22537000626</t>
  </si>
  <si>
    <t>Чернухинский сельсовет, с. Шелокша</t>
  </si>
  <si>
    <t>31.5</t>
  </si>
  <si>
    <t>29.5</t>
  </si>
  <si>
    <t>Водонапорная башня с.Б.Ельня объем 25 куб.м</t>
  </si>
  <si>
    <t>с Большая Ельня</t>
  </si>
  <si>
    <t>22537000191</t>
  </si>
  <si>
    <t>Большеельнинский сельсовет, с. Большая Ельня, д/с "Большая Ельня"</t>
  </si>
  <si>
    <t>Водопровод</t>
  </si>
  <si>
    <t>д Козловка / Входит в состав административно-территориального образования Прокошевский сельсовет</t>
  </si>
  <si>
    <t>22537000396</t>
  </si>
  <si>
    <t>Ройкинский сельсовет, д. Козловка</t>
  </si>
  <si>
    <t>.3</t>
  </si>
  <si>
    <t>Водопровод ВК ул.Кстовская до ВК Зелецино</t>
  </si>
  <si>
    <t>д Зелецино</t>
  </si>
  <si>
    <t>22537000251</t>
  </si>
  <si>
    <t>Большемокринский сельсовет, д. Зелецино</t>
  </si>
  <si>
    <t>7.2</t>
  </si>
  <si>
    <t>Водопровод Ольгино-Дружный</t>
  </si>
  <si>
    <t>Ближнеборисовский сельсовет, улицы п.Дружный</t>
  </si>
  <si>
    <t>https://portal.eias.ru/Portal/DownloadPage.aspx?type=12&amp;guid=a947180c-0db9-4956-9fbe-335696ab4c87</t>
  </si>
  <si>
    <t>21.02.2022</t>
  </si>
  <si>
    <t>159</t>
  </si>
  <si>
    <t>138</t>
  </si>
  <si>
    <t>Водопровод в д. Малая Ельня</t>
  </si>
  <si>
    <t>д Малая Ельня</t>
  </si>
  <si>
    <t>22537000206</t>
  </si>
  <si>
    <t>Большеельнинский сельсовет, д. Малая Ельня</t>
  </si>
  <si>
    <t>Водопровод в д. Румянцево</t>
  </si>
  <si>
    <t>д Румянцево</t>
  </si>
  <si>
    <t>22537000186</t>
  </si>
  <si>
    <t>Ближнеборисовский сельсовет, д. Румянцево</t>
  </si>
  <si>
    <t>Водопровод в д.Горяньково</t>
  </si>
  <si>
    <t>д Горяньково</t>
  </si>
  <si>
    <t>22537000296</t>
  </si>
  <si>
    <t>Запрудновский сельсовет, д. Горяньково</t>
  </si>
  <si>
    <t>Водопровод в д.Студенец</t>
  </si>
  <si>
    <t>Новоликеевский сельсовет, д.Студенец</t>
  </si>
  <si>
    <t>Водопровод в с.Кадницы</t>
  </si>
  <si>
    <t>с Кадницы</t>
  </si>
  <si>
    <t>22537000316</t>
  </si>
  <si>
    <t>Запрудновский сельсовет, с. Кадницы</t>
  </si>
  <si>
    <t>Водопровод в с.Слопинец</t>
  </si>
  <si>
    <t>д Слопинец</t>
  </si>
  <si>
    <t>22537000486</t>
  </si>
  <si>
    <t>Работкинский сельсовет, д. Слопинец</t>
  </si>
  <si>
    <t>Водопровод в с.Татинец</t>
  </si>
  <si>
    <t>с Татинец</t>
  </si>
  <si>
    <t>22537000491</t>
  </si>
  <si>
    <t>Работкинский сельсовет, с. Татинец</t>
  </si>
  <si>
    <t>Водопровод д.Майдан (ДУ 32,25,63,50)</t>
  </si>
  <si>
    <t>д Майдан</t>
  </si>
  <si>
    <t>22537000601</t>
  </si>
  <si>
    <t>Чернухинский сельсовет, д. Майдан</t>
  </si>
  <si>
    <t>Водопровод к домам ДОС с. Б. Борисово</t>
  </si>
  <si>
    <t>Ближнеборисовский сельсовет, с. Ближнееи Борисово, ул.ДОС</t>
  </si>
  <si>
    <t>Водопроводная емкость д. Калинино 50 куб.м. за деревней</t>
  </si>
  <si>
    <t>Водопроводная станция объем 25 куб.м</t>
  </si>
  <si>
    <t>Водопроводные сети (с.Запрудное, ул. Садовая, ул.Рябиновая, ул.Сиреневая)</t>
  </si>
  <si>
    <t>Запрудновский сельсовет, с. Запрудное, ул.Садовая, ул.Рябиновая, ул.Сиреневая</t>
  </si>
  <si>
    <t>https://portal.eias.ru/Portal/DownloadPage.aspx?type=12&amp;guid=720387e9-5c14-41d2-883b-fcda5747a840</t>
  </si>
  <si>
    <t>28.02.2022</t>
  </si>
  <si>
    <t>Водопроводные сети Кстовского района (д. Афонино)</t>
  </si>
  <si>
    <t>д Афонино</t>
  </si>
  <si>
    <t>22537000116</t>
  </si>
  <si>
    <t>Кстовский район, д. Афонино</t>
  </si>
  <si>
    <t>https://portal.eias.ru/Portal/DownloadPage.aspx?type=12&amp;guid=f9e34446-694f-4bc0-a44c-27915c2a889b</t>
  </si>
  <si>
    <t>876.82</t>
  </si>
  <si>
    <t>475.16</t>
  </si>
  <si>
    <t>Водопроводные сети НИРФИ</t>
  </si>
  <si>
    <t>Водопроводные сети С.Чернуха</t>
  </si>
  <si>
    <t>с Чернуха</t>
  </si>
  <si>
    <t>22537000621</t>
  </si>
  <si>
    <t>Чернухинский сельсовет, улицы с. Чернуха</t>
  </si>
  <si>
    <t>35.5</t>
  </si>
  <si>
    <t>Водопроводные сети д. Абатурово</t>
  </si>
  <si>
    <t>Работкинский сельсовет, д. Абатурово, улицы д.Абатурово</t>
  </si>
  <si>
    <t>Водопроводные сети д. Калинино</t>
  </si>
  <si>
    <t>Запрудновский сельсовет, улицы д.Калинино</t>
  </si>
  <si>
    <t>.2</t>
  </si>
  <si>
    <t>Водопроводные сети д. Караулово</t>
  </si>
  <si>
    <t>д Караулово</t>
  </si>
  <si>
    <t>22537000356</t>
  </si>
  <si>
    <t>Новоликеевский сельсовет, улицы д.Караулово</t>
  </si>
  <si>
    <t>Водопроводные сети д. Малиновка</t>
  </si>
  <si>
    <t>Работкинский сельсовет, улицы д.Малиновка</t>
  </si>
  <si>
    <t>Водопроводные сети д. Митино</t>
  </si>
  <si>
    <t>д Митино</t>
  </si>
  <si>
    <t>22537000181</t>
  </si>
  <si>
    <t>Ближнеборисовский сельсовет, улицы д.Митино</t>
  </si>
  <si>
    <t>Водопроводные сети д. Подлесово</t>
  </si>
  <si>
    <t>Слободской сельсовет, улицы д.Подлесово</t>
  </si>
  <si>
    <t>19.7</t>
  </si>
  <si>
    <t>Водопроводные сети д. Прокошево</t>
  </si>
  <si>
    <t>66.5</t>
  </si>
  <si>
    <t>Водопроводные сети д. Семенцево</t>
  </si>
  <si>
    <t>Прокошевский сельсовет, д.Семенцево</t>
  </si>
  <si>
    <t>https://portal.eias.ru/Portal/DownloadPage.aspx?type=12&amp;guid=1f1a3725-1d5f-4d64-a1e3-ec9ae36514e2</t>
  </si>
  <si>
    <t>25.03.2020</t>
  </si>
  <si>
    <t>Водопроводные сети д. Серково</t>
  </si>
  <si>
    <t>д Серково</t>
  </si>
  <si>
    <t>22537000436</t>
  </si>
  <si>
    <t>Прокошевский сельсовет, д.Серково</t>
  </si>
  <si>
    <t>https://portal.eias.ru/Portal/DownloadPage.aspx?type=12&amp;guid=be0d7c28-8ef4-4356-adbf-12a389a97522</t>
  </si>
  <si>
    <t>23.12.2020</t>
  </si>
  <si>
    <t>Водопроводные сети д. Цедень</t>
  </si>
  <si>
    <t>д Цедень</t>
  </si>
  <si>
    <t>22537000446</t>
  </si>
  <si>
    <t>Прокошевский сельсовет, д. Цедень</t>
  </si>
  <si>
    <t>https://portal.eias.ru/Portal/DownloadPage.aspx?type=12&amp;guid=c098721e-474d-4560-9d19-430d20d53b8b</t>
  </si>
  <si>
    <t>19.11.2020</t>
  </si>
  <si>
    <t>Водопроводные сети д. Чеченино</t>
  </si>
  <si>
    <t>Работкинский сельсовет, улицы д. Чеченино</t>
  </si>
  <si>
    <t>Водопроводные сети д.Конновка</t>
  </si>
  <si>
    <t>д Конновка</t>
  </si>
  <si>
    <t>22537000401</t>
  </si>
  <si>
    <t>Прокошевский сельсовет, д. Конновка</t>
  </si>
  <si>
    <t>https://portal.eias.ru/Portal/DownloadPage.aspx?type=12&amp;guid=6b5420fe-1175-4f15-a1bf-e9d747d84791</t>
  </si>
  <si>
    <t>15.01.2021</t>
  </si>
  <si>
    <t>Водопроводные сети д.Красноселово</t>
  </si>
  <si>
    <t>https://portal.eias.ru/Portal/DownloadPage.aspx?type=12&amp;guid=1c9fee8a-8e90-4631-8e84-8f0301be5f88</t>
  </si>
  <si>
    <t>26.01.2021</t>
  </si>
  <si>
    <t>Водопроводные сети д.Шерменево</t>
  </si>
  <si>
    <t>д Шерменево</t>
  </si>
  <si>
    <t>22537000451</t>
  </si>
  <si>
    <t>Прокошевский сельсовет, д. Шерменево</t>
  </si>
  <si>
    <t>https://portal.eias.ru/Portal/DownloadPage.aspx?type=12&amp;guid=67b978a6-84cd-4323-a55f-830b7c74eee8</t>
  </si>
  <si>
    <t>Водопроводные сети заречной части г. Нижнего Новгорода</t>
  </si>
  <si>
    <t>улицы заречной части г. Н.Новгорода</t>
  </si>
  <si>
    <t>https://portal.eias.ru/Portal/DownloadPage.aspx?type=12&amp;guid=d7f9dbf0-62d0-42f4-a2d7-df206aa0ad9c</t>
  </si>
  <si>
    <t>15833.33</t>
  </si>
  <si>
    <t>7918.51</t>
  </si>
  <si>
    <t>Водопроводные сети нагорной части г. Нижнего Новгорода</t>
  </si>
  <si>
    <t>улицы нагорной части г. Н.Новгорода</t>
  </si>
  <si>
    <t>15078.48</t>
  </si>
  <si>
    <t>8171.29</t>
  </si>
  <si>
    <t>Водопроводные сети п. Дружный</t>
  </si>
  <si>
    <t>Водопроводные сети п. Ждановский</t>
  </si>
  <si>
    <t>п Ждановский</t>
  </si>
  <si>
    <t>22537000196</t>
  </si>
  <si>
    <t>Большеельнинский сельсовет, улицы п.Ждановский</t>
  </si>
  <si>
    <t>131</t>
  </si>
  <si>
    <t>Водопроводные сети п. Садовский</t>
  </si>
  <si>
    <t>п Садовский</t>
  </si>
  <si>
    <t>22537000521</t>
  </si>
  <si>
    <t>Ройкинский сельсовет, улицы п.Садовский</t>
  </si>
  <si>
    <t>5.95</t>
  </si>
  <si>
    <t>Водопроводные сети п. Селекционной станции</t>
  </si>
  <si>
    <t>Ройкинский сельсовет, улицы п. Селекционной станции</t>
  </si>
  <si>
    <t>70.5</t>
  </si>
  <si>
    <t>Водопроводные сети с. Ближнее Борисово</t>
  </si>
  <si>
    <t>Ближнеборисовский сельсовет, д. улицы с.Ближнее Борисово</t>
  </si>
  <si>
    <t>Водопроводные сети с. Большая Ельня</t>
  </si>
  <si>
    <t>Большеельнинский сельсовет, улицы с. Большая Ельня</t>
  </si>
  <si>
    <t>Водопроводные сети с. Большое Мокрое</t>
  </si>
  <si>
    <t>Большемокринский сельсовет, улицы с. Большое Мокрое</t>
  </si>
  <si>
    <t>125</t>
  </si>
  <si>
    <t>Водопроводные сети с. Варварское</t>
  </si>
  <si>
    <t>Запрудновский сльсовет, улицы с. Варварское</t>
  </si>
  <si>
    <t>Водопроводные сети с. Вязовка</t>
  </si>
  <si>
    <t>с Вязовка</t>
  </si>
  <si>
    <t>22537000171</t>
  </si>
  <si>
    <t>Ближнеборисовский сельсовет, улицы с.Вязовка</t>
  </si>
  <si>
    <t>8.3</t>
  </si>
  <si>
    <t>Водопроводные сети с. Запрудное</t>
  </si>
  <si>
    <t>Запрудновский сельсовет, улицы с.Запрудное</t>
  </si>
  <si>
    <t>Водопроводные сети с. Игумново</t>
  </si>
  <si>
    <t>Чернышихинский сельсовет, улицы с.Игумново</t>
  </si>
  <si>
    <t>Водопроводные сети с. Ляписи</t>
  </si>
  <si>
    <t>Прокошеский сельсовет, с. Ляписи</t>
  </si>
  <si>
    <t>https://portal.eias.ru/Portal/DownloadPage.aspx?type=12&amp;guid=b8d6a7dc-d748-4027-8ca2-191253a8c44b</t>
  </si>
  <si>
    <t>26.03.2020</t>
  </si>
  <si>
    <t>Водопроводные сети с. Работки</t>
  </si>
  <si>
    <t>Работкинский сельсовет, улицы с.Работки</t>
  </si>
  <si>
    <t>44.5</t>
  </si>
  <si>
    <t>Водопроводные сети с. Слободское</t>
  </si>
  <si>
    <t>Слободской сельсовет, улицы с.Слободское</t>
  </si>
  <si>
    <t>8.36</t>
  </si>
  <si>
    <t>Водопроводные сети с. Чернышиха</t>
  </si>
  <si>
    <t>Чернышихинский сельсовет, улицы с. Чернышиха</t>
  </si>
  <si>
    <t>Водопроводные сети с. Шава</t>
  </si>
  <si>
    <t>Запрудновский сельсовет, улицы с. Шава</t>
  </si>
  <si>
    <t>Водопроводные сети с. Шелокша</t>
  </si>
  <si>
    <t>Чернухинский сельсовет, улицы с. Шелокша</t>
  </si>
  <si>
    <t>Глубинный насос №1 ЭЦВ 6х10х110 (090548723)</t>
  </si>
  <si>
    <t>Глубинный насос №2 ЭЦВ 6х10х110 (090548721)</t>
  </si>
  <si>
    <t>Емкость (закопана в землю) 15 куб.м.</t>
  </si>
  <si>
    <t>Емкость бетонная 100 куб.м, д.Караулово</t>
  </si>
  <si>
    <t>Новоликеевский сельсовет, д. Караулово</t>
  </si>
  <si>
    <t>Емкость металлическая (бочка) 50 куб. м.</t>
  </si>
  <si>
    <t>Емкость металлическая 50м.куб., с. Слободское</t>
  </si>
  <si>
    <t>Емкость накопительная 15м.3 кирпич</t>
  </si>
  <si>
    <t>Прокошевский сельсовет, д. Серково</t>
  </si>
  <si>
    <t>Емкость накопительная 5 куб. м. алюм.</t>
  </si>
  <si>
    <t>Емкость накопительная д. Лапшлей алюминевая</t>
  </si>
  <si>
    <t>Емкость под воду 1000 куб.м, в обваловке землей</t>
  </si>
  <si>
    <t>Ближнеборисовский сельсовет, д. Дружный</t>
  </si>
  <si>
    <t>Здание насосной с. Слободское (скважина №2)</t>
  </si>
  <si>
    <t>Здание насосной станции "Гремячий ключ" 30куб.м</t>
  </si>
  <si>
    <t>16.3</t>
  </si>
  <si>
    <t>Здание-насосная станция 1-го подьема</t>
  </si>
  <si>
    <t>Ближнеборисовский сельсовет, п. Дружный, Богородский р-он, п Кудьма, Кудьминская промышленная зона № 1</t>
  </si>
  <si>
    <t>здание № 84</t>
  </si>
  <si>
    <t>65</t>
  </si>
  <si>
    <t>ИБ-11</t>
  </si>
  <si>
    <t>ул. Героя Советского Союза Прыгунова</t>
  </si>
  <si>
    <t>5.35</t>
  </si>
  <si>
    <t>Каптаж (емкость накопительная) 12 кв.м</t>
  </si>
  <si>
    <t>Каптаж (емкость накопительная) 15 куб.м</t>
  </si>
  <si>
    <t>Чернухинский сельсовет, с. Чернуха</t>
  </si>
  <si>
    <t>37.4</t>
  </si>
  <si>
    <t>Каптаж (емкость накопительная) с. Чернуха Шелокшанский уч. Объем 28 куб.м</t>
  </si>
  <si>
    <t>Каптаж (емкость накопительная, бетон)</t>
  </si>
  <si>
    <t>8.76</t>
  </si>
  <si>
    <t>Каптаж 0,8 кв.м</t>
  </si>
  <si>
    <t>Каптаж 0,8 кв.м п.Культура</t>
  </si>
  <si>
    <t>Каптаж 1,5 кв.м</t>
  </si>
  <si>
    <t>Каптаж 12 кв.м с.Толмачево</t>
  </si>
  <si>
    <t>с Толмачево</t>
  </si>
  <si>
    <t>22537000441</t>
  </si>
  <si>
    <t>Прокошевский сельсовет, с. Толмачево</t>
  </si>
  <si>
    <t>Каптаж 122,5 кв.м</t>
  </si>
  <si>
    <t>Каптаж 32,7 кв.м</t>
  </si>
  <si>
    <t>Каптаж 6,8 кв.м</t>
  </si>
  <si>
    <t>Каптаж в овраге п. Культура глубина 10 м</t>
  </si>
  <si>
    <t>Каптаж водопроводной сети села Ближнее Борисово "Баранов ключ" 4 кв. м</t>
  </si>
  <si>
    <t>Каптаж д. Конновка объем 6 куб.м</t>
  </si>
  <si>
    <t>Каптаж д. Лавровка</t>
  </si>
  <si>
    <t>д Лавровка</t>
  </si>
  <si>
    <t>22537000661</t>
  </si>
  <si>
    <t>Чернышихинский сельсовет, д. Лавровка</t>
  </si>
  <si>
    <t>https://portal.eias.ru/Portal/DownloadPage.aspx?type=12&amp;guid=8d62cd34-508e-4d84-b427-9cc4d60d9e30</t>
  </si>
  <si>
    <t>4.15</t>
  </si>
  <si>
    <t>Каптаж д.Лапшлей</t>
  </si>
  <si>
    <t>https://portal.eias.ru/Portal/DownloadPage.aspx?type=12&amp;guid=d0e42e47-ae01-4f1a-8655-5d53d6b340bd</t>
  </si>
  <si>
    <t>10.12.2021</t>
  </si>
  <si>
    <t>Каптаж накопительный ж.бетон, здание деревянное</t>
  </si>
  <si>
    <t>Каптаж накопительный объем 42 куб.м</t>
  </si>
  <si>
    <t>Каптаж накопительный, объем 50 куб.м</t>
  </si>
  <si>
    <t>Каптаж объем 6 куб.м</t>
  </si>
  <si>
    <t>Каптаж с.Слопинец</t>
  </si>
  <si>
    <t>https://portal.eias.ru/Portal/DownloadPage.aspx?type=12&amp;guid=a39619e4-fbbb-43bd-8759-dd436f2d12e6</t>
  </si>
  <si>
    <t>Каптаж с.Татинец</t>
  </si>
  <si>
    <t>https://portal.eias.ru/Portal/DownloadPage.aspx?type=12&amp;guid=566ffa9b-f7b8-4f15-af95-b80ef31034cb</t>
  </si>
  <si>
    <t>Каптаж, д.Караулово</t>
  </si>
  <si>
    <t>https://portal.eias.ru/Portal/DownloadPage.aspx?type=12&amp;guid=219de568-ff3f-447b-957c-a17fcdac76cc</t>
  </si>
  <si>
    <t>24.12.2021</t>
  </si>
  <si>
    <t>Каптаж, с.Безводное, пер.Кооперативный</t>
  </si>
  <si>
    <t>Безводнинский сельсовет, с. Безводное, пер.Кооперативный</t>
  </si>
  <si>
    <t>https://portal.eias.ru/Portal/DownloadPage.aspx?type=12&amp;guid=6fb17391-5148-4e96-8a14-c946efd00264</t>
  </si>
  <si>
    <t>Каптаж, с.Кадницы, ул.Центральная</t>
  </si>
  <si>
    <t>Запрудновский сельовет, с. Кадницы, ул.Центральная</t>
  </si>
  <si>
    <t>https://portal.eias.ru/Portal/DownloadPage.aspx?type=12&amp;guid=761a45e3-052e-426c-80a2-cd37eb93af16</t>
  </si>
  <si>
    <t>30.11.2021</t>
  </si>
  <si>
    <t>3.8</t>
  </si>
  <si>
    <t>Каптаж-накопительная емкость ЖБ</t>
  </si>
  <si>
    <t>Запрудновский сельсовет, д. Калинино</t>
  </si>
  <si>
    <t>Каптажные колодцы, объем 50 куб.м</t>
  </si>
  <si>
    <t>Ленинская ВНС</t>
  </si>
  <si>
    <t>15260</t>
  </si>
  <si>
    <t>Линейное сооружение (водопроводные сети) д.Козловка (верхняя часть)</t>
  </si>
  <si>
    <t>Прокошевский сельсовет, улицы д.Козловка</t>
  </si>
  <si>
    <t>https://portal.eias.ru/Portal/DownloadPage.aspx?type=12&amp;guid=d5246ad8-5391-4e94-b3ee-db64f3d6e653</t>
  </si>
  <si>
    <t>26.10.2022</t>
  </si>
  <si>
    <t>.8</t>
  </si>
  <si>
    <t>Линейное сооружение (водопроводные сети) д.Козловка (нижняя часть)</t>
  </si>
  <si>
    <t>https://portal.eias.ru/Portal/DownloadPage.aspx?type=12&amp;guid=e11cb7e4-c09e-4637-9ce7-980fd6e08b86</t>
  </si>
  <si>
    <t>Линейное сооружение (сети водоснабжения) д.Большое Лебедево</t>
  </si>
  <si>
    <t>д Большое Лебедево</t>
  </si>
  <si>
    <t>22537000631</t>
  </si>
  <si>
    <t>Чернышихинский сельсовет, улицы д.Большое Лебедево</t>
  </si>
  <si>
    <t>https://portal.eias.ru/Portal/DownloadPage.aspx?type=12&amp;guid=0e7a4878-0bf2-46f7-a8d5-528d5f52b258</t>
  </si>
  <si>
    <t>30.05.2022</t>
  </si>
  <si>
    <t>Линейное сооружение (сети водоснабжения) д.Завражная Слобода</t>
  </si>
  <si>
    <t>с Завражная Слобода</t>
  </si>
  <si>
    <t>22537000306</t>
  </si>
  <si>
    <t>Запрудновский сельсовет, улицы д.Завражная Слобода</t>
  </si>
  <si>
    <t>https://portal.eias.ru/Portal/DownloadPage.aspx?type=12&amp;guid=11c9d60b-89d3-43cf-9a09-91e5d2149c47</t>
  </si>
  <si>
    <t>27.06.2022</t>
  </si>
  <si>
    <t>Линейное сооружение (сети водоснабжения) д.Зименки</t>
  </si>
  <si>
    <t>Безводнинский сельсовет, улицы д.Зименки</t>
  </si>
  <si>
    <t>https://portal.eias.ru/Portal/DownloadPage.aspx?type=12&amp;guid=7a763a50-0563-4798-8c1d-1ccf56d7183c</t>
  </si>
  <si>
    <t>01.06.2022</t>
  </si>
  <si>
    <t>Линейное сооружение (сети водоснабжения) д.Калинино</t>
  </si>
  <si>
    <t>https://portal.eias.ru/Portal/DownloadPage.aspx?type=12&amp;guid=848d4747-9094-464a-8609-759215ada9ab</t>
  </si>
  <si>
    <t>Линейное сооружение (сети водоснабжения) д.Крутец</t>
  </si>
  <si>
    <t>д Крутец</t>
  </si>
  <si>
    <t>22537000656</t>
  </si>
  <si>
    <t>Чернышихинский сельсовет, улицы д.Крутец</t>
  </si>
  <si>
    <t>https://portal.eias.ru/Portal/DownloadPage.aspx?type=12&amp;guid=a2180da2-6151-4f0c-9098-517fad555e5f</t>
  </si>
  <si>
    <t>23.05.2022</t>
  </si>
  <si>
    <t>.1</t>
  </si>
  <si>
    <t>Линейное сооружение (сети водоснабжения) д.Лапшлей</t>
  </si>
  <si>
    <t>Чернухинский сельсовет, улицы д.Лапшлей</t>
  </si>
  <si>
    <t>https://portal.eias.ru/Portal/DownloadPage.aspx?type=12&amp;guid=3ae0c2a4-4812-4fdf-bb6d-ee3efdadd315</t>
  </si>
  <si>
    <t>14.06.2022</t>
  </si>
  <si>
    <t>Линейное сооружение (сети водоснабжения) д.Семеть</t>
  </si>
  <si>
    <t>с Семеть</t>
  </si>
  <si>
    <t>22537000276</t>
  </si>
  <si>
    <t>Большемокринский сельсовет, улицы с. Семеть</t>
  </si>
  <si>
    <t>https://portal.eias.ru/Portal/DownloadPage.aspx?type=12&amp;guid=a2694c7f-0620-4dab-89c5-e0ab845dae1b</t>
  </si>
  <si>
    <t>.78</t>
  </si>
  <si>
    <t>Линейное сооружение (сети водоснабжения) д.Чаглава</t>
  </si>
  <si>
    <t>Большемокринский сельсовет, улицы д.Чаглава</t>
  </si>
  <si>
    <t>https://portal.eias.ru/Portal/DownloadPage.aspx?type=12&amp;guid=19ca2c72-43ce-438a-ac03-5a4988ec8342</t>
  </si>
  <si>
    <t>Линейное сооружение (сети водоснабжения) с.Толмачево</t>
  </si>
  <si>
    <t>Прокошевский сельсовет, улицы с.Толмачево</t>
  </si>
  <si>
    <t>https://portal.eias.ru/Portal/DownloadPage.aspx?type=12&amp;guid=274f426f-464f-4a0f-ac42-eae992fe0dd4</t>
  </si>
  <si>
    <t>07.06.2022</t>
  </si>
  <si>
    <t>Насос №1 КМ 80-50-200; (090548681)</t>
  </si>
  <si>
    <t>Насос №1 ЭЦВ 6х10х110 (090548712)</t>
  </si>
  <si>
    <t>Насос №1 ЭЦВ 6х10х110 (090548749)</t>
  </si>
  <si>
    <t>Насос №1 ЭЦВ 8х25х150</t>
  </si>
  <si>
    <t>Прокошевский сельсовет, д. Козловка</t>
  </si>
  <si>
    <t>Насос №1; 1Д 200-90 Б (090548874)</t>
  </si>
  <si>
    <t>Насос №2 КМ 80-50; (090548684)</t>
  </si>
  <si>
    <t>Насос №2 ЭЦВ 6х10х110</t>
  </si>
  <si>
    <t>Насос №2 ЭЦВ 6х10х110 (090548718)</t>
  </si>
  <si>
    <t>Насос №2 ЭЦВ 8х25х150</t>
  </si>
  <si>
    <t>Насос №2; КМ 100-65-200 (090548876)</t>
  </si>
  <si>
    <t>Насос №3 ЭЦВ 6х10х110</t>
  </si>
  <si>
    <t>Насос №3 ЭЦВ 8х25х150</t>
  </si>
  <si>
    <t>Насос №3; Д 1250-63 б 55кВт п. Дружный, новый на замену (090548879)</t>
  </si>
  <si>
    <t>1062</t>
  </si>
  <si>
    <t>Насос №4 ЭЦВ 8х25х150</t>
  </si>
  <si>
    <t>Насос К45х30 (090548759)</t>
  </si>
  <si>
    <t>Насос КМ 65-50-160 (090549874)</t>
  </si>
  <si>
    <t>Насос КМ 65х50х160 с.Б.Борисово (инв. № 090549874)</t>
  </si>
  <si>
    <t>Насос КМ 80х50х200 с.Б.Борисово (инв. № 090549875)</t>
  </si>
  <si>
    <t>Насос НВ 125-250/266 (090548725)</t>
  </si>
  <si>
    <t>д Новоликеево</t>
  </si>
  <si>
    <t>22537000361</t>
  </si>
  <si>
    <t>Новоликеевский сельсовет, д. Новоликеево</t>
  </si>
  <si>
    <t>390</t>
  </si>
  <si>
    <t>Насос НЦС Г 38-44
№1 (090548730)</t>
  </si>
  <si>
    <t>Насос НЦС Г 38-66 №2</t>
  </si>
  <si>
    <t>Насос СМ 80-50-200 18.5 кВт; с. Б.Мокрое Шолокшанский уч. (090548482)</t>
  </si>
  <si>
    <t>Насос ЦНСГ 38-132 40 кВт п.Культура (инв. № 090549865)</t>
  </si>
  <si>
    <t>Насос ЦНСГ 38-132, 30 КВТ п.Культура (инв. № 090549866)</t>
  </si>
  <si>
    <t>Насос ЭЦВ 5х4х125 (090548478)</t>
  </si>
  <si>
    <t>Ближнеборисовский сельсовет, д. Митино</t>
  </si>
  <si>
    <t>Насос ЭЦВ 6-10-110 (090548692)</t>
  </si>
  <si>
    <t>Насос ЭЦВ 6х10х100 (090548735)</t>
  </si>
  <si>
    <t>Насос ЭЦВ 6х10х110</t>
  </si>
  <si>
    <t>Насос ЭЦВ 6х10х110 (090548707)</t>
  </si>
  <si>
    <t>Насос ЭЦВ 6х10х110 (090548709)</t>
  </si>
  <si>
    <t>Насос ЭЦВ 6х10х110 (090548710)</t>
  </si>
  <si>
    <t>Насос ЭЦВ 6х10х110 (090548715)</t>
  </si>
  <si>
    <t>Насос ЭЦВ 6х10х110 (090548733)</t>
  </si>
  <si>
    <t>Насос ЭЦВ 6х10х110 (090548751)</t>
  </si>
  <si>
    <t>Насос ЭЦВ 6х10х140 в колодце (090548756)</t>
  </si>
  <si>
    <t>Насос ЭЦВ 6х10х80</t>
  </si>
  <si>
    <t>Кстовский муниципальный район</t>
  </si>
  <si>
    <t>Ближнеборисовский сельсовет</t>
  </si>
  <si>
    <t>22637412</t>
  </si>
  <si>
    <t>22637412106</t>
  </si>
  <si>
    <t>Ближнеборисовский сельсовет, с. Вязовка</t>
  </si>
  <si>
    <t>Насос ЭЦВ 6х10х85 в колодце (090548750)</t>
  </si>
  <si>
    <t>Насос ЭЦВ 6х6,5х165 (090548758)</t>
  </si>
  <si>
    <t>Насос ЭЦВ 6х6,5х85</t>
  </si>
  <si>
    <t>Насос ЭЦВ 6х6,5х85 (090548719)</t>
  </si>
  <si>
    <t>Насос ЭЦВ 6х6,5х85 (090548729)</t>
  </si>
  <si>
    <t>Насос ЭЦВ 8-25-125; Резерв Шелокшанский уч. (090548732)</t>
  </si>
  <si>
    <t>Насос ЭЦВ 8-25-55 ВНС "Гремячий ключ" Шелокшанский участок</t>
  </si>
  <si>
    <t>Насос ЭЦВ 8х25х125</t>
  </si>
  <si>
    <t>Насос в каптаже ЦНС 38/88 (090548689)</t>
  </si>
  <si>
    <t>Насос погружной ЭЦВ 8-25-125; Н.Николаевка, Шолокшанский уч.</t>
  </si>
  <si>
    <t>д Новониколаевка</t>
  </si>
  <si>
    <t>22537000611</t>
  </si>
  <si>
    <t>Чернухинский сельсовет, д. Новониколаевка</t>
  </si>
  <si>
    <t>Насосная д. Подгорное, помещение красн.кирп. Д.Чеченино объем 24  куб.м</t>
  </si>
  <si>
    <t>Насосная станция (в овраге за лесом) здание кирп. Д.Чернышиха 132 куб.м</t>
  </si>
  <si>
    <t>Насосная станция 2-го подьема</t>
  </si>
  <si>
    <t>Ближнеборисовский сельсовет, п Дружный,</t>
  </si>
  <si>
    <t>Насосная станция Б.Ельня</t>
  </si>
  <si>
    <t>Насосная станция второго подъема для подкачки</t>
  </si>
  <si>
    <t>Насосная станция д. Караулово, 62 куб.м</t>
  </si>
  <si>
    <t>Насосная станция с. Чернуха (ВНС)</t>
  </si>
  <si>
    <t>Насосное оборудование</t>
  </si>
  <si>
    <t>ул. Красных зорь</t>
  </si>
  <si>
    <t>01.12.2003</t>
  </si>
  <si>
    <t>75</t>
  </si>
  <si>
    <t>ул. Народная</t>
  </si>
  <si>
    <t>48а</t>
  </si>
  <si>
    <t>6.73</t>
  </si>
  <si>
    <t>19.5</t>
  </si>
  <si>
    <t>ул. Лесной городок</t>
  </si>
  <si>
    <t>21.84</t>
  </si>
  <si>
    <t>ул. Космическая</t>
  </si>
  <si>
    <t>01.01.1995</t>
  </si>
  <si>
    <t>31.45</t>
  </si>
  <si>
    <t>пр-кт. Бусыгина</t>
  </si>
  <si>
    <t>ул. Невзоровых</t>
  </si>
  <si>
    <t>107</t>
  </si>
  <si>
    <t>230</t>
  </si>
  <si>
    <t>ул. Новикова- Прибоя</t>
  </si>
  <si>
    <t>17а</t>
  </si>
  <si>
    <t>01.11.2014</t>
  </si>
  <si>
    <t>.7</t>
  </si>
  <si>
    <t>пр. Ленина</t>
  </si>
  <si>
    <t>61б</t>
  </si>
  <si>
    <t>240</t>
  </si>
  <si>
    <t>16.43</t>
  </si>
  <si>
    <t>12Б</t>
  </si>
  <si>
    <t>30.8</t>
  </si>
  <si>
    <t>15.4</t>
  </si>
  <si>
    <t>ул. Иванова</t>
  </si>
  <si>
    <t>14в</t>
  </si>
  <si>
    <t>29.05.2012</t>
  </si>
  <si>
    <t>340</t>
  </si>
  <si>
    <t>20.04</t>
  </si>
  <si>
    <t>ул. Пугачева</t>
  </si>
  <si>
    <t>720</t>
  </si>
  <si>
    <t>270</t>
  </si>
  <si>
    <t>219 а, корп. 1</t>
  </si>
  <si>
    <t>111.16</t>
  </si>
  <si>
    <t>01.12.2005</t>
  </si>
  <si>
    <t>266</t>
  </si>
  <si>
    <t>ул. Обухова</t>
  </si>
  <si>
    <t>.45</t>
  </si>
  <si>
    <t>ул. Генерала Зимина</t>
  </si>
  <si>
    <t>26а</t>
  </si>
  <si>
    <t>45в</t>
  </si>
  <si>
    <t>800</t>
  </si>
  <si>
    <t>141</t>
  </si>
  <si>
    <t>49б</t>
  </si>
  <si>
    <t>ул. Школьная</t>
  </si>
  <si>
    <t>54.37</t>
  </si>
  <si>
    <t>ул. Заводская</t>
  </si>
  <si>
    <t>01.01.1997</t>
  </si>
  <si>
    <t>35.57</t>
  </si>
  <si>
    <t>01.01.1983</t>
  </si>
  <si>
    <t>23.98</t>
  </si>
  <si>
    <t>ул. Мельникова</t>
  </si>
  <si>
    <t>64.59</t>
  </si>
  <si>
    <t>ул. Коперника</t>
  </si>
  <si>
    <t>14.03</t>
  </si>
  <si>
    <t>ул. Тимирязева</t>
  </si>
  <si>
    <t>01.01.2003</t>
  </si>
  <si>
    <t>3.23</t>
  </si>
  <si>
    <t>ул. Пермякова</t>
  </si>
  <si>
    <t>24.83</t>
  </si>
  <si>
    <t>ул. Есенина</t>
  </si>
  <si>
    <t>640</t>
  </si>
  <si>
    <t>72</t>
  </si>
  <si>
    <t>7.7</t>
  </si>
  <si>
    <t>ул. Керченская</t>
  </si>
  <si>
    <t>11.3</t>
  </si>
  <si>
    <t>01.01.2005</t>
  </si>
  <si>
    <t>110</t>
  </si>
  <si>
    <t>7.55</t>
  </si>
  <si>
    <t>100.8</t>
  </si>
  <si>
    <t>61</t>
  </si>
  <si>
    <t>600</t>
  </si>
  <si>
    <t>54а</t>
  </si>
  <si>
    <t>5.01</t>
  </si>
  <si>
    <t>290</t>
  </si>
  <si>
    <t>23.02</t>
  </si>
  <si>
    <t>ул. Радио</t>
  </si>
  <si>
    <t>6 лит.А</t>
  </si>
  <si>
    <t>12.68</t>
  </si>
  <si>
    <t>2.83</t>
  </si>
  <si>
    <t>ул. Комарова</t>
  </si>
  <si>
    <t>15.05</t>
  </si>
  <si>
    <t>ИБ-5 ул. Переходникова</t>
  </si>
  <si>
    <t>262</t>
  </si>
  <si>
    <t>ЦТП-2 Мещерский бульвар</t>
  </si>
  <si>
    <t>хозяйственное ведение</t>
  </si>
  <si>
    <t>01.01.2008</t>
  </si>
  <si>
    <t>54.59</t>
  </si>
  <si>
    <t>7.96</t>
  </si>
  <si>
    <t>ул. Чкалова</t>
  </si>
  <si>
    <t>8.32</t>
  </si>
  <si>
    <t>3.63</t>
  </si>
  <si>
    <t>ул. Тепличная</t>
  </si>
  <si>
    <t>28.19</t>
  </si>
  <si>
    <t>ул. Огородная</t>
  </si>
  <si>
    <t>9/10</t>
  </si>
  <si>
    <t>220</t>
  </si>
  <si>
    <t>ул. Короленко</t>
  </si>
  <si>
    <t>ул. Медицинская</t>
  </si>
  <si>
    <t>01.01.1982</t>
  </si>
  <si>
    <t>1.88</t>
  </si>
  <si>
    <t>ул. Ильинская</t>
  </si>
  <si>
    <t>149</t>
  </si>
  <si>
    <t>ул. Премудрова</t>
  </si>
  <si>
    <t>12а</t>
  </si>
  <si>
    <t>454.6</t>
  </si>
  <si>
    <t>43.81</t>
  </si>
  <si>
    <t>ул. Большая Покровская</t>
  </si>
  <si>
    <t>93</t>
  </si>
  <si>
    <t>17.4</t>
  </si>
  <si>
    <t>11а</t>
  </si>
  <si>
    <t>4.61</t>
  </si>
  <si>
    <t>590</t>
  </si>
  <si>
    <t>48.71</t>
  </si>
  <si>
    <t>1210</t>
  </si>
  <si>
    <t>61.46</t>
  </si>
  <si>
    <t>7.28</t>
  </si>
  <si>
    <t>31 (21)</t>
  </si>
  <si>
    <t>30.11.2007</t>
  </si>
  <si>
    <t>27.94</t>
  </si>
  <si>
    <t>ул. Янки Купалы</t>
  </si>
  <si>
    <t>96.86</t>
  </si>
  <si>
    <t>ул. Челюскинцев</t>
  </si>
  <si>
    <t>186</t>
  </si>
  <si>
    <t>25.9</t>
  </si>
  <si>
    <t>87.76</t>
  </si>
  <si>
    <t>ул. Героя Юрия Смирнова</t>
  </si>
  <si>
    <t>71а</t>
  </si>
  <si>
    <t>ул. Львовская</t>
  </si>
  <si>
    <t>22.98</t>
  </si>
  <si>
    <t>36.93</t>
  </si>
  <si>
    <t>пер. Тургайский</t>
  </si>
  <si>
    <t>95</t>
  </si>
  <si>
    <t>22в</t>
  </si>
  <si>
    <t>16.38</t>
  </si>
  <si>
    <t>ул. Коломенская</t>
  </si>
  <si>
    <t>25.5</t>
  </si>
  <si>
    <t>ул. Сазанова</t>
  </si>
  <si>
    <t>219.98</t>
  </si>
  <si>
    <t>ул. Красноуральская</t>
  </si>
  <si>
    <t>18.34</t>
  </si>
  <si>
    <t>32а</t>
  </si>
  <si>
    <t>119</t>
  </si>
  <si>
    <t>10.54</t>
  </si>
  <si>
    <t>ул. Бусыгина</t>
  </si>
  <si>
    <t>ул. Менделеева</t>
  </si>
  <si>
    <t>1.23</t>
  </si>
  <si>
    <t>96.89</t>
  </si>
  <si>
    <t>ш. Южное</t>
  </si>
  <si>
    <t>560</t>
  </si>
  <si>
    <t>35.22</t>
  </si>
  <si>
    <t>ул. Ватутина</t>
  </si>
  <si>
    <t>37.76</t>
  </si>
  <si>
    <t>пер. Моторный</t>
  </si>
  <si>
    <t>27.67</t>
  </si>
  <si>
    <t>пр. Ильича</t>
  </si>
  <si>
    <t>27.52</t>
  </si>
  <si>
    <t>364.2</t>
  </si>
  <si>
    <t>78.95</t>
  </si>
  <si>
    <t>12.10.2012</t>
  </si>
  <si>
    <t>173</t>
  </si>
  <si>
    <t>11.94</t>
  </si>
  <si>
    <t>282</t>
  </si>
  <si>
    <t>ул. Заречная</t>
  </si>
  <si>
    <t>115.32</t>
  </si>
  <si>
    <t>7.61</t>
  </si>
  <si>
    <t>ул. Путейская</t>
  </si>
  <si>
    <t>д. 144 (больница № 39)</t>
  </si>
  <si>
    <t>130</t>
  </si>
  <si>
    <t>Насосное оборудование1</t>
  </si>
  <si>
    <t>94.71</t>
  </si>
  <si>
    <t>02.12.2013</t>
  </si>
  <si>
    <t>310</t>
  </si>
  <si>
    <t>03.12.2012</t>
  </si>
  <si>
    <t>01.01.2007</t>
  </si>
  <si>
    <t>45/5а</t>
  </si>
  <si>
    <t>01.01.2012</t>
  </si>
  <si>
    <t>160</t>
  </si>
  <si>
    <t>Насосное оборудование2</t>
  </si>
  <si>
    <t>Нежилое здание 21,1 кв.м</t>
  </si>
  <si>
    <t>с Новые Ключищи</t>
  </si>
  <si>
    <t>22537000271</t>
  </si>
  <si>
    <t>Большемокринский сельсовет, с. Новые Ключищи</t>
  </si>
  <si>
    <t>ул. Кима</t>
  </si>
  <si>
    <t>77г</t>
  </si>
  <si>
    <t>28406</t>
  </si>
  <si>
    <t>7592.4600798403</t>
  </si>
  <si>
    <t>15833.3333333333</t>
  </si>
  <si>
    <t>6726.4472305389</t>
  </si>
  <si>
    <t>Резервуар д. Чеченино</t>
  </si>
  <si>
    <t>Резервуар для воды №1, ж/б п.Культура</t>
  </si>
  <si>
    <t>Резервуар для воды №2, ж/б п.Культура</t>
  </si>
  <si>
    <t>Резервуар подземный 100м3, ул.Луговая</t>
  </si>
  <si>
    <t>Сети холодного водоснабжения д.Козловка</t>
  </si>
  <si>
    <t>д Козловка / Входит в состав административно-территориального образования Ройкинский сельсовет</t>
  </si>
  <si>
    <t>22537000501</t>
  </si>
  <si>
    <t>Ройкинский сельсовет, д. Козловка, улицы д.Козловка</t>
  </si>
  <si>
    <t>https://portal.eias.ru/Portal/DownloadPage.aspx?type=12&amp;guid=89f05bc8-c9da-4461-ba2e-a0ab7d4a5a8f</t>
  </si>
  <si>
    <t>Скважина (каптаж) глубина 75 м</t>
  </si>
  <si>
    <t>Скважина (коттеджи), глубина 80 м</t>
  </si>
  <si>
    <t>Скважина № 5 глубина 78 м</t>
  </si>
  <si>
    <t>Скважина №1 74м</t>
  </si>
  <si>
    <t>Скважина №1 на поселке         с. Шелокша 35 м</t>
  </si>
  <si>
    <t>Скважина №1 уч. Прокошевский 52,05 м. д.Козловка глубина 105 м</t>
  </si>
  <si>
    <t>Скважина №2 (Вязовка), у клуба 30м</t>
  </si>
  <si>
    <t>Скважина №2 85 м.</t>
  </si>
  <si>
    <t>Скважина №2 глубина 42м</t>
  </si>
  <si>
    <t>Скважина №3 глубина 70м</t>
  </si>
  <si>
    <t>Скважина №3 д. Подлесово+здание глубина 60м</t>
  </si>
  <si>
    <t>Скважина №3 с. Вязовка, ул. Специалистов</t>
  </si>
  <si>
    <t>https://portal.eias.ru/Portal/DownloadPage.aspx?type=12&amp;guid=74e6e042-a8b7-4dea-8f96-37e123d58b1e</t>
  </si>
  <si>
    <t>Скважина №4, глубина 50м</t>
  </si>
  <si>
    <t>Скважина глубина 40 м</t>
  </si>
  <si>
    <t>Скважина глубина 50м</t>
  </si>
  <si>
    <t>Скважина глубина 55 м</t>
  </si>
  <si>
    <t>Скважина глубина 67 м</t>
  </si>
  <si>
    <t>Скважина глубина 76 м</t>
  </si>
  <si>
    <t>Скважина глубинная, насос ЭЦВ 6*10*80 с. Б.Ельня глубина 40 м</t>
  </si>
  <si>
    <t>Скважина глубиной 42 м</t>
  </si>
  <si>
    <t>Ближнеборисовский сельсовет, с Вязовка</t>
  </si>
  <si>
    <t>от ВК1 до д.1</t>
  </si>
  <si>
    <t>Скважина д. Митино, будка «кунг» глубина 30 м</t>
  </si>
  <si>
    <t>Скважина на поселке д. Новая Николаевка глубина 26 м</t>
  </si>
  <si>
    <t>Скважина с.Работки,  (зу 52:26:0100013:693</t>
  </si>
  <si>
    <t>Работкинский сельсовет, с. Работки, ул.Плодопитомник</t>
  </si>
  <si>
    <t>https://portal.eias.ru/Portal/DownloadPage.aspx?type=12&amp;guid=95379d73-b8c8-4f1b-b658-f3454da8a264</t>
  </si>
  <si>
    <t>Скважина, глубина 60м</t>
  </si>
  <si>
    <t>Скважина, глубина 65 м</t>
  </si>
  <si>
    <t>15400</t>
  </si>
  <si>
    <t>2408.2709580838</t>
  </si>
  <si>
    <t>4166.6666666667</t>
  </si>
  <si>
    <t>2158.9759231537</t>
  </si>
  <si>
    <t>Сооружение водопроводные сети</t>
  </si>
  <si>
    <t>с Великий Враг</t>
  </si>
  <si>
    <t>22537000141</t>
  </si>
  <si>
    <t>Безводнинский сельсовет, с. Великий Враг</t>
  </si>
  <si>
    <t>Сооружение- водопроводные сети</t>
  </si>
  <si>
    <t>Сооружение-водопроводные сети</t>
  </si>
  <si>
    <t>Станция перекачки жилого городка назначение: нежилое здание 4,5 кв.м п.Дружный (090549873)</t>
  </si>
  <si>
    <t>Ближнеборисовский сельсовет, п. Дружный</t>
  </si>
  <si>
    <t>Труба от водонапорной башни п. Селекция, 20 м</t>
  </si>
  <si>
    <t>Установка УФО д. Чернышиха</t>
  </si>
  <si>
    <t>Фонтан</t>
  </si>
  <si>
    <t>пл. Минина и Пожарского</t>
  </si>
  <si>
    <t>ЭЦВ 5-4-125</t>
  </si>
  <si>
    <t>водонапорная башня</t>
  </si>
  <si>
    <t>ул. Василия Иванова</t>
  </si>
  <si>
    <t>1.04</t>
  </si>
  <si>
    <t>водопровод, 2600 м *Нижегородская обл, Кстовский р-н,  с.Безводное, ул.Клубная, Садовая, Советская, Терешковой, Красноармейская</t>
  </si>
  <si>
    <t>Безводнинский сельсовет, с. Безводное, ул.Клубная, Садовая, Советская, Терешковой, Красноармейская</t>
  </si>
  <si>
    <t>водопроводная башня</t>
  </si>
  <si>
    <t>15630</t>
  </si>
  <si>
    <t>3945.3796157685</t>
  </si>
  <si>
    <t>8333.3333333333</t>
  </si>
  <si>
    <t>3708.2088323353</t>
  </si>
  <si>
    <t>водопроводные сети</t>
  </si>
  <si>
    <t>емкость под зданием (кирпич)</t>
  </si>
  <si>
    <t>здание насосной станции "Холодный ключ", с.Б.Мокрое 15 куб</t>
  </si>
  <si>
    <t>здание насосной станции д.Чаглава
27 куб.м</t>
  </si>
  <si>
    <t>каптаж (емкость накопительная, железная), 15 куб</t>
  </si>
  <si>
    <t>каптаж д.Семеть пластиковая бочка объем 10 куб.м</t>
  </si>
  <si>
    <t>Большемокринский сельсовет, с.Семеть</t>
  </si>
  <si>
    <t>каптаж накопительный 2 куб.м</t>
  </si>
  <si>
    <t>каптаж, 2,6 кв.м</t>
  </si>
  <si>
    <t>насос №1 КМ80х50х200 2004 г (090548465)</t>
  </si>
  <si>
    <t>насос №1 КМ80х50х200 2004 г на войсковую часть (090548467)</t>
  </si>
  <si>
    <t>насос ЭЦВ 4-6,5-70, ВНС д.Чаглава (090548470)</t>
  </si>
  <si>
    <t>насос ЭЦВ 6х10х110 (090548722)</t>
  </si>
  <si>
    <t>насос ЭЦВ 8-25-55; ВНС "Гремячий ключ" Шолокшанский уч. (090548484)</t>
  </si>
  <si>
    <t>сети водоснабжения</t>
  </si>
  <si>
    <t>TER_NAME</t>
  </si>
  <si>
    <t>Территория 1</t>
  </si>
  <si>
    <t>Территория 2</t>
  </si>
  <si>
    <t>ID_TARIFF_NAME</t>
  </si>
  <si>
    <t>TARIFF_NAME</t>
  </si>
  <si>
    <t>VED_NAME</t>
  </si>
  <si>
    <t>4189673</t>
  </si>
  <si>
    <t>4189674</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</si>
  <si>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</si>
  <si>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</si>
  <si>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</si>
  <si>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</si>
  <si>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</si>
  <si>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</si>
  <si>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</si>
  <si>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</si>
  <si>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</si>
  <si>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</si>
  <si>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</si>
  <si>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</si>
  <si>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</si>
  <si>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</si>
  <si>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</si>
  <si>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</si>
  <si>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</si>
  <si>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</si>
  <si>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</si>
  <si>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</si>
  <si>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</si>
  <si>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</si>
  <si>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</si>
  <si>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</si>
  <si>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</si>
  <si>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</si>
  <si>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</si>
  <si>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</si>
  <si>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</si>
  <si>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</si>
  <si>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</si>
  <si>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</si>
  <si>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</si>
  <si>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</si>
  <si>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</si>
  <si>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</si>
  <si>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</si>
  <si>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</si>
  <si>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</si>
  <si>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</si>
  <si>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</si>
  <si>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</si>
  <si>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</si>
  <si>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</si>
  <si>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</si>
  <si>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</si>
  <si>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</si>
  <si>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</si>
  <si>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</si>
  <si>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</si>
  <si>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</si>
  <si>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</si>
  <si>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</si>
  <si>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</si>
  <si>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</si>
  <si>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</si>
  <si>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</si>
  <si>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</si>
  <si>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</si>
  <si>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</si>
  <si>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</si>
  <si>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</si>
  <si>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</si>
  <si>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</si>
  <si>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</si>
  <si>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</si>
  <si>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</si>
  <si>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</si>
  <si>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</si>
  <si>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</si>
  <si>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</si>
  <si>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</si>
  <si>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</si>
  <si>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</si>
  <si>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</si>
  <si>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</si>
  <si>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</si>
  <si>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</si>
  <si>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</si>
  <si>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</si>
  <si>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</si>
  <si>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</si>
  <si>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</si>
  <si>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</si>
  <si>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</si>
  <si>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</si>
  <si>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</si>
  <si>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</si>
  <si>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</si>
  <si>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</si>
  <si>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</si>
  <si>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</si>
  <si>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</si>
  <si>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</si>
  <si>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</si>
  <si>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</si>
  <si>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</si>
  <si>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</si>
  <si>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</si>
  <si>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</si>
  <si>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</si>
  <si>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</si>
  <si>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</si>
  <si>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</si>
  <si>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</si>
  <si>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</si>
  <si>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</si>
  <si>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</si>
  <si>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</si>
  <si>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</si>
  <si>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</si>
  <si>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</si>
  <si>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</si>
  <si>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</si>
  <si>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</si>
  <si>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</si>
  <si>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</si>
  <si>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</si>
  <si>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</si>
  <si>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</si>
  <si>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</si>
  <si>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</si>
  <si>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</si>
  <si>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</si>
  <si>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</si>
  <si>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</si>
  <si>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</si>
  <si>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</si>
  <si>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</si>
  <si>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</si>
  <si>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</si>
  <si>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</si>
  <si>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</si>
  <si>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</si>
  <si>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</si>
  <si>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</si>
  <si>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</si>
  <si>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</si>
  <si>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</si>
  <si>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</si>
  <si>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</si>
  <si>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</si>
  <si>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</si>
  <si>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</si>
  <si>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</si>
  <si>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</si>
  <si>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</si>
  <si>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</si>
  <si>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</si>
  <si>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</si>
  <si>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</si>
  <si>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</si>
  <si>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</si>
  <si>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</si>
  <si>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</si>
  <si>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</si>
  <si>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</si>
  <si>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</si>
  <si>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</si>
  <si>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</si>
  <si>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</si>
  <si>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</si>
  <si>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</si>
  <si>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</si>
  <si>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</si>
  <si>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</si>
  <si>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</si>
  <si>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</si>
  <si>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</si>
  <si>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</si>
  <si>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</si>
  <si>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</si>
  <si>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</si>
  <si>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</si>
  <si>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</si>
  <si>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</si>
  <si>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</si>
  <si>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</si>
  <si>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</si>
  <si>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</si>
  <si>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</si>
  <si>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</si>
  <si>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</si>
  <si>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</si>
  <si>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</si>
  <si>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</si>
  <si>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 листе "Показатели ФХД" по Технической воде прочие доходы/прочие расходы составляют 15,71 тыс.руб</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</si>
</sst>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mm\.yyyy"/>
    <numFmt numFmtId="165" formatCode="000000"/>
    <numFmt numFmtId="166" formatCode="#,##0.000"/>
    <numFmt numFmtId="167" formatCode="#,##0.0000"/>
    <numFmt numFmtId="168" formatCode="h:mm;@"/>
  </numFmts>
  <fonts count="83">
    <font>
      <sz val="11"/>
      <color rgb="FF000000"/>
      <name val="Calibri"/>
    </font>
    <font>
      <sz val="11"/>
      <color rgb="FFFFFFFF"/>
      <name val="Tahoma"/>
      <family val="2"/>
      <charset val="204"/>
    </font>
    <font>
      <b/>
      <sz val="10"/>
      <name val="Tahoma"/>
      <family val="2"/>
      <charset val="204"/>
    </font>
    <font>
      <sz val="10"/>
      <name val="Tahoma"/>
      <family val="2"/>
      <charset val="204"/>
    </font>
    <font>
      <sz val="11"/>
      <color rgb="FF000000"/>
      <name val="Tahoma"/>
      <family val="2"/>
      <charset val="204"/>
    </font>
    <font>
      <sz val="9"/>
      <color rgb="FF000000"/>
      <name val="Tahoma"/>
      <family val="2"/>
      <charset val="204"/>
    </font>
    <font>
      <sz val="10"/>
      <color rgb="FF000000"/>
      <name val="Tahoma"/>
      <family val="2"/>
      <charset val="204"/>
    </font>
    <font>
      <b/>
      <sz val="10"/>
      <color rgb="FF000000"/>
      <name val="Tahoma"/>
      <family val="2"/>
      <charset val="204"/>
    </font>
    <font>
      <sz val="1"/>
      <color rgb="FFFFFFFF"/>
      <name val="Tahoma"/>
      <family val="2"/>
      <charset val="204"/>
    </font>
    <font>
      <sz val="9"/>
      <name val="Tahoma"/>
      <family val="2"/>
      <charset val="204"/>
    </font>
    <font>
      <sz val="9"/>
      <color rgb="FFFFFFFF"/>
      <name val="Tahoma"/>
      <family val="2"/>
      <charset val="204"/>
    </font>
    <font>
      <sz val="3"/>
      <name val="Tahoma"/>
      <family val="2"/>
      <charset val="204"/>
    </font>
    <font>
      <sz val="16"/>
      <name val="Tahoma"/>
      <family val="2"/>
      <charset val="204"/>
    </font>
    <font>
      <b/>
      <sz val="9"/>
      <name val="Tahoma"/>
      <family val="2"/>
      <charset val="204"/>
    </font>
    <font>
      <sz val="3"/>
      <color rgb="FF993300"/>
      <name val="Tahoma"/>
      <family val="2"/>
      <charset val="204"/>
    </font>
    <font>
      <sz val="7"/>
      <name val="Tahoma"/>
      <family val="2"/>
      <charset val="204"/>
    </font>
    <font>
      <sz val="3"/>
      <color rgb="FFFFFFFF"/>
      <name val="Tahoma"/>
      <family val="2"/>
      <charset val="204"/>
    </font>
    <font>
      <sz val="7"/>
      <color theme="0" tint="-0.499984740745262"/>
      <name val="Tahoma"/>
      <family val="2"/>
      <charset val="204"/>
    </font>
    <font>
      <u/>
      <sz val="9"/>
      <color rgb="FF333399"/>
      <name val="Tahoma"/>
      <family val="2"/>
      <charset val="204"/>
    </font>
    <font>
      <sz val="9"/>
      <color theme="0"/>
      <name val="Tahoma"/>
      <family val="2"/>
      <charset val="204"/>
    </font>
    <font>
      <b/>
      <sz val="9"/>
      <color theme="0"/>
      <name val="Tahoma"/>
      <family val="2"/>
      <charset val="204"/>
    </font>
    <font>
      <sz val="16"/>
      <color rgb="FFFFFFFF"/>
      <name val="Tahoma"/>
      <family val="2"/>
      <charset val="204"/>
    </font>
    <font>
      <sz val="3"/>
      <color rgb="FF000000"/>
      <name val="Tahoma"/>
      <family val="2"/>
      <charset val="204"/>
    </font>
    <font>
      <u/>
      <sz val="9"/>
      <color rgb="FF000080"/>
      <name val="Tahoma"/>
      <family val="2"/>
      <charset val="204"/>
    </font>
    <font>
      <sz val="9"/>
      <color rgb="FFCC0000"/>
      <name val="Tahoma"/>
      <family val="2"/>
      <charset val="204"/>
    </font>
    <font>
      <sz val="1"/>
      <color theme="0"/>
      <name val="Tahoma"/>
      <family val="2"/>
      <charset val="204"/>
    </font>
    <font>
      <sz val="11"/>
      <color theme="0"/>
      <name val="Wingdings 2"/>
      <family val="1"/>
      <charset val="2"/>
    </font>
    <font>
      <sz val="11"/>
      <name val="Wingdings 2"/>
      <family val="1"/>
      <charset val="2"/>
    </font>
    <font>
      <sz val="9"/>
      <color rgb="FFBCBCBC"/>
      <name val="Tahoma"/>
      <family val="2"/>
      <charset val="204"/>
    </font>
    <font>
      <sz val="9"/>
      <color rgb="FF000080"/>
      <name val="Tahoma"/>
      <family val="2"/>
      <charset val="204"/>
    </font>
    <font>
      <sz val="8"/>
      <name val="Tahoma"/>
      <family val="2"/>
      <charset val="204"/>
    </font>
    <font>
      <sz val="11"/>
      <color rgb="FFBCBCBC"/>
      <name val="Wingdings 2"/>
      <family val="1"/>
      <charset val="2"/>
    </font>
    <font>
      <sz val="5"/>
      <color rgb="FFFF0000"/>
      <name val="Tahoma"/>
      <family val="2"/>
      <charset val="204"/>
    </font>
    <font>
      <b/>
      <sz val="11"/>
      <color rgb="FF000000"/>
      <name val="Calibri"/>
      <family val="2"/>
      <charset val="204"/>
    </font>
    <font>
      <sz val="9"/>
      <color theme="1"/>
      <name val="Tahoma"/>
      <family val="2"/>
      <charset val="204"/>
    </font>
    <font>
      <sz val="12"/>
      <name val="Marlett"/>
      <charset val="2"/>
    </font>
    <font>
      <sz val="1"/>
      <name val="Tahoma"/>
      <family val="2"/>
      <charset val="204"/>
    </font>
    <font>
      <sz val="1"/>
      <color rgb="FF000000"/>
      <name val="Tahoma"/>
      <family val="2"/>
      <charset val="204"/>
    </font>
    <font>
      <b/>
      <sz val="9"/>
      <color rgb="FF000080"/>
      <name val="Tahoma"/>
      <family val="2"/>
      <charset val="204"/>
    </font>
    <font>
      <sz val="18"/>
      <color rgb="FF000000"/>
      <name val="Tahoma"/>
      <family val="2"/>
      <charset val="204"/>
    </font>
    <font>
      <sz val="12"/>
      <color rgb="FF000000"/>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theme="0"/>
      <name val="Tahoma"/>
      <family val="2"/>
      <charset val="204"/>
    </font>
    <font>
      <sz val="3"/>
      <color rgb="FFBCBCBC"/>
      <name val="Tahoma"/>
      <family val="2"/>
      <charset val="204"/>
    </font>
    <font>
      <sz val="1"/>
      <color rgb="FFBCBCBC"/>
      <name val="Tahoma"/>
      <family val="2"/>
      <charset val="204"/>
    </font>
    <font>
      <sz val="7"/>
      <color rgb="FF000000"/>
      <name val="Tahoma"/>
      <family val="2"/>
      <charset val="204"/>
    </font>
    <font>
      <sz val="9"/>
      <color rgb="FFFF0000"/>
      <name val="Tahoma"/>
      <family val="2"/>
      <charset val="204"/>
    </font>
    <font>
      <sz val="10"/>
      <color rgb="FF000000"/>
      <name val="Arial"/>
      <family val="2"/>
      <charset val="204"/>
    </font>
    <font>
      <sz val="9"/>
      <color rgb="FF333399"/>
      <name val="Tahoma"/>
      <family val="2"/>
      <charset val="204"/>
    </font>
    <font>
      <sz val="11"/>
      <name val="Webdings2"/>
    </font>
    <font>
      <b/>
      <sz val="9"/>
      <color rgb="FF000000"/>
      <name val="Tahoma"/>
      <family val="2"/>
      <charset val="204"/>
    </font>
    <font>
      <sz val="8"/>
      <color theme="0"/>
      <name val="Tahoma"/>
      <family val="2"/>
      <charset val="204"/>
    </font>
    <font>
      <b/>
      <sz val="8"/>
      <color theme="0"/>
      <name val="Wingdings 2"/>
      <family val="1"/>
      <charset val="2"/>
    </font>
    <font>
      <b/>
      <sz val="8"/>
      <color rgb="FFC0C0C0"/>
      <name val="Wingdings 2"/>
      <family val="1"/>
      <charset val="2"/>
    </font>
    <font>
      <sz val="8"/>
      <color rgb="FF000080"/>
      <name val="Tahoma"/>
      <family val="2"/>
      <charset val="204"/>
    </font>
    <font>
      <sz val="12"/>
      <color theme="0"/>
      <name val="Tahoma"/>
      <family val="2"/>
      <charset val="204"/>
    </font>
    <font>
      <sz val="11"/>
      <color theme="0"/>
      <name val="Tahoma"/>
      <family val="2"/>
      <charset val="204"/>
    </font>
    <font>
      <b/>
      <u/>
      <sz val="9"/>
      <color rgb="FF000080"/>
      <name val="Tahoma"/>
      <family val="2"/>
      <charset val="204"/>
    </font>
    <font>
      <u/>
      <sz val="1"/>
      <color rgb="FF333399"/>
      <name val="Tahoma"/>
      <family val="2"/>
      <charset val="204"/>
    </font>
    <font>
      <b/>
      <sz val="1"/>
      <color theme="0"/>
      <name val="Tahoma"/>
      <family val="2"/>
      <charset val="204"/>
    </font>
    <font>
      <sz val="1"/>
      <name val="Webdings2"/>
    </font>
    <font>
      <sz val="1"/>
      <color theme="0"/>
      <name val="Webdings2"/>
    </font>
    <font>
      <sz val="11"/>
      <color theme="0"/>
      <name val="Webdings2"/>
    </font>
    <font>
      <b/>
      <sz val="1"/>
      <color rgb="FF000080"/>
      <name val="Tahoma"/>
      <family val="2"/>
      <charset val="204"/>
    </font>
    <font>
      <sz val="1"/>
      <color rgb="FF000080"/>
      <name val="Tahoma"/>
      <family val="2"/>
      <charset val="204"/>
    </font>
    <font>
      <sz val="14"/>
      <color rgb="FFBCBCBC"/>
      <name val="Calibri"/>
      <family val="2"/>
      <charset val="204"/>
    </font>
    <font>
      <sz val="12"/>
      <name val="Tahoma"/>
      <family val="2"/>
      <charset val="204"/>
    </font>
    <font>
      <sz val="1"/>
      <color theme="0"/>
      <name val="Wingdings 2"/>
      <family val="1"/>
      <charset val="2"/>
    </font>
    <font>
      <sz val="15"/>
      <color theme="0"/>
      <name val="Tahoma"/>
      <family val="2"/>
      <charset val="204"/>
    </font>
    <font>
      <sz val="15"/>
      <name val="Tahoma"/>
      <family val="2"/>
      <charset val="204"/>
    </font>
    <font>
      <b/>
      <sz val="9"/>
      <color rgb="FFCC0000"/>
      <name val="Tahoma"/>
      <family val="2"/>
      <charset val="204"/>
    </font>
    <font>
      <sz val="8"/>
      <color rgb="FFFFFFFF"/>
      <name val="Tahoma"/>
      <family val="2"/>
      <charset val="204"/>
    </font>
    <font>
      <b/>
      <sz val="9"/>
      <color rgb="FFFFFFFF"/>
      <name val="Tahoma"/>
      <family val="2"/>
      <charset val="204"/>
    </font>
    <font>
      <sz val="15"/>
      <color rgb="FF000000"/>
      <name val="Tahoma"/>
      <family val="2"/>
      <charset val="204"/>
    </font>
    <font>
      <sz val="18"/>
      <color theme="0"/>
      <name val="Tahoma"/>
      <family val="2"/>
      <charset val="204"/>
    </font>
    <font>
      <u/>
      <sz val="9"/>
      <name val="Tahoma"/>
      <family val="2"/>
      <charset val="204"/>
    </font>
    <font>
      <b/>
      <u/>
      <sz val="9"/>
      <name val="Tahoma"/>
      <family val="2"/>
      <charset val="204"/>
    </font>
    <font>
      <u/>
      <sz val="9"/>
      <color theme="10"/>
      <name val="Tahoma"/>
      <family val="2"/>
      <charset val="204"/>
    </font>
    <font>
      <vertAlign val="superscript"/>
      <sz val="9"/>
      <name val="Tahoma"/>
      <family val="2"/>
      <charset val="204"/>
    </font>
    <font>
      <sz val="9"/>
      <color indexed="81"/>
      <name val="Arial"/>
      <family val="2"/>
    </font>
    <font>
      <sz val="9"/>
      <color indexed="81"/>
      <name val="Tahoma"/>
      <family val="2"/>
    </font>
  </fonts>
  <fills count="30">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BCBCBC"/>
      </patternFill>
    </fill>
    <fill>
      <patternFill patternType="solid">
        <fgColor theme="0" tint="-0.14999847407452621"/>
        <bgColor indexed="65"/>
      </patternFill>
    </fill>
    <fill>
      <patternFill patternType="solid">
        <fgColor rgb="FFFFFFC0"/>
      </patternFill>
    </fill>
    <fill>
      <patternFill patternType="solid">
        <fgColor rgb="FFD3DBDB"/>
      </patternFill>
    </fill>
    <fill>
      <patternFill patternType="solid">
        <fgColor rgb="FFD7EAD3"/>
      </patternFill>
    </fill>
    <fill>
      <patternFill patternType="solid">
        <fgColor rgb="FFE3FAFD"/>
      </patternFill>
    </fill>
    <fill>
      <patternFill patternType="solid">
        <fgColor rgb="FFFFFFFF"/>
      </patternFill>
    </fill>
    <fill>
      <patternFill patternType="solid">
        <fgColor rgb="FFB7E4FF"/>
      </patternFill>
    </fill>
    <fill>
      <patternFill patternType="lightDown">
        <fgColor rgb="FFC0C0C0"/>
      </patternFill>
    </fill>
    <fill>
      <patternFill patternType="solid">
        <fgColor theme="0"/>
      </patternFill>
    </fill>
    <fill>
      <patternFill patternType="solid">
        <fgColor rgb="FFC0C0C0"/>
      </patternFill>
    </fill>
    <fill>
      <patternFill patternType="solid">
        <fgColor rgb="FF0066CC"/>
      </patternFill>
    </fill>
    <fill>
      <patternFill patternType="solid">
        <fgColor rgb="FFFF9900"/>
      </patternFill>
    </fill>
    <fill>
      <patternFill patternType="solid">
        <fgColor rgb="FF808000"/>
      </patternFill>
    </fill>
    <fill>
      <patternFill patternType="solid">
        <fgColor rgb="FFCC99FF"/>
      </patternFill>
    </fill>
    <fill>
      <patternFill patternType="solid">
        <fgColor rgb="FFFFFF00"/>
      </patternFill>
    </fill>
    <fill>
      <patternFill patternType="solid">
        <fgColor rgb="FFCCCCFF"/>
      </patternFill>
    </fill>
    <fill>
      <patternFill patternType="solid">
        <fgColor rgb="FFFFB7B7"/>
      </patternFill>
    </fill>
    <fill>
      <patternFill patternType="lightDown">
        <fgColor rgb="FFB7E4FF"/>
        <bgColor rgb="FFFFFFFF"/>
      </patternFill>
    </fill>
    <fill>
      <patternFill patternType="solid">
        <fgColor rgb="FFEAEBEE"/>
      </patternFill>
    </fill>
    <fill>
      <patternFill patternType="solid">
        <fgColor rgb="FF00CCFF"/>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s>
  <borders count="66">
    <border>
      <left/>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BCBCBC"/>
      </left>
      <right/>
      <top/>
      <bottom/>
      <diagonal/>
    </border>
    <border>
      <left/>
      <right style="thin">
        <color rgb="FFBCBCBC"/>
      </right>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rgb="FFBCBCBC"/>
      </left>
      <right/>
      <top/>
      <bottom style="thin">
        <color rgb="FFBCBCBC"/>
      </bottom>
      <diagonal/>
    </border>
    <border>
      <left/>
      <right/>
      <top/>
      <bottom style="thin">
        <color rgb="FFBCBCBC"/>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hair">
        <color rgb="FFC0C0C0"/>
      </left>
      <right/>
      <top style="hair">
        <color rgb="FFC0C0C0"/>
      </top>
      <bottom style="hair">
        <color rgb="FFC0C0C0"/>
      </bottom>
      <diagonal/>
    </border>
    <border>
      <left style="thin">
        <color rgb="FFC0C0C0"/>
      </left>
      <right style="thin">
        <color rgb="FFC0C0C0"/>
      </right>
      <top style="thin">
        <color rgb="FFC0C0C0"/>
      </top>
      <bottom style="thin">
        <color rgb="FFC0C0C0"/>
      </bottom>
      <diagonal/>
    </border>
    <border>
      <left style="thin">
        <color rgb="FFBCBCBC"/>
      </left>
      <right style="thin">
        <color rgb="FFBCBCBC"/>
      </right>
      <top style="thin">
        <color rgb="FFBCBCBC"/>
      </top>
      <bottom style="thin">
        <color rgb="FFBCBCBC"/>
      </bottom>
      <diagonal/>
    </border>
    <border>
      <left/>
      <right/>
      <top style="thin">
        <color rgb="FFC0C0C0"/>
      </top>
      <bottom style="thin">
        <color rgb="FFC0C0C0"/>
      </bottom>
      <diagonal/>
    </border>
    <border>
      <left/>
      <right/>
      <top style="thin">
        <color rgb="FFC0C0C0"/>
      </top>
      <bottom/>
      <diagonal/>
    </border>
    <border>
      <left/>
      <right style="thin">
        <color rgb="FFC0C0C0"/>
      </right>
      <top style="thin">
        <color rgb="FFC0C0C0"/>
      </top>
      <bottom/>
      <diagonal/>
    </border>
    <border>
      <left style="thin">
        <color rgb="FFC0C0C0"/>
      </left>
      <right/>
      <top/>
      <bottom/>
      <diagonal/>
    </border>
    <border>
      <left/>
      <right style="thin">
        <color rgb="FFC0C0C0"/>
      </right>
      <top/>
      <bottom/>
      <diagonal/>
    </border>
    <border>
      <left style="thin">
        <color rgb="FFC0C0C0"/>
      </left>
      <right style="thin">
        <color rgb="FFC0C0C0"/>
      </right>
      <top/>
      <bottom style="thin">
        <color rgb="FFC0C0C0"/>
      </bottom>
      <diagonal/>
    </border>
    <border>
      <left/>
      <right/>
      <top style="thin">
        <color rgb="FFD3DBDB"/>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bottom style="thin">
        <color rgb="FFC0C0C0"/>
      </bottom>
      <diagonal/>
    </border>
    <border>
      <left style="thin">
        <color rgb="FFC0C0C0"/>
      </left>
      <right/>
      <top/>
      <bottom style="thin">
        <color rgb="FFC0C0C0"/>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C0C0C0"/>
      </left>
      <right style="thin">
        <color rgb="FFC0C0C0"/>
      </right>
      <top/>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rgb="FFD3DBDB"/>
      </left>
      <right style="thin">
        <color rgb="FFD3DBDB"/>
      </right>
      <top style="thin">
        <color rgb="FFD3DBDB"/>
      </top>
      <bottom style="thin">
        <color rgb="FFD3DBDB"/>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000000"/>
      </left>
      <right style="thin">
        <color rgb="FF000000"/>
      </right>
      <top style="thin">
        <color rgb="FF000000"/>
      </top>
      <bottom style="thin">
        <color rgb="FF0000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rgb="FFBCBCBC"/>
      </left>
      <right/>
      <top style="medium">
        <color rgb="FFBCBCBC"/>
      </top>
      <bottom/>
      <diagonal/>
    </border>
    <border>
      <left/>
      <right/>
      <top style="medium">
        <color rgb="FFBCBCBC"/>
      </top>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style="thin">
        <color theme="0" tint="-0.249977111117893"/>
      </right>
      <top style="thin">
        <color rgb="FFC0C0C0"/>
      </top>
      <bottom style="thin">
        <color rgb="FFC0C0C0"/>
      </bottom>
      <diagonal/>
    </border>
    <border>
      <left style="thin">
        <color rgb="FFC0C0C0"/>
      </left>
      <right style="thin">
        <color rgb="FFC0C0C0"/>
      </right>
      <top style="thin">
        <color rgb="FFC0C0C0"/>
      </top>
      <bottom style="medium">
        <color rgb="FFC0C0C0"/>
      </bottom>
      <diagonal/>
    </border>
    <border>
      <left/>
      <right/>
      <top/>
      <bottom style="medium">
        <color rgb="FFC0C0C0"/>
      </bottom>
      <diagonal/>
    </border>
    <border>
      <left/>
      <right/>
      <top style="thin">
        <color rgb="FFC0C0C0"/>
      </top>
      <bottom style="medium">
        <color rgb="FFC0C0C0"/>
      </bottom>
      <diagonal/>
    </border>
    <border>
      <left style="thin">
        <color rgb="FFBCBCBC"/>
      </left>
      <right/>
      <top style="medium">
        <color rgb="FFBCBCBC"/>
      </top>
      <bottom style="thin">
        <color rgb="FFC0C0C0"/>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style="thin">
        <color rgb="FFC0C0C0"/>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theme="0" tint="-0.249977111117893"/>
      </left>
      <right style="thin">
        <color rgb="FFC0C0C0"/>
      </right>
      <top style="thin">
        <color rgb="FFC0C0C0"/>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thin">
        <color rgb="FFBCBCBC"/>
      </bottom>
      <diagonal/>
    </border>
    <border>
      <left/>
      <right/>
      <top style="dotted">
        <color rgb="FF000000"/>
      </top>
      <bottom style="dotted">
        <color rgb="FF000000"/>
      </bottom>
      <diagonal/>
    </border>
  </borders>
  <cellStyleXfs count="1250">
    <xf numFmtId="0" fontId="0" fillId="0" borderId="0" applyFill="0" applyBorder="0">
      <alignment vertical="top"/>
    </xf>
    <xf numFmtId="49" fontId="1" fillId="0" borderId="0" applyFill="0" applyBorder="0">
      <alignment wrapText="1"/>
    </xf>
    <xf numFmtId="0" fontId="2" fillId="0" borderId="0" applyFill="0" applyBorder="0">
      <alignment vertical="center" wrapText="1"/>
    </xf>
    <xf numFmtId="0" fontId="2" fillId="0" borderId="0" applyFill="0" applyBorder="0">
      <alignment vertical="center"/>
    </xf>
    <xf numFmtId="0" fontId="3" fillId="6" borderId="1">
      <alignment horizontal="center" vertical="center" wrapText="1"/>
    </xf>
    <xf numFmtId="0" fontId="3" fillId="6" borderId="2">
      <alignment horizontal="center" vertical="center" wrapText="1"/>
    </xf>
    <xf numFmtId="0" fontId="3" fillId="6" borderId="3">
      <alignment horizontal="center" vertical="center" wrapText="1"/>
    </xf>
    <xf numFmtId="0" fontId="3" fillId="7" borderId="4">
      <alignment horizontal="right" vertical="center" wrapText="1" indent="1"/>
    </xf>
    <xf numFmtId="0" fontId="3" fillId="7" borderId="5">
      <alignment horizontal="right" vertical="center" wrapText="1" indent="1"/>
    </xf>
    <xf numFmtId="0" fontId="4" fillId="0" borderId="4" applyFill="0">
      <alignment wrapText="1"/>
    </xf>
    <xf numFmtId="0" fontId="5" fillId="8" borderId="6">
      <alignment horizontal="center" vertical="center" wrapText="1"/>
    </xf>
    <xf numFmtId="0" fontId="6" fillId="0" borderId="4" applyFill="0">
      <alignment vertical="center" wrapText="1"/>
    </xf>
    <xf numFmtId="0" fontId="5" fillId="9" borderId="6">
      <alignment horizontal="center" vertical="center" wrapText="1"/>
    </xf>
    <xf numFmtId="0" fontId="6" fillId="0" borderId="4" applyFill="0">
      <alignment horizontal="left" vertical="center" wrapText="1"/>
    </xf>
    <xf numFmtId="0" fontId="5" fillId="10" borderId="6">
      <alignment horizontal="center" vertical="center" wrapText="1"/>
    </xf>
    <xf numFmtId="0" fontId="5" fillId="11" borderId="6">
      <alignment horizontal="center" vertical="center" wrapText="1"/>
    </xf>
    <xf numFmtId="0" fontId="3" fillId="7" borderId="0" applyBorder="0">
      <alignment horizontal="right" vertical="center" wrapText="1" indent="1"/>
    </xf>
    <xf numFmtId="0" fontId="7" fillId="0" borderId="4" applyFill="0">
      <alignment horizontal="left" vertical="center" wrapText="1"/>
    </xf>
    <xf numFmtId="0" fontId="7" fillId="0" borderId="7" applyFill="0">
      <alignment horizontal="left" vertical="center" wrapText="1"/>
    </xf>
    <xf numFmtId="0" fontId="3" fillId="7" borderId="6">
      <alignment horizontal="right" vertical="center" wrapText="1" indent="1"/>
    </xf>
    <xf numFmtId="0" fontId="3" fillId="7" borderId="8">
      <alignment horizontal="right" vertical="center" wrapText="1" indent="1"/>
    </xf>
    <xf numFmtId="0" fontId="6" fillId="0" borderId="4" applyFill="0">
      <alignment wrapText="1"/>
    </xf>
    <xf numFmtId="0" fontId="6" fillId="0" borderId="0" applyFill="0" applyBorder="0">
      <alignment vertical="center" wrapText="1"/>
    </xf>
    <xf numFmtId="0" fontId="6" fillId="0" borderId="0" applyFill="0" applyBorder="0">
      <alignment vertical="top" wrapText="1"/>
    </xf>
    <xf numFmtId="0" fontId="3" fillId="7" borderId="9">
      <alignment horizontal="right" vertical="center" wrapText="1" indent="1"/>
    </xf>
    <xf numFmtId="0" fontId="3" fillId="7" borderId="10">
      <alignment horizontal="right" vertical="center" wrapText="1" indent="1"/>
    </xf>
    <xf numFmtId="0" fontId="4" fillId="0" borderId="9" applyFill="0">
      <alignment wrapText="1"/>
    </xf>
    <xf numFmtId="0" fontId="4" fillId="0" borderId="10" applyFill="0">
      <alignment wrapText="1"/>
    </xf>
    <xf numFmtId="0" fontId="4" fillId="0" borderId="10" applyFill="0">
      <alignment vertical="center" wrapText="1"/>
    </xf>
    <xf numFmtId="0" fontId="8" fillId="0" borderId="0" applyFill="0" applyBorder="0">
      <alignment vertical="center" wrapText="1"/>
    </xf>
    <xf numFmtId="0" fontId="9" fillId="0" borderId="0" applyFill="0" applyBorder="0">
      <alignment horizontal="left" vertical="top" indent="1"/>
    </xf>
    <xf numFmtId="0" fontId="10" fillId="0" borderId="0" applyFill="0" applyBorder="0">
      <alignment vertical="center" wrapText="1"/>
    </xf>
    <xf numFmtId="0" fontId="5" fillId="0" borderId="0" applyFill="0" applyBorder="0">
      <alignment horizontal="left" vertical="center" indent="1"/>
    </xf>
    <xf numFmtId="0" fontId="9" fillId="0" borderId="0" applyFill="0" applyBorder="0">
      <alignment vertical="center" wrapText="1"/>
    </xf>
    <xf numFmtId="0" fontId="11" fillId="12" borderId="0" applyBorder="0">
      <alignment vertical="center" wrapText="1"/>
    </xf>
    <xf numFmtId="0" fontId="11" fillId="0" borderId="0" applyFill="0" applyBorder="0">
      <alignment vertical="center" wrapText="1"/>
    </xf>
    <xf numFmtId="0" fontId="12" fillId="12" borderId="0" applyBorder="0">
      <alignment vertical="center" wrapText="1"/>
    </xf>
    <xf numFmtId="0" fontId="9" fillId="0" borderId="11" applyFill="0">
      <alignment horizontal="center" vertical="center" wrapText="1"/>
    </xf>
    <xf numFmtId="0" fontId="9" fillId="0" borderId="12" applyFill="0">
      <alignment horizontal="center" vertical="center" wrapText="1"/>
    </xf>
    <xf numFmtId="0" fontId="13" fillId="12" borderId="0" applyBorder="0">
      <alignment vertical="center" wrapText="1"/>
    </xf>
    <xf numFmtId="0" fontId="11" fillId="12" borderId="0" applyBorder="0">
      <alignment horizontal="right" vertical="center" wrapText="1" indent="1"/>
    </xf>
    <xf numFmtId="0" fontId="14" fillId="12" borderId="0" applyBorder="0">
      <alignment horizontal="center" vertical="center" wrapText="1"/>
    </xf>
    <xf numFmtId="0" fontId="9" fillId="12" borderId="13">
      <alignment horizontal="right" vertical="center" wrapText="1" indent="1"/>
    </xf>
    <xf numFmtId="0" fontId="5" fillId="10" borderId="14">
      <alignment horizontal="left" vertical="center" wrapText="1" indent="1"/>
    </xf>
    <xf numFmtId="14" fontId="15" fillId="12" borderId="0" applyBorder="0">
      <alignment horizontal="left" vertical="center" wrapText="1"/>
    </xf>
    <xf numFmtId="0" fontId="16" fillId="12" borderId="0" applyBorder="0">
      <alignment horizontal="center" vertical="center" wrapText="1"/>
    </xf>
    <xf numFmtId="0" fontId="11" fillId="12" borderId="0" applyBorder="0">
      <alignment horizontal="left" vertical="center" wrapText="1" indent="1"/>
    </xf>
    <xf numFmtId="0" fontId="9" fillId="12" borderId="0" applyBorder="0">
      <alignment horizontal="center" vertical="center" wrapText="1"/>
    </xf>
    <xf numFmtId="0" fontId="9" fillId="11" borderId="14">
      <alignment horizontal="left" vertical="top" wrapText="1" indent="1"/>
      <protection locked="0"/>
    </xf>
    <xf numFmtId="0" fontId="9" fillId="0" borderId="0" applyFill="0" applyBorder="0">
      <alignment horizontal="left" vertical="center" wrapText="1"/>
    </xf>
    <xf numFmtId="49" fontId="9" fillId="13" borderId="14">
      <alignment horizontal="left" vertical="center" wrapText="1" indent="1"/>
    </xf>
    <xf numFmtId="14" fontId="17" fillId="0" borderId="14" applyFill="0">
      <alignment horizontal="center" vertical="center" wrapText="1"/>
    </xf>
    <xf numFmtId="164" fontId="5" fillId="11" borderId="14">
      <alignment horizontal="left" vertical="center" wrapText="1" indent="1"/>
      <protection locked="0"/>
    </xf>
    <xf numFmtId="0" fontId="18" fillId="0" borderId="0" applyFill="0" applyBorder="0">
      <alignment horizontal="left" vertical="center" indent="1"/>
    </xf>
    <xf numFmtId="0" fontId="19" fillId="0" borderId="0" applyFill="0" applyBorder="0">
      <alignment vertical="center" wrapText="1"/>
    </xf>
    <xf numFmtId="0" fontId="9" fillId="12" borderId="0" applyBorder="0">
      <alignment vertical="center" wrapText="1"/>
    </xf>
    <xf numFmtId="14" fontId="17" fillId="0" borderId="14" applyFill="0">
      <alignment horizontal="left" vertical="center" wrapText="1"/>
    </xf>
    <xf numFmtId="49" fontId="9" fillId="12" borderId="13">
      <alignment horizontal="right" vertical="center" wrapText="1" indent="1"/>
    </xf>
    <xf numFmtId="49" fontId="19" fillId="0" borderId="0" applyFill="0" applyBorder="0">
      <alignment vertical="center" wrapText="1"/>
    </xf>
    <xf numFmtId="0" fontId="5" fillId="11" borderId="14">
      <alignment horizontal="left" vertical="center" wrapText="1" indent="1"/>
      <protection locked="0"/>
    </xf>
    <xf numFmtId="49" fontId="9" fillId="11" borderId="14">
      <alignment horizontal="left" vertical="center" wrapText="1" indent="1"/>
      <protection locked="0"/>
    </xf>
    <xf numFmtId="164" fontId="5" fillId="0" borderId="14" applyFill="0">
      <alignment horizontal="left" vertical="center" wrapText="1" indent="1"/>
    </xf>
    <xf numFmtId="0" fontId="5" fillId="12" borderId="0" applyBorder="0">
      <alignment horizontal="right" vertical="center" wrapText="1" indent="1"/>
    </xf>
    <xf numFmtId="0" fontId="20" fillId="0" borderId="0" applyFill="0" applyBorder="0">
      <alignment horizontal="left" vertical="center" wrapText="1"/>
    </xf>
    <xf numFmtId="0" fontId="9" fillId="12" borderId="0" applyBorder="0">
      <alignment horizontal="right" vertical="center" wrapText="1" indent="1"/>
    </xf>
    <xf numFmtId="0" fontId="9" fillId="0" borderId="0" applyFill="0" applyBorder="0">
      <alignment horizontal="center" vertical="center" wrapText="1"/>
    </xf>
    <xf numFmtId="0" fontId="20" fillId="0" borderId="0" applyFill="0" applyBorder="0">
      <alignment vertical="center" wrapText="1"/>
    </xf>
    <xf numFmtId="0" fontId="5" fillId="12" borderId="0" applyBorder="0">
      <alignment horizontal="left" vertical="center" wrapText="1" indent="1"/>
    </xf>
    <xf numFmtId="49" fontId="9" fillId="0" borderId="14" applyFill="0">
      <alignment horizontal="left" vertical="center" wrapText="1" indent="1"/>
    </xf>
    <xf numFmtId="0" fontId="21" fillId="12" borderId="0" applyBorder="0">
      <alignment horizontal="center" vertical="center" wrapText="1"/>
    </xf>
    <xf numFmtId="49" fontId="9" fillId="10" borderId="14">
      <alignment horizontal="left" vertical="center" wrapText="1" indent="1"/>
    </xf>
    <xf numFmtId="14" fontId="9" fillId="12" borderId="0" applyBorder="0">
      <alignment horizontal="center" vertical="center" wrapText="1"/>
    </xf>
    <xf numFmtId="0" fontId="5" fillId="12" borderId="13">
      <alignment horizontal="right" vertical="center" wrapText="1" indent="1"/>
    </xf>
    <xf numFmtId="14" fontId="9" fillId="12" borderId="0" applyBorder="0">
      <alignment horizontal="left" vertical="center" wrapText="1"/>
    </xf>
    <xf numFmtId="0" fontId="9" fillId="11" borderId="14">
      <alignment horizontal="left" vertical="center" wrapText="1" indent="1"/>
      <protection locked="0"/>
    </xf>
    <xf numFmtId="0" fontId="22" fillId="12" borderId="0" applyBorder="0">
      <alignment horizontal="right" vertical="center" wrapText="1" indent="1"/>
    </xf>
    <xf numFmtId="0" fontId="22" fillId="12" borderId="0" applyBorder="0">
      <alignment horizontal="left" vertical="center" wrapText="1" indent="1"/>
    </xf>
    <xf numFmtId="49" fontId="23" fillId="0" borderId="14" applyFill="0">
      <alignment horizontal="left" vertical="center" wrapText="1" indent="1"/>
    </xf>
    <xf numFmtId="0" fontId="9" fillId="13" borderId="14">
      <alignment horizontal="left" vertical="center" wrapText="1" indent="1"/>
    </xf>
    <xf numFmtId="164" fontId="5" fillId="0" borderId="15" applyFill="0">
      <alignment horizontal="left" vertical="center" wrapText="1" indent="1"/>
    </xf>
    <xf numFmtId="49" fontId="12" fillId="12" borderId="0" applyBorder="0">
      <alignment horizontal="center" vertical="center" wrapText="1"/>
    </xf>
    <xf numFmtId="0" fontId="9" fillId="0" borderId="0" applyFill="0" applyBorder="0">
      <alignment horizontal="left" vertical="center" wrapText="1" indent="4"/>
    </xf>
    <xf numFmtId="49" fontId="9" fillId="12" borderId="0" applyBorder="0">
      <alignment horizontal="right" vertical="center" wrapText="1" indent="1"/>
    </xf>
    <xf numFmtId="49" fontId="5" fillId="12" borderId="0" applyBorder="0">
      <alignment horizontal="right" vertical="center" wrapText="1" indent="1"/>
    </xf>
    <xf numFmtId="0" fontId="15" fillId="0" borderId="0" applyFill="0" applyBorder="0">
      <alignment horizontal="left" vertical="center" wrapText="1"/>
    </xf>
    <xf numFmtId="0" fontId="10" fillId="0" borderId="0" applyFill="0" applyBorder="0">
      <alignment horizontal="left" vertical="center" wrapText="1"/>
    </xf>
    <xf numFmtId="0" fontId="24" fillId="0" borderId="0" applyFill="0" applyBorder="0">
      <alignment vertical="center" wrapText="1"/>
    </xf>
    <xf numFmtId="0" fontId="10" fillId="0" borderId="0" applyFill="0" applyBorder="0">
      <alignment horizontal="center" vertical="center" wrapText="1"/>
    </xf>
    <xf numFmtId="0" fontId="25" fillId="0" borderId="0" applyFill="0" applyBorder="0">
      <alignment horizontal="left" vertical="center" indent="1"/>
    </xf>
    <xf numFmtId="0" fontId="25" fillId="0" borderId="0" applyFill="0" applyBorder="0">
      <alignment horizontal="center" vertical="center" wrapText="1"/>
    </xf>
    <xf numFmtId="0" fontId="25" fillId="0" borderId="0" applyFill="0" applyBorder="0">
      <alignment horizontal="left" vertical="center" wrapText="1" indent="1"/>
    </xf>
    <xf numFmtId="0" fontId="25" fillId="0" borderId="0" applyFill="0" applyBorder="0">
      <alignment vertical="center" wrapText="1"/>
    </xf>
    <xf numFmtId="0" fontId="26" fillId="0" borderId="0" applyFill="0" applyBorder="0">
      <alignment vertical="center" wrapText="1"/>
    </xf>
    <xf numFmtId="0" fontId="27" fillId="0" borderId="0" applyFill="0" applyBorder="0">
      <alignment vertical="center" wrapText="1"/>
    </xf>
    <xf numFmtId="0" fontId="9" fillId="0" borderId="16" applyFill="0">
      <alignment horizontal="left" vertical="center" wrapText="1" indent="1"/>
    </xf>
    <xf numFmtId="0" fontId="9" fillId="0" borderId="16" applyFill="0">
      <alignment horizontal="center" vertical="center" wrapText="1"/>
    </xf>
    <xf numFmtId="4" fontId="9" fillId="0" borderId="14" applyFill="0">
      <alignment horizontal="center" vertical="center" wrapText="1"/>
    </xf>
    <xf numFmtId="165" fontId="9" fillId="0" borderId="12" applyFill="0">
      <alignment horizontal="center" vertical="center" wrapText="1"/>
    </xf>
    <xf numFmtId="165" fontId="9" fillId="0" borderId="14" applyFill="0">
      <alignment horizontal="center" vertical="center" wrapText="1"/>
    </xf>
    <xf numFmtId="49" fontId="28" fillId="0" borderId="16" applyFill="0">
      <alignment horizontal="center" vertical="center" wrapText="1"/>
    </xf>
    <xf numFmtId="49" fontId="9" fillId="14" borderId="17">
      <alignment horizontal="center" vertical="center" wrapText="1"/>
    </xf>
    <xf numFmtId="49" fontId="19" fillId="14" borderId="17">
      <alignment horizontal="left" vertical="center" wrapText="1"/>
    </xf>
    <xf numFmtId="49" fontId="19" fillId="14" borderId="18">
      <alignment horizontal="left" vertical="center" wrapText="1"/>
    </xf>
    <xf numFmtId="0" fontId="25" fillId="0" borderId="19" applyFill="0">
      <alignment vertical="center"/>
    </xf>
    <xf numFmtId="0" fontId="25" fillId="0" borderId="0" applyFill="0" applyBorder="0">
      <alignment vertical="center"/>
    </xf>
    <xf numFmtId="0" fontId="9" fillId="0" borderId="14" applyFill="0">
      <alignment horizontal="center" vertical="center" wrapText="1"/>
    </xf>
    <xf numFmtId="0" fontId="25" fillId="0" borderId="14" applyFill="0">
      <alignment horizontal="center" vertical="center" wrapText="1"/>
    </xf>
    <xf numFmtId="49" fontId="9" fillId="11" borderId="14">
      <alignment vertical="center" wrapText="1"/>
      <protection locked="0"/>
    </xf>
    <xf numFmtId="49" fontId="19" fillId="0" borderId="14" applyFill="0">
      <alignment horizontal="left" vertical="center" wrapText="1"/>
    </xf>
    <xf numFmtId="0" fontId="28" fillId="0" borderId="20" applyFill="0">
      <alignment vertical="top" wrapText="1"/>
    </xf>
    <xf numFmtId="0" fontId="9" fillId="0" borderId="21" applyFill="0">
      <alignment horizontal="center" vertical="center" wrapText="1"/>
    </xf>
    <xf numFmtId="0" fontId="25" fillId="0" borderId="21" applyFill="0">
      <alignment horizontal="center" vertical="center" wrapText="1"/>
    </xf>
    <xf numFmtId="14" fontId="9" fillId="13" borderId="21">
      <alignment horizontal="left" vertical="center" wrapText="1" indent="1"/>
    </xf>
    <xf numFmtId="49" fontId="9" fillId="10" borderId="21">
      <alignment horizontal="center" vertical="center" wrapText="1"/>
    </xf>
    <xf numFmtId="49" fontId="5" fillId="0" borderId="0" applyFill="0" applyBorder="0">
      <alignment vertical="top"/>
    </xf>
    <xf numFmtId="49" fontId="13" fillId="14" borderId="12">
      <alignment horizontal="right" vertical="center" wrapText="1"/>
    </xf>
    <xf numFmtId="49" fontId="13" fillId="14" borderId="16">
      <alignment horizontal="right" vertical="center" wrapText="1"/>
    </xf>
    <xf numFmtId="49" fontId="29" fillId="14" borderId="16">
      <alignment horizontal="left" vertical="center" indent="1"/>
    </xf>
    <xf numFmtId="49" fontId="5" fillId="14" borderId="16">
      <alignment horizontal="right" vertical="center" wrapText="1"/>
    </xf>
    <xf numFmtId="49" fontId="5" fillId="14" borderId="11">
      <alignment horizontal="right" vertical="center" wrapText="1"/>
    </xf>
    <xf numFmtId="49" fontId="9" fillId="14" borderId="12">
      <alignment horizontal="right" vertical="center" wrapText="1"/>
    </xf>
    <xf numFmtId="49" fontId="9" fillId="14" borderId="16">
      <alignment horizontal="right" vertical="center" wrapText="1"/>
    </xf>
    <xf numFmtId="49" fontId="29" fillId="14" borderId="16">
      <alignment horizontal="left" vertical="center"/>
    </xf>
    <xf numFmtId="49" fontId="9" fillId="14" borderId="11">
      <alignment horizontal="right" vertical="center" wrapText="1"/>
    </xf>
    <xf numFmtId="0" fontId="9" fillId="0" borderId="22" applyFill="0">
      <alignment vertical="center" wrapText="1"/>
    </xf>
    <xf numFmtId="0" fontId="30" fillId="0" borderId="0" applyFill="0" applyBorder="0">
      <alignment vertical="center" wrapText="1"/>
    </xf>
    <xf numFmtId="0" fontId="31" fillId="0" borderId="0" applyFill="0" applyBorder="0">
      <alignment horizontal="center" vertical="center" wrapText="1"/>
    </xf>
    <xf numFmtId="0" fontId="32" fillId="0" borderId="0" applyFill="0" applyBorder="0">
      <alignment vertical="center"/>
    </xf>
    <xf numFmtId="0" fontId="5" fillId="0" borderId="0" applyFill="0" applyBorder="0">
      <alignment vertical="center"/>
    </xf>
    <xf numFmtId="0" fontId="9" fillId="0" borderId="18" applyFill="0">
      <alignment horizontal="left" vertical="center" wrapText="1" indent="1"/>
    </xf>
    <xf numFmtId="0" fontId="9" fillId="0" borderId="23" applyFill="0">
      <alignment horizontal="left" vertical="center" wrapText="1" indent="1"/>
    </xf>
    <xf numFmtId="0" fontId="9" fillId="0" borderId="24" applyFill="0">
      <alignment horizontal="left" vertical="center" wrapText="1" indent="1"/>
    </xf>
    <xf numFmtId="0" fontId="9" fillId="0" borderId="25" applyFill="0">
      <alignment horizontal="left" vertical="center" indent="1"/>
    </xf>
    <xf numFmtId="0" fontId="9" fillId="0" borderId="21" applyFill="0">
      <alignment horizontal="left" vertical="center" indent="1"/>
    </xf>
    <xf numFmtId="0" fontId="9" fillId="0" borderId="26" applyFill="0">
      <alignment horizontal="left" vertical="center" indent="1"/>
    </xf>
    <xf numFmtId="0" fontId="33" fillId="0" borderId="0" applyFill="0" applyBorder="0">
      <alignment vertical="center"/>
    </xf>
    <xf numFmtId="0" fontId="5" fillId="0" borderId="0" applyFill="0" applyBorder="0">
      <alignment horizontal="left" vertical="center" wrapText="1" indent="2"/>
    </xf>
    <xf numFmtId="0" fontId="9" fillId="15" borderId="0" applyBorder="0">
      <alignment horizontal="center" vertical="center" wrapText="1"/>
    </xf>
    <xf numFmtId="0" fontId="34" fillId="0" borderId="24" applyFill="0">
      <alignment horizontal="center" vertical="center" wrapText="1"/>
    </xf>
    <xf numFmtId="0" fontId="34" fillId="0" borderId="17" applyFill="0">
      <alignment horizontal="center" vertical="center" wrapText="1"/>
    </xf>
    <xf numFmtId="0" fontId="34" fillId="0" borderId="14" applyFill="0">
      <alignment horizontal="center" vertical="center" wrapText="1"/>
    </xf>
    <xf numFmtId="0" fontId="9" fillId="0" borderId="27" applyFill="0">
      <alignment horizontal="center" vertical="center" wrapText="1"/>
    </xf>
    <xf numFmtId="0" fontId="9" fillId="0" borderId="28" applyFill="0">
      <alignment horizontal="center" vertical="center" wrapText="1"/>
    </xf>
    <xf numFmtId="0" fontId="19" fillId="0" borderId="19" applyFill="0">
      <alignment vertical="center"/>
    </xf>
    <xf numFmtId="49" fontId="28" fillId="0" borderId="14" applyFill="0">
      <alignment horizontal="center" vertical="center" wrapText="1"/>
    </xf>
    <xf numFmtId="49" fontId="28" fillId="0" borderId="29" applyFill="0">
      <alignment horizontal="center" vertical="center" wrapText="1"/>
    </xf>
    <xf numFmtId="49" fontId="28" fillId="0" borderId="30" applyFill="0">
      <alignment horizontal="center" vertical="center" wrapText="1"/>
    </xf>
    <xf numFmtId="49" fontId="28" fillId="0" borderId="12" applyFill="0">
      <alignment horizontal="center" vertical="center" wrapText="1"/>
    </xf>
    <xf numFmtId="49" fontId="28" fillId="0" borderId="11" applyFill="0">
      <alignment horizontal="center" vertical="center" wrapText="1"/>
    </xf>
    <xf numFmtId="0" fontId="9" fillId="14" borderId="12">
      <alignment horizontal="center" vertical="center" wrapText="1"/>
    </xf>
    <xf numFmtId="49" fontId="9" fillId="14" borderId="16">
      <alignment horizontal="center" vertical="center" wrapText="1"/>
    </xf>
    <xf numFmtId="49" fontId="9" fillId="14" borderId="31">
      <alignment horizontal="center" vertical="center" wrapText="1"/>
    </xf>
    <xf numFmtId="49" fontId="5" fillId="14" borderId="16">
      <alignment horizontal="left" vertical="center"/>
    </xf>
    <xf numFmtId="0" fontId="5" fillId="14" borderId="11">
      <alignment vertical="center"/>
    </xf>
    <xf numFmtId="49" fontId="9" fillId="0" borderId="14" applyFill="0">
      <alignment horizontal="center" vertical="center" wrapText="1"/>
    </xf>
    <xf numFmtId="0" fontId="9" fillId="13" borderId="23">
      <alignment horizontal="left" vertical="center" wrapText="1" indent="2"/>
    </xf>
    <xf numFmtId="49" fontId="9" fillId="13" borderId="21">
      <alignment horizontal="center" vertical="center" wrapText="1"/>
    </xf>
    <xf numFmtId="14" fontId="35" fillId="0" borderId="32" applyFill="0">
      <alignment horizontal="center" vertical="center" wrapText="1"/>
    </xf>
    <xf numFmtId="0" fontId="9" fillId="0" borderId="32" applyFill="0">
      <alignment horizontal="center" vertical="center" wrapText="1"/>
    </xf>
    <xf numFmtId="0" fontId="9" fillId="13" borderId="23">
      <alignment horizontal="left" vertical="center" wrapText="1" indent="1"/>
    </xf>
    <xf numFmtId="49" fontId="9" fillId="13" borderId="14">
      <alignment horizontal="center" vertical="center" wrapText="1"/>
    </xf>
    <xf numFmtId="49" fontId="9" fillId="0" borderId="23" applyFill="0">
      <alignment horizontal="center" vertical="center" wrapText="1"/>
    </xf>
    <xf numFmtId="49" fontId="34" fillId="0" borderId="14" applyFill="0">
      <alignment horizontal="left" vertical="center" wrapText="1" indent="1"/>
    </xf>
    <xf numFmtId="0" fontId="19" fillId="0" borderId="0" applyFill="0" applyBorder="0">
      <alignment vertical="center"/>
    </xf>
    <xf numFmtId="0" fontId="9" fillId="13" borderId="33">
      <alignment horizontal="left" vertical="center" wrapText="1" indent="2"/>
    </xf>
    <xf numFmtId="0" fontId="9" fillId="13" borderId="21">
      <alignment horizontal="left" vertical="center" wrapText="1" indent="1"/>
    </xf>
    <xf numFmtId="49" fontId="29" fillId="14" borderId="11">
      <alignment horizontal="left" vertical="center" indent="1"/>
    </xf>
    <xf numFmtId="0" fontId="9" fillId="13" borderId="21">
      <alignment horizontal="left" vertical="center" wrapText="1" indent="2"/>
    </xf>
    <xf numFmtId="49" fontId="13" fillId="14" borderId="34">
      <alignment horizontal="right" vertical="center" wrapText="1"/>
    </xf>
    <xf numFmtId="49" fontId="13" fillId="14" borderId="35">
      <alignment horizontal="right" vertical="center" wrapText="1"/>
    </xf>
    <xf numFmtId="49" fontId="13" fillId="14" borderId="11">
      <alignment horizontal="right" vertical="center" wrapText="1"/>
    </xf>
    <xf numFmtId="0" fontId="34" fillId="15" borderId="0" applyBorder="0">
      <alignment vertical="top"/>
    </xf>
    <xf numFmtId="49" fontId="29" fillId="14" borderId="16">
      <alignment horizontal="left" vertical="center" indent="2"/>
    </xf>
    <xf numFmtId="0" fontId="9" fillId="0" borderId="0" applyFill="0" applyBorder="0">
      <alignment vertical="center"/>
    </xf>
    <xf numFmtId="0" fontId="9" fillId="0" borderId="18" applyFill="0">
      <alignment horizontal="left" vertical="top" wrapText="1" indent="1"/>
    </xf>
    <xf numFmtId="0" fontId="9" fillId="0" borderId="23" applyFill="0">
      <alignment horizontal="left" vertical="top" wrapText="1" indent="1"/>
    </xf>
    <xf numFmtId="0" fontId="9" fillId="0" borderId="24" applyFill="0">
      <alignment horizontal="left" vertical="top" wrapText="1" indent="1"/>
    </xf>
    <xf numFmtId="0" fontId="9" fillId="0" borderId="36" applyFill="0">
      <alignment horizontal="left" vertical="center" indent="1"/>
    </xf>
    <xf numFmtId="0" fontId="36" fillId="0" borderId="20" applyFill="0">
      <alignment horizontal="left" vertical="center" wrapText="1" indent="1"/>
    </xf>
    <xf numFmtId="0" fontId="36" fillId="0" borderId="33" applyFill="0">
      <alignment horizontal="left" vertical="center" wrapText="1" indent="1"/>
    </xf>
    <xf numFmtId="0" fontId="36" fillId="0" borderId="19" applyFill="0">
      <alignment horizontal="left" vertical="center" wrapText="1" indent="1"/>
    </xf>
    <xf numFmtId="0" fontId="37" fillId="0" borderId="0" applyFill="0" applyBorder="0">
      <alignment vertical="center"/>
    </xf>
    <xf numFmtId="0" fontId="5" fillId="0" borderId="14" applyFill="0">
      <alignment horizontal="center" vertical="center" wrapText="1"/>
    </xf>
    <xf numFmtId="49" fontId="25" fillId="12" borderId="0" applyBorder="0">
      <alignment horizontal="center" vertical="center" wrapText="1"/>
    </xf>
    <xf numFmtId="49" fontId="25" fillId="12" borderId="36">
      <alignment horizontal="center" vertical="center" wrapText="1"/>
    </xf>
    <xf numFmtId="0" fontId="25" fillId="0" borderId="14" applyFill="0">
      <alignment horizontal="center" vertical="center"/>
    </xf>
    <xf numFmtId="0" fontId="5" fillId="0" borderId="14" applyFill="0">
      <alignment horizontal="center" vertical="center"/>
    </xf>
    <xf numFmtId="49" fontId="5" fillId="0" borderId="14" applyFill="0">
      <alignment horizontal="center" vertical="center"/>
    </xf>
    <xf numFmtId="49" fontId="5" fillId="0" borderId="14" applyFill="0">
      <alignment horizontal="left" vertical="center"/>
    </xf>
    <xf numFmtId="0" fontId="5" fillId="0" borderId="14" applyFill="0">
      <alignment horizontal="center" vertical="top"/>
    </xf>
    <xf numFmtId="0" fontId="9" fillId="0" borderId="14" applyFill="0">
      <alignment horizontal="left" vertical="top" wrapText="1"/>
    </xf>
    <xf numFmtId="0" fontId="9" fillId="13" borderId="23">
      <alignment horizontal="center" vertical="top" wrapText="1"/>
    </xf>
    <xf numFmtId="0" fontId="5" fillId="0" borderId="24" applyFill="0">
      <alignment horizontal="center" vertical="center"/>
    </xf>
    <xf numFmtId="0" fontId="5" fillId="0" borderId="17" applyFill="0">
      <alignment horizontal="center" vertical="center"/>
    </xf>
    <xf numFmtId="49" fontId="9" fillId="0" borderId="17" applyFill="0">
      <alignment horizontal="left" vertical="center" wrapText="1"/>
    </xf>
    <xf numFmtId="49" fontId="9" fillId="0" borderId="17" applyFill="0">
      <alignment horizontal="center" vertical="center" wrapText="1"/>
    </xf>
    <xf numFmtId="0" fontId="5" fillId="0" borderId="17" applyFill="0">
      <alignment horizontal="left" vertical="center" wrapText="1"/>
    </xf>
    <xf numFmtId="49" fontId="5" fillId="0" borderId="17" applyFill="0">
      <alignment horizontal="left" vertical="center" wrapText="1"/>
    </xf>
    <xf numFmtId="49" fontId="9" fillId="0" borderId="18" applyFill="0">
      <alignment horizontal="left" vertical="center" wrapText="1"/>
    </xf>
    <xf numFmtId="0" fontId="9" fillId="0" borderId="0" applyFill="0" applyBorder="0">
      <alignment horizontal="left" vertical="center" indent="1"/>
    </xf>
    <xf numFmtId="0" fontId="9" fillId="13" borderId="33">
      <alignment horizontal="center" vertical="top" wrapText="1"/>
    </xf>
    <xf numFmtId="0" fontId="5" fillId="0" borderId="19" applyFill="0">
      <alignment horizontal="center" vertical="center"/>
    </xf>
    <xf numFmtId="0" fontId="29" fillId="0" borderId="20" applyFill="0">
      <alignment horizontal="left" vertical="center"/>
    </xf>
    <xf numFmtId="49" fontId="5" fillId="0" borderId="14" applyFill="0">
      <alignment vertical="top"/>
    </xf>
    <xf numFmtId="49" fontId="5" fillId="0" borderId="14" applyFill="0">
      <alignment horizontal="left" vertical="top"/>
    </xf>
    <xf numFmtId="0" fontId="9" fillId="13" borderId="21">
      <alignment horizontal="center" vertical="top" wrapText="1"/>
    </xf>
    <xf numFmtId="0" fontId="29" fillId="0" borderId="26" applyFill="0">
      <alignment horizontal="left" vertical="center"/>
    </xf>
    <xf numFmtId="0" fontId="29" fillId="0" borderId="36" applyFill="0">
      <alignment horizontal="left" vertical="center"/>
    </xf>
    <xf numFmtId="0" fontId="5" fillId="0" borderId="36" applyFill="0">
      <alignment vertical="center"/>
    </xf>
    <xf numFmtId="0" fontId="29" fillId="0" borderId="25" applyFill="0">
      <alignment horizontal="left" vertical="center"/>
    </xf>
    <xf numFmtId="0" fontId="9" fillId="11" borderId="14">
      <alignment horizontal="left" vertical="top" wrapText="1"/>
      <protection locked="0"/>
    </xf>
    <xf numFmtId="49" fontId="9" fillId="0" borderId="0" applyFill="0" applyBorder="0">
      <alignment horizontal="left" vertical="center" indent="1"/>
    </xf>
    <xf numFmtId="0" fontId="5" fillId="11" borderId="14">
      <alignment horizontal="left" vertical="top"/>
      <protection locked="0"/>
    </xf>
    <xf numFmtId="0" fontId="5" fillId="0" borderId="23" applyFill="0">
      <alignment horizontal="center" vertical="top"/>
    </xf>
    <xf numFmtId="0" fontId="9" fillId="0" borderId="23" applyFill="0">
      <alignment horizontal="left" vertical="top" wrapText="1"/>
    </xf>
    <xf numFmtId="0" fontId="5" fillId="0" borderId="33" applyFill="0">
      <alignment horizontal="center" vertical="top"/>
    </xf>
    <xf numFmtId="0" fontId="9" fillId="0" borderId="33" applyFill="0">
      <alignment horizontal="left" vertical="top" wrapText="1"/>
    </xf>
    <xf numFmtId="0" fontId="5" fillId="0" borderId="21" applyFill="0">
      <alignment horizontal="center" vertical="top"/>
    </xf>
    <xf numFmtId="0" fontId="9" fillId="0" borderId="21" applyFill="0">
      <alignment horizontal="left" vertical="top" wrapText="1"/>
    </xf>
    <xf numFmtId="0" fontId="5" fillId="0" borderId="0" applyFill="0" applyBorder="0">
      <alignment horizontal="left" vertical="top" wrapText="1"/>
    </xf>
    <xf numFmtId="0" fontId="5" fillId="0" borderId="0" quotePrefix="1" applyFill="0" applyBorder="0">
      <alignment horizontal="left" vertical="top" wrapText="1" indent="1"/>
    </xf>
    <xf numFmtId="49" fontId="25" fillId="0" borderId="0" applyFill="0" applyBorder="0">
      <alignment vertical="top"/>
    </xf>
    <xf numFmtId="49" fontId="25" fillId="0" borderId="0" applyFill="0" applyBorder="0">
      <alignment horizontal="center" vertical="center"/>
    </xf>
    <xf numFmtId="49" fontId="37" fillId="0" borderId="0" applyFill="0" applyBorder="0">
      <alignment vertical="top"/>
    </xf>
    <xf numFmtId="0" fontId="9" fillId="0" borderId="17" applyFill="0">
      <alignment horizontal="left" vertical="center" wrapText="1" indent="1"/>
    </xf>
    <xf numFmtId="0" fontId="9" fillId="0" borderId="36" applyFill="0">
      <alignment horizontal="left" vertical="center" wrapText="1" indent="1"/>
    </xf>
    <xf numFmtId="0" fontId="9" fillId="0" borderId="24" applyFill="0">
      <alignment horizontal="center" vertical="center" wrapText="1"/>
    </xf>
    <xf numFmtId="0" fontId="9" fillId="0" borderId="18" applyFill="0">
      <alignment horizontal="center" vertical="center" wrapText="1"/>
    </xf>
    <xf numFmtId="0" fontId="9" fillId="0" borderId="33" applyFill="0">
      <alignment horizontal="center" vertical="center" wrapText="1"/>
    </xf>
    <xf numFmtId="0" fontId="9" fillId="0" borderId="23" applyFill="0">
      <alignment horizontal="center" vertical="center" wrapText="1"/>
    </xf>
    <xf numFmtId="0" fontId="9" fillId="0" borderId="19" applyFill="0">
      <alignment horizontal="center" vertical="center" wrapText="1"/>
    </xf>
    <xf numFmtId="0" fontId="9" fillId="0" borderId="20" applyFill="0">
      <alignment horizontal="center" vertical="center" wrapText="1"/>
    </xf>
    <xf numFmtId="0" fontId="9" fillId="0" borderId="26" applyFill="0">
      <alignment horizontal="center" vertical="center" wrapText="1"/>
    </xf>
    <xf numFmtId="0" fontId="9" fillId="0" borderId="25" applyFill="0">
      <alignment horizontal="center" vertical="center" wrapText="1"/>
    </xf>
    <xf numFmtId="49" fontId="9" fillId="0" borderId="0" applyFill="0" applyBorder="0">
      <alignment vertical="top"/>
    </xf>
    <xf numFmtId="49" fontId="9" fillId="0" borderId="14" applyFill="0">
      <alignment horizontal="center" vertical="center"/>
    </xf>
    <xf numFmtId="0" fontId="9" fillId="0" borderId="14" applyFill="0">
      <alignment horizontal="left" vertical="center" wrapText="1"/>
    </xf>
    <xf numFmtId="49" fontId="9" fillId="13" borderId="23">
      <alignment horizontal="center" vertical="center" wrapText="1"/>
    </xf>
    <xf numFmtId="49" fontId="9" fillId="0" borderId="24" applyFill="0">
      <alignment vertical="center" wrapText="1"/>
    </xf>
    <xf numFmtId="0" fontId="9" fillId="0" borderId="17" applyFill="0">
      <alignment horizontal="center" vertical="center"/>
    </xf>
    <xf numFmtId="49" fontId="9" fillId="0" borderId="17" applyFill="0">
      <alignment vertical="center" wrapText="1"/>
    </xf>
    <xf numFmtId="49" fontId="31" fillId="0" borderId="17" applyFill="0">
      <alignment vertical="center" wrapText="1"/>
    </xf>
    <xf numFmtId="0" fontId="9" fillId="0" borderId="17" applyFill="0">
      <alignment horizontal="left" vertical="center" wrapText="1"/>
    </xf>
    <xf numFmtId="49" fontId="9" fillId="13" borderId="33">
      <alignment horizontal="center" vertical="center" wrapText="1"/>
    </xf>
    <xf numFmtId="49" fontId="9" fillId="0" borderId="19" applyFill="0">
      <alignment vertical="center" wrapText="1"/>
    </xf>
    <xf numFmtId="0" fontId="29" fillId="0" borderId="19" applyFill="0">
      <alignment horizontal="left" vertical="center"/>
    </xf>
    <xf numFmtId="49" fontId="9" fillId="0" borderId="23" applyFill="0">
      <alignment horizontal="center" vertical="center"/>
    </xf>
    <xf numFmtId="0" fontId="9" fillId="0" borderId="23" applyFill="0">
      <alignment horizontal="left" vertical="center" wrapText="1"/>
    </xf>
    <xf numFmtId="0" fontId="9" fillId="0" borderId="24" applyFill="0">
      <alignment horizontal="left" vertical="center" wrapText="1"/>
    </xf>
    <xf numFmtId="49" fontId="37" fillId="0" borderId="26" applyFill="0">
      <alignment vertical="top"/>
    </xf>
    <xf numFmtId="49" fontId="37" fillId="0" borderId="36" applyFill="0">
      <alignment vertical="top"/>
    </xf>
    <xf numFmtId="49" fontId="10" fillId="0" borderId="0" applyFill="0" applyBorder="0">
      <alignment vertical="top"/>
    </xf>
    <xf numFmtId="0" fontId="9" fillId="0" borderId="12" applyFill="0">
      <alignment horizontal="left" vertical="center" wrapText="1"/>
    </xf>
    <xf numFmtId="0" fontId="9" fillId="12" borderId="0" applyBorder="0"/>
    <xf numFmtId="0" fontId="5" fillId="12" borderId="0" applyBorder="0"/>
    <xf numFmtId="0" fontId="25" fillId="12" borderId="0" applyBorder="0"/>
    <xf numFmtId="0" fontId="22" fillId="12" borderId="0" applyBorder="0">
      <alignment horizontal="center"/>
    </xf>
    <xf numFmtId="0" fontId="22" fillId="12" borderId="0" applyBorder="0"/>
    <xf numFmtId="0" fontId="38" fillId="12" borderId="0" applyBorder="0">
      <alignment horizontal="right" vertical="center"/>
    </xf>
    <xf numFmtId="0" fontId="25" fillId="12" borderId="0" applyBorder="0">
      <alignment vertical="center" wrapText="1"/>
    </xf>
    <xf numFmtId="0" fontId="17" fillId="12" borderId="0" applyBorder="0">
      <alignment horizontal="left" vertical="center" wrapText="1"/>
    </xf>
    <xf numFmtId="49" fontId="5" fillId="12" borderId="14">
      <alignment horizontal="center" vertical="center" wrapText="1"/>
    </xf>
    <xf numFmtId="49" fontId="9" fillId="12" borderId="14">
      <alignment horizontal="center" vertical="center" wrapText="1"/>
    </xf>
    <xf numFmtId="0" fontId="5" fillId="12" borderId="14">
      <alignment horizontal="center" vertical="center" wrapText="1"/>
    </xf>
    <xf numFmtId="0" fontId="9" fillId="12" borderId="14">
      <alignment horizontal="center" vertical="center" wrapText="1"/>
    </xf>
    <xf numFmtId="0" fontId="28" fillId="12" borderId="0" applyBorder="0">
      <alignment horizontal="center" vertical="center"/>
    </xf>
    <xf numFmtId="49" fontId="25" fillId="0" borderId="14" applyFill="0">
      <alignment horizontal="center" vertical="center"/>
    </xf>
    <xf numFmtId="0" fontId="25" fillId="0" borderId="14" applyFill="0">
      <alignment vertical="center" wrapText="1"/>
    </xf>
    <xf numFmtId="0" fontId="25" fillId="0" borderId="14" applyFill="0">
      <alignment horizontal="left" vertical="center" wrapText="1"/>
    </xf>
    <xf numFmtId="0" fontId="39" fillId="12" borderId="0" applyBorder="0"/>
    <xf numFmtId="49" fontId="5" fillId="12" borderId="14">
      <alignment horizontal="center" vertical="center"/>
    </xf>
    <xf numFmtId="0" fontId="5" fillId="12" borderId="14">
      <alignment vertical="center" wrapText="1"/>
    </xf>
    <xf numFmtId="0" fontId="9" fillId="12" borderId="14">
      <alignment vertical="center" wrapText="1"/>
    </xf>
    <xf numFmtId="0" fontId="5" fillId="12" borderId="14">
      <alignment horizontal="left" vertical="center" wrapText="1" indent="1"/>
    </xf>
    <xf numFmtId="49" fontId="5" fillId="11" borderId="14">
      <alignment horizontal="left" vertical="center" wrapText="1"/>
      <protection locked="0"/>
    </xf>
    <xf numFmtId="0" fontId="25" fillId="0" borderId="14" applyFill="0">
      <alignment horizontal="left" vertical="center" wrapText="1" indent="1"/>
    </xf>
    <xf numFmtId="49" fontId="9" fillId="12" borderId="0" applyBorder="0">
      <alignment horizontal="center" vertical="center" wrapText="1"/>
    </xf>
    <xf numFmtId="0" fontId="9" fillId="12" borderId="20">
      <alignment horizontal="center" vertical="center" wrapText="1"/>
    </xf>
    <xf numFmtId="0" fontId="5" fillId="12" borderId="14">
      <alignment horizontal="center" vertical="center"/>
    </xf>
    <xf numFmtId="0" fontId="5" fillId="12" borderId="14">
      <alignment horizontal="left" vertical="center" wrapText="1" indent="2"/>
    </xf>
    <xf numFmtId="49" fontId="5" fillId="0" borderId="14" applyFill="0">
      <alignment horizontal="left" vertical="center" wrapText="1"/>
    </xf>
    <xf numFmtId="49" fontId="9" fillId="12" borderId="0" applyBorder="0">
      <alignment vertical="center" wrapText="1"/>
    </xf>
    <xf numFmtId="0" fontId="9" fillId="12" borderId="20">
      <alignment vertical="center" wrapText="1"/>
    </xf>
    <xf numFmtId="0" fontId="9" fillId="14" borderId="12">
      <alignment horizontal="center"/>
    </xf>
    <xf numFmtId="0" fontId="38" fillId="14" borderId="16">
      <alignment horizontal="left" vertical="center"/>
    </xf>
    <xf numFmtId="0" fontId="38" fillId="14" borderId="11">
      <alignment horizontal="left" vertical="center"/>
    </xf>
    <xf numFmtId="49" fontId="25" fillId="12" borderId="14">
      <alignment horizontal="center" vertical="center"/>
    </xf>
    <xf numFmtId="0" fontId="25" fillId="12" borderId="14">
      <alignment vertical="center" wrapText="1"/>
    </xf>
    <xf numFmtId="0" fontId="25" fillId="12" borderId="14">
      <alignment horizontal="left" vertical="center" wrapText="1" indent="1"/>
    </xf>
    <xf numFmtId="0" fontId="25" fillId="12" borderId="14">
      <alignment horizontal="left" vertical="center" wrapText="1" indent="2"/>
    </xf>
    <xf numFmtId="49" fontId="25" fillId="0" borderId="14" applyFill="0">
      <alignment horizontal="left" vertical="center" wrapText="1"/>
    </xf>
    <xf numFmtId="0" fontId="5" fillId="12" borderId="14">
      <alignment horizontal="left" vertical="center" wrapText="1"/>
    </xf>
    <xf numFmtId="49" fontId="5" fillId="8" borderId="14">
      <alignment horizontal="left" vertical="center" wrapText="1"/>
      <protection locked="0"/>
    </xf>
    <xf numFmtId="0" fontId="5" fillId="12" borderId="23">
      <alignment horizontal="left" vertical="center" wrapText="1"/>
    </xf>
    <xf numFmtId="0" fontId="9" fillId="12" borderId="23">
      <alignment horizontal="left" vertical="top" wrapText="1"/>
    </xf>
    <xf numFmtId="49" fontId="5" fillId="0" borderId="14" applyFill="0">
      <alignment horizontal="left" vertical="center" wrapText="1" indent="1"/>
    </xf>
    <xf numFmtId="0" fontId="9" fillId="12" borderId="33">
      <alignment horizontal="left" vertical="top" wrapText="1"/>
    </xf>
    <xf numFmtId="0" fontId="31" fillId="12" borderId="0" applyBorder="0">
      <alignment horizontal="center" vertical="center" wrapText="1"/>
    </xf>
    <xf numFmtId="49" fontId="5" fillId="11" borderId="14">
      <alignment horizontal="left" vertical="center" wrapText="1" indent="1"/>
      <protection locked="0"/>
    </xf>
    <xf numFmtId="49" fontId="9" fillId="11" borderId="12">
      <alignment horizontal="left" vertical="center" wrapText="1"/>
      <protection locked="0"/>
    </xf>
    <xf numFmtId="0" fontId="9" fillId="12" borderId="21">
      <alignment horizontal="left" vertical="top" wrapText="1"/>
    </xf>
    <xf numFmtId="0" fontId="40" fillId="12" borderId="0" applyBorder="0"/>
    <xf numFmtId="49" fontId="9" fillId="11" borderId="14" quotePrefix="1">
      <alignment horizontal="left" vertical="center" wrapText="1"/>
      <protection locked="0"/>
    </xf>
    <xf numFmtId="49" fontId="9" fillId="8" borderId="14">
      <alignment horizontal="left" vertical="center" wrapText="1"/>
      <protection locked="0"/>
    </xf>
    <xf numFmtId="49" fontId="9" fillId="13" borderId="14">
      <alignment horizontal="left" vertical="center" wrapText="1"/>
    </xf>
    <xf numFmtId="0" fontId="5" fillId="12" borderId="12">
      <alignment horizontal="left" vertical="center" wrapText="1" indent="1"/>
    </xf>
    <xf numFmtId="49" fontId="9" fillId="13" borderId="12">
      <alignment horizontal="left" vertical="center" wrapText="1"/>
    </xf>
    <xf numFmtId="0" fontId="5" fillId="12" borderId="14">
      <alignment vertical="top" wrapText="1"/>
    </xf>
    <xf numFmtId="0" fontId="5" fillId="12" borderId="12">
      <alignment horizontal="left" vertical="center" wrapText="1"/>
    </xf>
    <xf numFmtId="0" fontId="5" fillId="12" borderId="21">
      <alignment vertical="center" wrapText="1"/>
    </xf>
    <xf numFmtId="0" fontId="30" fillId="0" borderId="0" applyFill="0" applyBorder="0">
      <alignment horizontal="left" vertical="top" wrapText="1" indent="1"/>
    </xf>
    <xf numFmtId="0" fontId="41" fillId="12" borderId="0" applyBorder="0"/>
    <xf numFmtId="0" fontId="34" fillId="12" borderId="0" applyBorder="0">
      <alignment horizontal="center"/>
    </xf>
    <xf numFmtId="0" fontId="34" fillId="12" borderId="0" applyBorder="0"/>
    <xf numFmtId="0" fontId="42" fillId="12" borderId="0" applyBorder="0">
      <alignment horizontal="right" vertical="center"/>
    </xf>
    <xf numFmtId="0" fontId="43" fillId="12" borderId="0" applyBorder="0">
      <alignment vertical="center"/>
    </xf>
    <xf numFmtId="0" fontId="42" fillId="12" borderId="0" applyBorder="0">
      <alignment horizontal="right" vertical="top"/>
    </xf>
    <xf numFmtId="0" fontId="43" fillId="12" borderId="0" applyBorder="0">
      <alignment vertical="center" wrapText="1"/>
    </xf>
    <xf numFmtId="0" fontId="5" fillId="12" borderId="0" applyBorder="0">
      <alignment horizontal="center"/>
    </xf>
    <xf numFmtId="0" fontId="19" fillId="0" borderId="0" applyFill="0" applyBorder="0">
      <alignment horizontal="center" vertical="center" wrapText="1"/>
    </xf>
    <xf numFmtId="0" fontId="44" fillId="12" borderId="0" applyBorder="0">
      <alignment horizontal="center" vertical="center" wrapText="1"/>
    </xf>
    <xf numFmtId="0" fontId="44" fillId="12" borderId="0" applyBorder="0">
      <alignment horizontal="right" vertical="center" wrapText="1"/>
    </xf>
    <xf numFmtId="0" fontId="44" fillId="0" borderId="0" applyFill="0" applyBorder="0">
      <alignment vertical="center" wrapText="1"/>
    </xf>
    <xf numFmtId="0" fontId="9" fillId="0" borderId="25" applyFill="0">
      <alignment horizontal="left" vertical="center" wrapText="1" indent="1"/>
    </xf>
    <xf numFmtId="0" fontId="9" fillId="0" borderId="21" applyFill="0">
      <alignment horizontal="left" vertical="center" wrapText="1" indent="1"/>
    </xf>
    <xf numFmtId="0" fontId="9" fillId="0" borderId="26" applyFill="0">
      <alignment horizontal="left" vertical="center" wrapText="1" indent="1"/>
    </xf>
    <xf numFmtId="0" fontId="45" fillId="12" borderId="0" applyBorder="0">
      <alignment horizontal="center" vertical="center" wrapText="1"/>
    </xf>
    <xf numFmtId="0" fontId="5" fillId="0" borderId="12" applyFill="0">
      <alignment horizontal="center" vertical="center" wrapText="1"/>
    </xf>
    <xf numFmtId="0" fontId="5" fillId="0" borderId="16" applyFill="0">
      <alignment horizontal="center" vertical="center" wrapText="1"/>
    </xf>
    <xf numFmtId="0" fontId="5" fillId="0" borderId="11" applyFill="0">
      <alignment horizontal="center" vertical="center" wrapText="1"/>
    </xf>
    <xf numFmtId="0" fontId="5" fillId="0" borderId="23" applyFill="0">
      <alignment horizontal="center" vertical="center" wrapText="1"/>
    </xf>
    <xf numFmtId="0" fontId="5" fillId="0" borderId="24" applyFill="0">
      <alignment horizontal="center" vertical="center" wrapText="1"/>
    </xf>
    <xf numFmtId="0" fontId="5" fillId="0" borderId="18" applyFill="0">
      <alignment horizontal="center" vertical="center" wrapText="1"/>
    </xf>
    <xf numFmtId="0" fontId="5" fillId="0" borderId="21" applyFill="0">
      <alignment horizontal="center" vertical="center" wrapText="1"/>
    </xf>
    <xf numFmtId="0" fontId="5" fillId="0" borderId="26" applyFill="0">
      <alignment horizontal="center" vertical="center" wrapText="1"/>
    </xf>
    <xf numFmtId="0" fontId="5" fillId="0" borderId="25" applyFill="0">
      <alignment horizontal="center" vertical="center" wrapText="1"/>
    </xf>
    <xf numFmtId="0" fontId="28" fillId="12" borderId="0" applyBorder="0">
      <alignment horizontal="center" vertical="center" wrapText="1"/>
    </xf>
    <xf numFmtId="49" fontId="28" fillId="12" borderId="0" applyBorder="0">
      <alignment horizontal="center" vertical="center" wrapText="1"/>
    </xf>
    <xf numFmtId="0" fontId="46" fillId="12" borderId="0" applyBorder="0">
      <alignment horizontal="center" vertical="center" wrapText="1"/>
    </xf>
    <xf numFmtId="49" fontId="36" fillId="0" borderId="23" applyFill="0">
      <alignment horizontal="left" vertical="center" wrapText="1"/>
    </xf>
    <xf numFmtId="49" fontId="36" fillId="0" borderId="14" applyFill="0">
      <alignment horizontal="left" vertical="center" wrapText="1"/>
    </xf>
    <xf numFmtId="49" fontId="5" fillId="0" borderId="14" applyFill="0">
      <alignment vertical="top" wrapText="1"/>
    </xf>
    <xf numFmtId="0" fontId="36" fillId="0" borderId="0" applyFill="0" applyBorder="0">
      <alignment vertical="center" wrapText="1"/>
    </xf>
    <xf numFmtId="49" fontId="5" fillId="0" borderId="14" applyFill="0">
      <alignment horizontal="center" vertical="center" wrapText="1"/>
    </xf>
    <xf numFmtId="0" fontId="9" fillId="13" borderId="12">
      <alignment horizontal="left" vertical="center" wrapText="1"/>
    </xf>
    <xf numFmtId="49" fontId="28" fillId="12" borderId="14">
      <alignment horizontal="center" vertical="center" wrapText="1"/>
    </xf>
    <xf numFmtId="4" fontId="5" fillId="11" borderId="14">
      <alignment horizontal="right" vertical="center" wrapText="1"/>
      <protection locked="0"/>
    </xf>
    <xf numFmtId="3" fontId="5" fillId="11" borderId="14">
      <alignment horizontal="right" vertical="center" wrapText="1"/>
      <protection locked="0"/>
    </xf>
    <xf numFmtId="4" fontId="5" fillId="11" borderId="11">
      <alignment horizontal="right" vertical="center" wrapText="1"/>
      <protection locked="0"/>
    </xf>
    <xf numFmtId="0" fontId="5" fillId="8" borderId="14">
      <alignment horizontal="right" vertical="center" wrapText="1"/>
      <protection locked="0"/>
    </xf>
    <xf numFmtId="3" fontId="5" fillId="0" borderId="11" applyFill="0">
      <alignment horizontal="right" vertical="center" wrapText="1"/>
    </xf>
    <xf numFmtId="0" fontId="5" fillId="0" borderId="23" applyFill="0">
      <alignment horizontal="left" vertical="top" wrapText="1"/>
    </xf>
    <xf numFmtId="49" fontId="13" fillId="14" borderId="12">
      <alignment horizontal="center" vertical="center"/>
    </xf>
    <xf numFmtId="0" fontId="29" fillId="14" borderId="16">
      <alignment vertical="center"/>
    </xf>
    <xf numFmtId="49" fontId="29" fillId="14" borderId="16">
      <alignment vertical="center"/>
    </xf>
    <xf numFmtId="49" fontId="38" fillId="14" borderId="16">
      <alignment vertical="center"/>
    </xf>
    <xf numFmtId="49" fontId="38" fillId="14" borderId="11">
      <alignment vertical="center"/>
    </xf>
    <xf numFmtId="0" fontId="5" fillId="0" borderId="21" applyFill="0">
      <alignment horizontal="left" vertical="top" wrapText="1"/>
    </xf>
    <xf numFmtId="49" fontId="5" fillId="0" borderId="24" applyFill="0">
      <alignment horizontal="center" vertical="center" wrapText="1"/>
    </xf>
    <xf numFmtId="0" fontId="9" fillId="13" borderId="17">
      <alignment horizontal="left" vertical="center" wrapText="1"/>
    </xf>
    <xf numFmtId="0" fontId="31" fillId="12" borderId="14">
      <alignment horizontal="center" vertical="center" wrapText="1"/>
    </xf>
    <xf numFmtId="49" fontId="9" fillId="11" borderId="14">
      <alignment horizontal="left" vertical="center" wrapText="1"/>
      <protection locked="0"/>
    </xf>
    <xf numFmtId="3" fontId="9" fillId="11" borderId="14">
      <alignment horizontal="right" vertical="center" wrapText="1"/>
      <protection locked="0"/>
    </xf>
    <xf numFmtId="49" fontId="5" fillId="0" borderId="26" applyFill="0">
      <alignment horizontal="center" vertical="center" wrapText="1"/>
    </xf>
    <xf numFmtId="0" fontId="9" fillId="13" borderId="36">
      <alignment horizontal="left" vertical="center" wrapText="1"/>
    </xf>
    <xf numFmtId="0" fontId="9" fillId="0" borderId="17" applyFill="0">
      <alignment horizontal="left" vertical="top" wrapText="1" indent="1"/>
    </xf>
    <xf numFmtId="0" fontId="11" fillId="12" borderId="0" applyBorder="0">
      <alignment horizontal="right" vertical="center"/>
    </xf>
    <xf numFmtId="0" fontId="11" fillId="12" borderId="0" applyBorder="0">
      <alignment horizontal="right" vertical="center" wrapText="1"/>
    </xf>
    <xf numFmtId="49" fontId="28" fillId="12" borderId="16">
      <alignment horizontal="center" vertical="center" wrapText="1"/>
    </xf>
    <xf numFmtId="49" fontId="9" fillId="0" borderId="14" applyFill="0">
      <alignment horizontal="left" vertical="center" wrapText="1"/>
    </xf>
    <xf numFmtId="0" fontId="31" fillId="12" borderId="20">
      <alignment vertical="top" wrapText="1"/>
    </xf>
    <xf numFmtId="14" fontId="9" fillId="14" borderId="16">
      <alignment horizontal="center" vertical="center" wrapText="1"/>
    </xf>
    <xf numFmtId="14" fontId="35" fillId="14" borderId="16">
      <alignment horizontal="center" vertical="center" wrapText="1"/>
    </xf>
    <xf numFmtId="49" fontId="18" fillId="14" borderId="11">
      <alignment horizontal="left" vertical="center" wrapText="1"/>
    </xf>
    <xf numFmtId="0" fontId="5" fillId="0" borderId="33" applyFill="0">
      <alignment horizontal="left" vertical="top" wrapText="1"/>
    </xf>
    <xf numFmtId="0" fontId="31" fillId="12" borderId="0" applyBorder="0">
      <alignment vertical="top" wrapText="1"/>
    </xf>
    <xf numFmtId="0" fontId="25" fillId="12" borderId="21">
      <alignment horizontal="center" vertical="center" wrapText="1"/>
    </xf>
    <xf numFmtId="14" fontId="9" fillId="13" borderId="21">
      <alignment horizontal="left" vertical="center" wrapText="1"/>
    </xf>
    <xf numFmtId="14" fontId="9" fillId="13" borderId="14">
      <alignment horizontal="center" vertical="center" wrapText="1"/>
    </xf>
    <xf numFmtId="49" fontId="18" fillId="11" borderId="14">
      <alignment horizontal="left" vertical="center" wrapText="1"/>
      <protection locked="0"/>
    </xf>
    <xf numFmtId="0" fontId="25" fillId="0" borderId="0" applyFill="0" applyBorder="0">
      <alignment horizontal="left" vertical="center" wrapText="1"/>
    </xf>
    <xf numFmtId="49" fontId="25" fillId="0" borderId="0" applyFill="0" applyBorder="0">
      <alignment horizontal="left" vertical="center" wrapText="1"/>
    </xf>
    <xf numFmtId="49" fontId="13" fillId="14" borderId="16">
      <alignment horizontal="center" vertical="center"/>
    </xf>
    <xf numFmtId="49" fontId="38" fillId="14" borderId="16">
      <alignment horizontal="left" vertical="center" indent="1"/>
    </xf>
    <xf numFmtId="49" fontId="38" fillId="14" borderId="11">
      <alignment horizontal="left" vertical="center" indent="1"/>
    </xf>
    <xf numFmtId="0" fontId="30" fillId="0" borderId="0" applyFill="0" applyBorder="0">
      <alignment vertical="top"/>
    </xf>
    <xf numFmtId="49" fontId="47" fillId="0" borderId="14" applyFill="0">
      <alignment vertical="top" wrapText="1"/>
    </xf>
    <xf numFmtId="49" fontId="15" fillId="0" borderId="14" applyFill="0">
      <alignment horizontal="center" vertical="top" wrapText="1"/>
    </xf>
    <xf numFmtId="49" fontId="15" fillId="16" borderId="14">
      <alignment horizontal="center" vertical="top"/>
    </xf>
    <xf numFmtId="49" fontId="15" fillId="0" borderId="14" applyFill="0">
      <alignment vertical="top" wrapText="1"/>
    </xf>
    <xf numFmtId="0" fontId="15" fillId="0" borderId="14" applyFill="0">
      <alignment vertical="top" wrapText="1"/>
    </xf>
    <xf numFmtId="49" fontId="15" fillId="0" borderId="14" applyFill="0">
      <alignment vertical="top"/>
    </xf>
    <xf numFmtId="49" fontId="47" fillId="0" borderId="14" applyFill="0">
      <alignment vertical="top"/>
    </xf>
    <xf numFmtId="0" fontId="47" fillId="0" borderId="14" applyFill="0">
      <alignment vertical="top" wrapText="1"/>
    </xf>
    <xf numFmtId="49" fontId="47" fillId="0" borderId="14" applyFill="0">
      <alignment horizontal="center" vertical="top" wrapText="1"/>
    </xf>
    <xf numFmtId="49" fontId="47" fillId="16" borderId="14">
      <alignment horizontal="center" vertical="top" wrapText="1"/>
    </xf>
    <xf numFmtId="49" fontId="15" fillId="16" borderId="14">
      <alignment horizontal="center" vertical="top" wrapText="1"/>
    </xf>
    <xf numFmtId="49" fontId="47" fillId="0" borderId="14" applyFill="0">
      <alignment horizontal="left" vertical="top" wrapText="1"/>
    </xf>
    <xf numFmtId="0" fontId="15" fillId="16" borderId="14">
      <alignment horizontal="center" vertical="top" wrapText="1"/>
    </xf>
    <xf numFmtId="0" fontId="47" fillId="16" borderId="14">
      <alignment horizontal="right" vertical="center" wrapText="1"/>
    </xf>
    <xf numFmtId="49" fontId="47" fillId="0" borderId="12" applyFill="0">
      <alignment horizontal="center" vertical="top" wrapText="1"/>
    </xf>
    <xf numFmtId="49" fontId="47" fillId="0" borderId="16" applyFill="0">
      <alignment horizontal="center" vertical="top" wrapText="1"/>
    </xf>
    <xf numFmtId="49" fontId="47" fillId="0" borderId="11" applyFill="0">
      <alignment horizontal="center" vertical="top" wrapText="1"/>
    </xf>
    <xf numFmtId="0" fontId="47" fillId="0" borderId="14" applyFill="0">
      <alignment horizontal="left" vertical="top" wrapText="1"/>
    </xf>
    <xf numFmtId="49" fontId="47" fillId="16" borderId="14">
      <alignment horizontal="left" vertical="top" wrapText="1"/>
    </xf>
    <xf numFmtId="0" fontId="47" fillId="16" borderId="14">
      <alignment horizontal="center" vertical="center" wrapText="1"/>
    </xf>
    <xf numFmtId="49" fontId="47" fillId="0" borderId="23" applyFill="0">
      <alignment horizontal="center" vertical="top" wrapText="1"/>
    </xf>
    <xf numFmtId="49" fontId="47" fillId="0" borderId="33" applyFill="0">
      <alignment horizontal="center" vertical="top" wrapText="1"/>
    </xf>
    <xf numFmtId="0" fontId="47" fillId="0" borderId="23" applyFill="0">
      <alignment horizontal="left" vertical="top" wrapText="1"/>
    </xf>
    <xf numFmtId="49" fontId="47" fillId="0" borderId="24" applyFill="0">
      <alignment horizontal="center" vertical="top" wrapText="1"/>
    </xf>
    <xf numFmtId="0" fontId="47" fillId="0" borderId="11" applyFill="0">
      <alignment horizontal="left" vertical="top" wrapText="1"/>
    </xf>
    <xf numFmtId="49" fontId="47" fillId="0" borderId="21" applyFill="0">
      <alignment horizontal="center" vertical="top" wrapText="1"/>
    </xf>
    <xf numFmtId="49" fontId="47" fillId="0" borderId="26" applyFill="0">
      <alignment horizontal="center" vertical="top" wrapText="1"/>
    </xf>
    <xf numFmtId="49" fontId="47" fillId="0" borderId="19" applyFill="0">
      <alignment horizontal="center" vertical="top" wrapText="1"/>
    </xf>
    <xf numFmtId="0" fontId="47" fillId="0" borderId="23" applyFill="0">
      <alignment vertical="top" wrapText="1"/>
    </xf>
    <xf numFmtId="49" fontId="15" fillId="0" borderId="14" applyFill="0">
      <alignment horizontal="left" vertical="top" wrapText="1"/>
    </xf>
    <xf numFmtId="0" fontId="15" fillId="0" borderId="12" applyFill="0">
      <alignment horizontal="center" vertical="center" wrapText="1"/>
    </xf>
    <xf numFmtId="0" fontId="15" fillId="0" borderId="12" applyFill="0">
      <alignment horizontal="center" vertical="center"/>
    </xf>
    <xf numFmtId="49" fontId="15" fillId="0" borderId="14" applyFill="0">
      <alignment horizontal="center" vertical="center" wrapText="1"/>
    </xf>
    <xf numFmtId="0" fontId="15" fillId="0" borderId="14" applyFill="0">
      <alignment vertical="center" wrapText="1"/>
    </xf>
    <xf numFmtId="49" fontId="47" fillId="0" borderId="12" applyFill="0">
      <alignment horizontal="left" vertical="top" wrapText="1"/>
    </xf>
    <xf numFmtId="0" fontId="15" fillId="0" borderId="14" applyFill="0">
      <alignment horizontal="center" vertical="center" wrapText="1"/>
    </xf>
    <xf numFmtId="0" fontId="15" fillId="0" borderId="23" applyFill="0">
      <alignment vertical="center" wrapText="1"/>
    </xf>
    <xf numFmtId="0" fontId="15" fillId="0" borderId="21" applyFill="0">
      <alignment vertical="center" wrapText="1"/>
    </xf>
    <xf numFmtId="49" fontId="47" fillId="0" borderId="26" applyFill="0">
      <alignment horizontal="left" vertical="top" wrapText="1"/>
    </xf>
    <xf numFmtId="49" fontId="47" fillId="0" borderId="11" applyFill="0">
      <alignment horizontal="left" vertical="top" wrapText="1"/>
    </xf>
    <xf numFmtId="49" fontId="15" fillId="0" borderId="23" applyFill="0">
      <alignment horizontal="center" vertical="center" wrapText="1"/>
    </xf>
    <xf numFmtId="49" fontId="15" fillId="0" borderId="21" applyFill="0">
      <alignment horizontal="center" vertical="center" wrapText="1"/>
    </xf>
    <xf numFmtId="0" fontId="15" fillId="0" borderId="23" applyFill="0">
      <alignment horizontal="center" vertical="center" wrapText="1"/>
    </xf>
    <xf numFmtId="49" fontId="47" fillId="0" borderId="33" applyFill="0">
      <alignment horizontal="left" vertical="top" wrapText="1"/>
    </xf>
    <xf numFmtId="0" fontId="47" fillId="0" borderId="33" applyFill="0">
      <alignment horizontal="left" vertical="top" wrapText="1"/>
    </xf>
    <xf numFmtId="49" fontId="10" fillId="17" borderId="0" applyBorder="0">
      <alignment horizontal="center" vertical="center"/>
    </xf>
    <xf numFmtId="49" fontId="9" fillId="0" borderId="14" applyFill="0">
      <alignment horizontal="center" vertical="top"/>
    </xf>
    <xf numFmtId="49" fontId="19" fillId="17" borderId="0" applyBorder="0">
      <alignment horizontal="center" vertical="center" wrapText="1"/>
    </xf>
    <xf numFmtId="0" fontId="5" fillId="18" borderId="14">
      <alignment horizontal="center" vertical="center"/>
    </xf>
    <xf numFmtId="49" fontId="19" fillId="17" borderId="14">
      <alignment horizontal="center" vertical="center"/>
    </xf>
    <xf numFmtId="49" fontId="19" fillId="19" borderId="14">
      <alignment horizontal="center" vertical="center"/>
    </xf>
    <xf numFmtId="49" fontId="5" fillId="20" borderId="14">
      <alignment horizontal="center" vertical="center"/>
    </xf>
    <xf numFmtId="0" fontId="9" fillId="0" borderId="14" applyFill="0">
      <alignment vertical="center"/>
    </xf>
    <xf numFmtId="0" fontId="5" fillId="0" borderId="14" applyFill="0">
      <alignment vertical="center"/>
    </xf>
    <xf numFmtId="0" fontId="5" fillId="0" borderId="12" applyFill="0">
      <alignment vertical="center"/>
    </xf>
    <xf numFmtId="0" fontId="9" fillId="0" borderId="12" applyFill="0">
      <alignment horizontal="left" vertical="center"/>
    </xf>
    <xf numFmtId="49" fontId="9" fillId="0" borderId="37" applyFill="0">
      <alignment vertical="center"/>
    </xf>
    <xf numFmtId="49" fontId="9" fillId="0" borderId="38" applyFill="0">
      <alignment vertical="top"/>
    </xf>
    <xf numFmtId="49" fontId="9" fillId="0" borderId="39" applyFill="0">
      <alignment vertical="top"/>
    </xf>
    <xf numFmtId="0" fontId="5" fillId="0" borderId="11" applyFill="0">
      <alignment vertical="center"/>
    </xf>
    <xf numFmtId="0" fontId="5" fillId="0" borderId="14" applyFill="0">
      <alignment horizontal="right" vertical="top"/>
    </xf>
    <xf numFmtId="0" fontId="5" fillId="0" borderId="14" applyFill="0">
      <alignment vertical="top"/>
    </xf>
    <xf numFmtId="0" fontId="9" fillId="0" borderId="11" applyFill="0">
      <alignment vertical="center"/>
    </xf>
    <xf numFmtId="49" fontId="9" fillId="0" borderId="14" applyFill="0">
      <alignment vertical="center"/>
    </xf>
    <xf numFmtId="0" fontId="5" fillId="0" borderId="0" applyFill="0" applyBorder="0">
      <alignment vertical="top"/>
    </xf>
    <xf numFmtId="0" fontId="9" fillId="0" borderId="14" applyFill="0">
      <alignment vertical="top"/>
    </xf>
    <xf numFmtId="0" fontId="5" fillId="21" borderId="0" applyBorder="0">
      <alignment horizontal="right" vertical="center"/>
    </xf>
    <xf numFmtId="0" fontId="5" fillId="21" borderId="0" applyBorder="0">
      <alignment horizontal="left" vertical="center"/>
    </xf>
    <xf numFmtId="0" fontId="5" fillId="0" borderId="0" applyFill="0" applyBorder="0">
      <alignment horizontal="right" vertical="top"/>
    </xf>
    <xf numFmtId="49" fontId="9" fillId="0" borderId="12" applyFill="0">
      <alignment vertical="top"/>
    </xf>
    <xf numFmtId="0" fontId="48" fillId="21" borderId="0" applyBorder="0">
      <alignment horizontal="left" vertical="center"/>
    </xf>
    <xf numFmtId="49" fontId="5" fillId="0" borderId="12" applyFill="0">
      <alignment vertical="top"/>
    </xf>
    <xf numFmtId="49" fontId="9" fillId="0" borderId="14" applyFill="0">
      <alignment horizontal="right" vertical="top"/>
    </xf>
    <xf numFmtId="0" fontId="5" fillId="0" borderId="12" applyFill="0">
      <alignment horizontal="left" vertical="center"/>
    </xf>
    <xf numFmtId="49" fontId="9" fillId="0" borderId="23" applyFill="0">
      <alignment horizontal="right" vertical="top"/>
    </xf>
    <xf numFmtId="0" fontId="5" fillId="0" borderId="23" applyFill="0">
      <alignment vertical="top"/>
    </xf>
    <xf numFmtId="0" fontId="9" fillId="0" borderId="23" applyFill="0">
      <alignment vertical="center"/>
    </xf>
    <xf numFmtId="49" fontId="9" fillId="0" borderId="40" applyFill="0">
      <alignment horizontal="center" vertical="center"/>
    </xf>
    <xf numFmtId="49" fontId="9" fillId="0" borderId="14" applyFill="0">
      <alignment horizontal="right" vertical="center"/>
    </xf>
    <xf numFmtId="49" fontId="9" fillId="0" borderId="14" applyFill="0">
      <alignment vertical="top"/>
    </xf>
    <xf numFmtId="0" fontId="9" fillId="21" borderId="0" applyBorder="0">
      <alignment horizontal="left" vertical="center"/>
    </xf>
    <xf numFmtId="0" fontId="5" fillId="21" borderId="41">
      <alignment horizontal="center"/>
    </xf>
    <xf numFmtId="49" fontId="49" fillId="0" borderId="39" applyFill="0">
      <alignment vertical="top"/>
    </xf>
    <xf numFmtId="49" fontId="30" fillId="22" borderId="0" applyBorder="0">
      <alignment vertical="center" wrapText="1"/>
    </xf>
    <xf numFmtId="0" fontId="5" fillId="0" borderId="41" applyFill="0">
      <alignment horizontal="center"/>
    </xf>
    <xf numFmtId="49" fontId="10" fillId="17" borderId="0" applyBorder="0">
      <alignment horizontal="center" vertical="center" wrapText="1"/>
    </xf>
    <xf numFmtId="49" fontId="9" fillId="21" borderId="0" applyBorder="0">
      <alignment horizontal="center" vertical="center"/>
    </xf>
    <xf numFmtId="0" fontId="28" fillId="0" borderId="0" applyFill="0" applyBorder="0">
      <alignment horizontal="center" vertical="center" wrapText="1"/>
    </xf>
    <xf numFmtId="49" fontId="5" fillId="8" borderId="40">
      <alignment horizontal="left" vertical="center"/>
      <protection locked="0"/>
    </xf>
    <xf numFmtId="49" fontId="5" fillId="0" borderId="40" applyFill="0">
      <alignment horizontal="right" vertical="center"/>
    </xf>
    <xf numFmtId="0" fontId="5" fillId="10" borderId="40">
      <alignment horizontal="center" vertical="center"/>
    </xf>
    <xf numFmtId="49" fontId="5" fillId="0" borderId="40" applyFill="0">
      <alignment horizontal="center" vertical="center"/>
    </xf>
    <xf numFmtId="0" fontId="2" fillId="0" borderId="42" applyFill="0">
      <alignment horizontal="center" vertical="center"/>
    </xf>
    <xf numFmtId="0" fontId="5" fillId="0" borderId="42" applyFill="0">
      <alignment horizontal="center" vertical="center"/>
    </xf>
    <xf numFmtId="49" fontId="10" fillId="17" borderId="14">
      <alignment horizontal="right" vertical="center"/>
    </xf>
    <xf numFmtId="49" fontId="9" fillId="8" borderId="24">
      <alignment vertical="top"/>
      <protection locked="0"/>
    </xf>
    <xf numFmtId="0" fontId="5" fillId="16" borderId="14">
      <alignment horizontal="right" vertical="center"/>
    </xf>
    <xf numFmtId="49" fontId="9" fillId="16" borderId="21">
      <alignment vertical="top"/>
    </xf>
    <xf numFmtId="49" fontId="9" fillId="16" borderId="14">
      <alignment vertical="top"/>
    </xf>
    <xf numFmtId="0" fontId="9" fillId="0" borderId="0" applyFill="0" applyBorder="0">
      <alignment vertical="top"/>
    </xf>
    <xf numFmtId="49" fontId="9" fillId="0" borderId="12" applyFill="0">
      <alignment horizontal="center" vertical="top"/>
    </xf>
    <xf numFmtId="49" fontId="9" fillId="0" borderId="11" applyFill="0">
      <alignment horizontal="center" vertical="top"/>
    </xf>
    <xf numFmtId="0" fontId="9" fillId="10" borderId="26">
      <alignment horizontal="center" vertical="top"/>
    </xf>
    <xf numFmtId="0" fontId="9" fillId="10" borderId="26">
      <alignment horizontal="left" vertical="top"/>
    </xf>
    <xf numFmtId="0" fontId="5" fillId="0" borderId="43" applyFill="0">
      <alignment horizontal="center" vertical="center"/>
    </xf>
    <xf numFmtId="0" fontId="5" fillId="0" borderId="44" applyFill="0">
      <alignment horizontal="center" vertical="center"/>
    </xf>
    <xf numFmtId="0" fontId="9" fillId="0" borderId="14" applyFill="0">
      <alignment horizontal="left" vertical="top"/>
    </xf>
    <xf numFmtId="0" fontId="5" fillId="0" borderId="45" applyFill="0">
      <alignment horizontal="center" vertical="center"/>
    </xf>
    <xf numFmtId="49" fontId="10" fillId="17" borderId="12">
      <alignment horizontal="right" vertical="center"/>
    </xf>
    <xf numFmtId="49" fontId="5" fillId="0" borderId="0" applyFill="0" applyBorder="0">
      <alignment vertical="center"/>
    </xf>
    <xf numFmtId="0" fontId="5" fillId="21" borderId="0" applyBorder="0">
      <alignment horizontal="right" vertical="top" wrapText="1"/>
    </xf>
    <xf numFmtId="0" fontId="9" fillId="0" borderId="0" applyFill="0" applyBorder="0">
      <alignment horizontal="left" vertical="top" wrapText="1"/>
    </xf>
    <xf numFmtId="49" fontId="5" fillId="23" borderId="0" applyBorder="0">
      <alignment vertical="top"/>
    </xf>
    <xf numFmtId="0" fontId="9" fillId="12" borderId="14">
      <alignment horizontal="center" vertical="center"/>
    </xf>
    <xf numFmtId="0" fontId="31" fillId="12" borderId="0" applyBorder="0">
      <alignment horizontal="center"/>
    </xf>
    <xf numFmtId="0" fontId="28" fillId="0" borderId="0" applyFill="0" applyBorder="0">
      <alignment vertical="top" wrapText="1"/>
    </xf>
    <xf numFmtId="0" fontId="19" fillId="0" borderId="21" applyFill="0">
      <alignment horizontal="center" vertical="center" wrapText="1"/>
    </xf>
    <xf numFmtId="0" fontId="19" fillId="0" borderId="14" applyFill="0">
      <alignment horizontal="center" vertical="center" wrapText="1"/>
    </xf>
    <xf numFmtId="14" fontId="9" fillId="13" borderId="14">
      <alignment horizontal="left" vertical="center" wrapText="1" indent="1"/>
    </xf>
    <xf numFmtId="49" fontId="9" fillId="10" borderId="14">
      <alignment horizontal="center" vertical="center" wrapText="1"/>
    </xf>
    <xf numFmtId="49" fontId="40" fillId="23" borderId="0" applyBorder="0">
      <alignment vertical="top"/>
    </xf>
    <xf numFmtId="0" fontId="28" fillId="0" borderId="20" applyFill="0">
      <alignment horizontal="center" vertical="center" wrapText="1"/>
    </xf>
    <xf numFmtId="14" fontId="35" fillId="0" borderId="23" applyFill="0">
      <alignment horizontal="center" vertical="center" wrapText="1"/>
    </xf>
    <xf numFmtId="0" fontId="34" fillId="0" borderId="14" applyFill="0">
      <alignment horizontal="left" vertical="center" wrapText="1" indent="1"/>
    </xf>
    <xf numFmtId="0" fontId="35" fillId="0" borderId="23" applyFill="0">
      <alignment horizontal="center" vertical="center" wrapText="1"/>
    </xf>
    <xf numFmtId="14" fontId="35" fillId="0" borderId="33" applyFill="0">
      <alignment horizontal="center" vertical="center" wrapText="1"/>
    </xf>
    <xf numFmtId="0" fontId="34" fillId="0" borderId="14" applyFill="0">
      <alignment horizontal="left" vertical="top" indent="1"/>
    </xf>
    <xf numFmtId="0" fontId="28" fillId="0" borderId="14" applyFill="0">
      <alignment horizontal="center" vertical="center" wrapText="1"/>
    </xf>
    <xf numFmtId="49" fontId="9" fillId="0" borderId="11" applyFill="0">
      <alignment horizontal="center" vertical="center" wrapText="1"/>
    </xf>
    <xf numFmtId="49" fontId="34" fillId="11" borderId="14">
      <alignment horizontal="left" vertical="center" wrapText="1" indent="1"/>
      <protection locked="0"/>
    </xf>
    <xf numFmtId="0" fontId="9" fillId="12" borderId="0" applyBorder="0">
      <alignment horizontal="center" vertical="top" wrapText="1"/>
    </xf>
    <xf numFmtId="0" fontId="9" fillId="12" borderId="12">
      <alignment horizontal="center" vertical="center" wrapText="1"/>
    </xf>
    <xf numFmtId="0" fontId="25" fillId="12" borderId="14">
      <alignment horizontal="center" vertical="center" wrapText="1"/>
    </xf>
    <xf numFmtId="14" fontId="9" fillId="13" borderId="25">
      <alignment horizontal="left" vertical="center" wrapText="1"/>
    </xf>
    <xf numFmtId="49" fontId="50" fillId="11" borderId="14">
      <alignment horizontal="left" vertical="center" wrapText="1"/>
      <protection locked="0"/>
    </xf>
    <xf numFmtId="49" fontId="19" fillId="0" borderId="0" applyFill="0" applyBorder="0">
      <alignment vertical="top"/>
    </xf>
    <xf numFmtId="164" fontId="5" fillId="11" borderId="14">
      <alignment horizontal="center" vertical="center" wrapText="1"/>
      <protection locked="0"/>
    </xf>
    <xf numFmtId="49" fontId="5" fillId="11" borderId="14">
      <alignment horizontal="center" vertical="center" wrapText="1"/>
      <protection locked="0"/>
    </xf>
    <xf numFmtId="0" fontId="51" fillId="12" borderId="0" applyBorder="0">
      <alignment vertical="center" wrapText="1"/>
    </xf>
    <xf numFmtId="0" fontId="5" fillId="11" borderId="12">
      <alignment horizontal="left" vertical="center" wrapText="1" indent="2"/>
      <protection locked="0"/>
    </xf>
    <xf numFmtId="0" fontId="31" fillId="0" borderId="20" applyFill="0">
      <alignment horizontal="center" vertical="center" wrapText="1"/>
    </xf>
    <xf numFmtId="49" fontId="9" fillId="0" borderId="14" applyFill="0">
      <alignment horizontal="center" vertical="top" wrapText="1"/>
    </xf>
    <xf numFmtId="0" fontId="5" fillId="10" borderId="14">
      <alignment horizontal="left" vertical="top" wrapText="1" indent="1"/>
    </xf>
    <xf numFmtId="49" fontId="9" fillId="13" borderId="23">
      <alignment horizontal="center" vertical="top" wrapText="1"/>
    </xf>
    <xf numFmtId="164" fontId="5" fillId="11" borderId="14">
      <alignment horizontal="center" vertical="top" wrapText="1"/>
      <protection locked="0"/>
    </xf>
    <xf numFmtId="164" fontId="5" fillId="8" borderId="14">
      <alignment horizontal="center" vertical="top" wrapText="1"/>
      <protection locked="0"/>
    </xf>
    <xf numFmtId="49" fontId="9" fillId="13" borderId="14">
      <alignment horizontal="left" vertical="top" wrapText="1"/>
    </xf>
    <xf numFmtId="49" fontId="9" fillId="11" borderId="14">
      <alignment horizontal="left" vertical="top" wrapText="1"/>
      <protection locked="0"/>
    </xf>
    <xf numFmtId="49" fontId="5" fillId="10" borderId="14">
      <alignment horizontal="center" vertical="top" wrapText="1"/>
    </xf>
    <xf numFmtId="0" fontId="9" fillId="10" borderId="14">
      <alignment horizontal="center" vertical="top" wrapText="1"/>
    </xf>
    <xf numFmtId="0" fontId="9" fillId="8" borderId="14">
      <alignment horizontal="left" vertical="top" wrapText="1"/>
      <protection locked="0"/>
    </xf>
    <xf numFmtId="49" fontId="9" fillId="13" borderId="14">
      <alignment horizontal="center" vertical="top" wrapText="1"/>
    </xf>
    <xf numFmtId="49" fontId="9" fillId="11" borderId="23">
      <alignment horizontal="left" vertical="center" wrapText="1" indent="1"/>
      <protection locked="0"/>
    </xf>
    <xf numFmtId="0" fontId="9" fillId="0" borderId="20" applyFill="0">
      <alignment vertical="top" wrapText="1"/>
    </xf>
    <xf numFmtId="49" fontId="9" fillId="13" borderId="21">
      <alignment horizontal="center" vertical="top" wrapText="1"/>
    </xf>
    <xf numFmtId="49" fontId="5" fillId="11" borderId="14">
      <alignment horizontal="center" vertical="top" wrapText="1"/>
      <protection locked="0"/>
    </xf>
    <xf numFmtId="49" fontId="5" fillId="8" borderId="14">
      <alignment horizontal="center" vertical="top" wrapText="1"/>
      <protection locked="0"/>
    </xf>
    <xf numFmtId="49" fontId="9" fillId="13" borderId="12">
      <alignment horizontal="center" vertical="top" wrapText="1"/>
    </xf>
    <xf numFmtId="0" fontId="9" fillId="14" borderId="12">
      <alignment vertical="center" wrapText="1"/>
    </xf>
    <xf numFmtId="0" fontId="9" fillId="14" borderId="16">
      <alignment vertical="center" wrapText="1"/>
    </xf>
    <xf numFmtId="49" fontId="9" fillId="0" borderId="33" applyFill="0">
      <alignment horizontal="center" vertical="top" wrapText="1"/>
    </xf>
    <xf numFmtId="0" fontId="5" fillId="10" borderId="33">
      <alignment horizontal="left" vertical="top" wrapText="1" indent="1"/>
    </xf>
    <xf numFmtId="49" fontId="9" fillId="13" borderId="33">
      <alignment horizontal="center" vertical="top" wrapText="1"/>
    </xf>
    <xf numFmtId="49" fontId="5" fillId="11" borderId="33">
      <alignment horizontal="center" vertical="top" wrapText="1"/>
      <protection locked="0"/>
    </xf>
    <xf numFmtId="49" fontId="5" fillId="8" borderId="33">
      <alignment horizontal="center" vertical="top" wrapText="1"/>
      <protection locked="0"/>
    </xf>
    <xf numFmtId="49" fontId="9" fillId="13" borderId="33">
      <alignment horizontal="left" vertical="top" wrapText="1"/>
    </xf>
    <xf numFmtId="49" fontId="9" fillId="11" borderId="33">
      <alignment horizontal="left" vertical="top" wrapText="1"/>
      <protection locked="0"/>
    </xf>
    <xf numFmtId="49" fontId="5" fillId="10" borderId="33">
      <alignment horizontal="center" vertical="top" wrapText="1"/>
    </xf>
    <xf numFmtId="0" fontId="9" fillId="10" borderId="33">
      <alignment horizontal="center" vertical="top" wrapText="1"/>
    </xf>
    <xf numFmtId="0" fontId="9" fillId="8" borderId="33">
      <alignment horizontal="left" vertical="top" wrapText="1"/>
      <protection locked="0"/>
    </xf>
    <xf numFmtId="0" fontId="52" fillId="0" borderId="46" applyFill="0">
      <alignment horizontal="left" vertical="center" indent="1"/>
    </xf>
    <xf numFmtId="0" fontId="52" fillId="0" borderId="47" applyFill="0">
      <alignment horizontal="left" vertical="center" indent="1"/>
    </xf>
    <xf numFmtId="0" fontId="5" fillId="0" borderId="47" applyFill="0">
      <alignment horizontal="left" vertical="center" wrapText="1"/>
    </xf>
    <xf numFmtId="0" fontId="9" fillId="0" borderId="47" applyFill="0">
      <alignment vertical="center" wrapText="1"/>
    </xf>
    <xf numFmtId="0" fontId="9" fillId="0" borderId="48" applyFill="0">
      <alignment vertical="center" wrapText="1"/>
    </xf>
    <xf numFmtId="0" fontId="9" fillId="0" borderId="49" applyFill="0">
      <alignment vertical="center" wrapText="1"/>
    </xf>
    <xf numFmtId="0" fontId="9" fillId="0" borderId="19" applyFill="0">
      <alignment vertical="center" wrapText="1"/>
    </xf>
    <xf numFmtId="49" fontId="19" fillId="0" borderId="11" applyFill="0">
      <alignment horizontal="center" vertical="center" wrapText="1"/>
    </xf>
    <xf numFmtId="49" fontId="19" fillId="0" borderId="11" applyFill="0">
      <alignment horizontal="left" vertical="center" wrapText="1"/>
    </xf>
    <xf numFmtId="49" fontId="19" fillId="0" borderId="12" applyFill="0">
      <alignment horizontal="center" vertical="center" wrapText="1"/>
    </xf>
    <xf numFmtId="49" fontId="19" fillId="0" borderId="14" applyFill="0">
      <alignment horizontal="center" vertical="center" wrapText="1"/>
    </xf>
    <xf numFmtId="49" fontId="53" fillId="0" borderId="35" applyFill="0">
      <alignment horizontal="left" vertical="center" indent="1"/>
    </xf>
    <xf numFmtId="49" fontId="53" fillId="0" borderId="35" applyFill="0">
      <alignment horizontal="center" vertical="center"/>
    </xf>
    <xf numFmtId="3" fontId="19" fillId="0" borderId="14" applyFill="0">
      <alignment horizontal="center" vertical="center" wrapText="1"/>
    </xf>
    <xf numFmtId="49" fontId="54" fillId="0" borderId="11" applyFill="0">
      <alignment horizontal="center" vertical="center" wrapText="1"/>
    </xf>
    <xf numFmtId="0" fontId="53" fillId="0" borderId="14" applyFill="0">
      <alignment horizontal="center" vertical="center"/>
    </xf>
    <xf numFmtId="49" fontId="19" fillId="0" borderId="23" applyFill="0">
      <alignment horizontal="left" vertical="center" wrapText="1" indent="1"/>
    </xf>
    <xf numFmtId="49" fontId="53" fillId="0" borderId="12" applyFill="0">
      <alignment horizontal="left" vertical="center" indent="1"/>
    </xf>
    <xf numFmtId="49" fontId="53" fillId="0" borderId="16" applyFill="0">
      <alignment horizontal="left" vertical="center" indent="1"/>
    </xf>
    <xf numFmtId="49" fontId="53" fillId="0" borderId="16" applyFill="0">
      <alignment vertical="top" wrapText="1"/>
    </xf>
    <xf numFmtId="49" fontId="53" fillId="0" borderId="11" applyFill="0">
      <alignment vertical="top" wrapText="1"/>
    </xf>
    <xf numFmtId="49" fontId="19" fillId="0" borderId="33" applyFill="0">
      <alignment horizontal="left" vertical="center" wrapText="1" indent="1"/>
    </xf>
    <xf numFmtId="0" fontId="53" fillId="0" borderId="14" applyFill="0">
      <alignment horizontal="left" vertical="center" wrapText="1" indent="1"/>
    </xf>
    <xf numFmtId="4" fontId="19" fillId="0" borderId="40" applyFill="0">
      <alignment horizontal="right" vertical="center" wrapText="1"/>
    </xf>
    <xf numFmtId="49" fontId="19" fillId="0" borderId="21" applyFill="0">
      <alignment horizontal="left" vertical="center" wrapText="1" indent="1"/>
    </xf>
    <xf numFmtId="49" fontId="19" fillId="0" borderId="16" applyFill="0">
      <alignment horizontal="left" vertical="center" indent="1"/>
    </xf>
    <xf numFmtId="49" fontId="53" fillId="0" borderId="50" applyFill="0">
      <alignment vertical="top" wrapText="1"/>
    </xf>
    <xf numFmtId="49" fontId="53" fillId="0" borderId="50" applyFill="0">
      <alignment horizontal="left" vertical="center" indent="1"/>
    </xf>
    <xf numFmtId="49" fontId="9" fillId="10" borderId="51">
      <alignment horizontal="center" vertical="center" wrapText="1"/>
    </xf>
    <xf numFmtId="0" fontId="5" fillId="14" borderId="52">
      <alignment horizontal="left" vertical="center"/>
    </xf>
    <xf numFmtId="49" fontId="29" fillId="14" borderId="53">
      <alignment horizontal="left" vertical="center" indent="1"/>
    </xf>
    <xf numFmtId="0" fontId="9" fillId="14" borderId="52">
      <alignment vertical="center" wrapText="1"/>
    </xf>
    <xf numFmtId="0" fontId="9" fillId="14" borderId="53">
      <alignment vertical="center" wrapText="1"/>
    </xf>
    <xf numFmtId="49" fontId="5" fillId="10" borderId="33">
      <alignment vertical="top"/>
    </xf>
    <xf numFmtId="49" fontId="5" fillId="0" borderId="33" applyFill="0">
      <alignment vertical="top"/>
    </xf>
    <xf numFmtId="49" fontId="9" fillId="13" borderId="23">
      <alignment vertical="center" wrapText="1"/>
    </xf>
    <xf numFmtId="49" fontId="5" fillId="11" borderId="33">
      <alignment vertical="top"/>
      <protection locked="0"/>
    </xf>
    <xf numFmtId="49" fontId="55" fillId="0" borderId="14" applyFill="0">
      <alignment horizontal="center" vertical="center" wrapText="1"/>
    </xf>
    <xf numFmtId="0" fontId="30" fillId="0" borderId="14" applyFill="0">
      <alignment horizontal="center" vertical="center"/>
    </xf>
    <xf numFmtId="49" fontId="9" fillId="13" borderId="23">
      <alignment horizontal="left" vertical="center" wrapText="1" indent="1"/>
    </xf>
    <xf numFmtId="49" fontId="56" fillId="14" borderId="12">
      <alignment horizontal="left" vertical="center" indent="1"/>
    </xf>
    <xf numFmtId="49" fontId="56" fillId="14" borderId="16">
      <alignment horizontal="left" vertical="center" indent="1"/>
    </xf>
    <xf numFmtId="49" fontId="30" fillId="14" borderId="16">
      <alignment vertical="top" wrapText="1"/>
    </xf>
    <xf numFmtId="49" fontId="5" fillId="11" borderId="23">
      <alignment vertical="top"/>
      <protection locked="0"/>
    </xf>
    <xf numFmtId="14" fontId="9" fillId="13" borderId="33">
      <alignment horizontal="left" vertical="center" wrapText="1" indent="1"/>
    </xf>
    <xf numFmtId="14" fontId="9" fillId="13" borderId="19">
      <alignment horizontal="left" vertical="center" wrapText="1" indent="1"/>
    </xf>
    <xf numFmtId="49" fontId="9" fillId="13" borderId="33">
      <alignment vertical="center" wrapText="1"/>
    </xf>
    <xf numFmtId="49" fontId="9" fillId="13" borderId="33">
      <alignment horizontal="left" vertical="center" wrapText="1" indent="1"/>
    </xf>
    <xf numFmtId="49" fontId="9" fillId="10" borderId="14">
      <alignment horizontal="left" vertical="center" wrapText="1"/>
    </xf>
    <xf numFmtId="0" fontId="30" fillId="13" borderId="14">
      <alignment horizontal="left" vertical="center" wrapText="1" indent="1"/>
    </xf>
    <xf numFmtId="4" fontId="9" fillId="11" borderId="40">
      <alignment horizontal="right" vertical="center" wrapText="1"/>
      <protection locked="0"/>
    </xf>
    <xf numFmtId="4" fontId="9" fillId="11" borderId="45">
      <alignment horizontal="right" vertical="center" wrapText="1"/>
      <protection locked="0"/>
    </xf>
    <xf numFmtId="49" fontId="9" fillId="13" borderId="21">
      <alignment vertical="center" wrapText="1"/>
    </xf>
    <xf numFmtId="49" fontId="9" fillId="13" borderId="21">
      <alignment horizontal="left" vertical="center" wrapText="1" indent="1"/>
    </xf>
    <xf numFmtId="49" fontId="5" fillId="11" borderId="21">
      <alignment vertical="top"/>
      <protection locked="0"/>
    </xf>
    <xf numFmtId="49" fontId="55" fillId="0" borderId="33" applyFill="0">
      <alignment horizontal="center" vertical="top" wrapText="1"/>
    </xf>
    <xf numFmtId="0" fontId="30" fillId="0" borderId="11" applyFill="0">
      <alignment horizontal="center" vertical="center"/>
    </xf>
    <xf numFmtId="49" fontId="9" fillId="13" borderId="11">
      <alignment horizontal="left" vertical="center" wrapText="1"/>
    </xf>
    <xf numFmtId="49" fontId="56" fillId="14" borderId="34">
      <alignment horizontal="left" vertical="center" indent="1"/>
    </xf>
    <xf numFmtId="49" fontId="53" fillId="14" borderId="35">
      <alignment horizontal="center" vertical="center"/>
    </xf>
    <xf numFmtId="49" fontId="56" fillId="14" borderId="35">
      <alignment horizontal="left" vertical="center" indent="1"/>
    </xf>
    <xf numFmtId="3" fontId="9" fillId="11" borderId="14">
      <alignment horizontal="center" vertical="center" wrapText="1"/>
      <protection locked="0"/>
    </xf>
    <xf numFmtId="49" fontId="9" fillId="13" borderId="12">
      <alignment horizontal="center" vertical="center" wrapText="1"/>
    </xf>
    <xf numFmtId="49" fontId="30" fillId="14" borderId="11">
      <alignment vertical="top" wrapText="1"/>
    </xf>
    <xf numFmtId="49" fontId="30" fillId="14" borderId="50">
      <alignment vertical="top" wrapText="1"/>
    </xf>
    <xf numFmtId="49" fontId="56" fillId="14" borderId="50">
      <alignment horizontal="left" vertical="center" indent="1"/>
    </xf>
    <xf numFmtId="49" fontId="30" fillId="12" borderId="0" applyBorder="0">
      <alignment vertical="center"/>
    </xf>
    <xf numFmtId="0" fontId="52" fillId="0" borderId="54" applyFill="0">
      <alignment horizontal="left" vertical="center" indent="1"/>
    </xf>
    <xf numFmtId="49" fontId="9" fillId="0" borderId="55" applyFill="0">
      <alignment horizontal="center" vertical="center"/>
    </xf>
    <xf numFmtId="0" fontId="9" fillId="0" borderId="55" applyFill="0">
      <alignment horizontal="right" vertical="center"/>
    </xf>
    <xf numFmtId="0" fontId="9" fillId="0" borderId="55" applyFill="0">
      <alignment horizontal="center" vertical="center"/>
    </xf>
    <xf numFmtId="0" fontId="9" fillId="0" borderId="16" applyFill="0">
      <alignment horizontal="right" vertical="center"/>
    </xf>
    <xf numFmtId="0" fontId="9" fillId="0" borderId="11" applyFill="0">
      <alignment horizontal="right" vertical="center"/>
    </xf>
    <xf numFmtId="0" fontId="9" fillId="0" borderId="14" applyFill="0">
      <alignment horizontal="right" vertical="center"/>
    </xf>
    <xf numFmtId="49" fontId="9" fillId="8" borderId="14">
      <alignment horizontal="left" vertical="center" indent="1"/>
      <protection locked="0"/>
    </xf>
    <xf numFmtId="0" fontId="9" fillId="16" borderId="14">
      <alignment horizontal="right" vertical="center"/>
    </xf>
    <xf numFmtId="4" fontId="9" fillId="8" borderId="14">
      <alignment horizontal="right" vertical="center"/>
      <protection locked="0"/>
    </xf>
    <xf numFmtId="49" fontId="29" fillId="14" borderId="56">
      <alignment horizontal="left" vertical="center" indent="1"/>
    </xf>
    <xf numFmtId="49" fontId="29" fillId="24" borderId="11">
      <alignment horizontal="left" vertical="center" indent="1"/>
    </xf>
    <xf numFmtId="0" fontId="5" fillId="0" borderId="12" applyFill="0">
      <alignment horizontal="right" vertical="center" wrapText="1" indent="1"/>
    </xf>
    <xf numFmtId="0" fontId="5" fillId="0" borderId="16" applyFill="0">
      <alignment horizontal="right" vertical="center" wrapText="1" indent="1"/>
    </xf>
    <xf numFmtId="0" fontId="5" fillId="0" borderId="11" applyFill="0">
      <alignment horizontal="right" vertical="center" wrapText="1" indent="1"/>
    </xf>
    <xf numFmtId="0" fontId="9" fillId="0" borderId="11" applyFill="0">
      <alignment horizontal="left" vertical="center" wrapText="1" indent="1"/>
    </xf>
    <xf numFmtId="49" fontId="25" fillId="0" borderId="19" applyFill="0">
      <alignment vertical="top"/>
    </xf>
    <xf numFmtId="0" fontId="57" fillId="0" borderId="0" applyFill="0" applyBorder="0">
      <alignment vertical="top"/>
    </xf>
    <xf numFmtId="0" fontId="58" fillId="0" borderId="0" applyFill="0" applyBorder="0">
      <alignment vertical="top"/>
    </xf>
    <xf numFmtId="49" fontId="9" fillId="0" borderId="33" applyFill="0">
      <alignment horizontal="center" vertical="center" wrapText="1"/>
    </xf>
    <xf numFmtId="0" fontId="9" fillId="0" borderId="21" applyFill="0">
      <alignment horizontal="left" vertical="center" wrapText="1"/>
    </xf>
    <xf numFmtId="4" fontId="9" fillId="10" borderId="14">
      <alignment horizontal="right" vertical="center" wrapText="1"/>
    </xf>
    <xf numFmtId="2" fontId="9" fillId="0" borderId="21" applyFill="0">
      <alignment horizontal="center" vertical="center" wrapText="1"/>
    </xf>
    <xf numFmtId="0" fontId="25" fillId="0" borderId="19" applyFill="0">
      <alignment vertical="center" wrapText="1"/>
    </xf>
    <xf numFmtId="49" fontId="29" fillId="14" borderId="12">
      <alignment horizontal="left" vertical="center"/>
    </xf>
    <xf numFmtId="0" fontId="29" fillId="0" borderId="14" applyFill="0">
      <alignment horizontal="left" vertical="center" indent="1"/>
    </xf>
    <xf numFmtId="49" fontId="9" fillId="0" borderId="21" applyFill="0">
      <alignment horizontal="center" vertical="center" wrapText="1"/>
    </xf>
    <xf numFmtId="0" fontId="25" fillId="0" borderId="21" applyFill="0">
      <alignment vertical="center" wrapText="1"/>
    </xf>
    <xf numFmtId="4" fontId="25" fillId="0" borderId="14" applyFill="0">
      <alignment horizontal="right" vertical="center" wrapText="1"/>
    </xf>
    <xf numFmtId="2" fontId="25" fillId="0" borderId="21" applyFill="0">
      <alignment horizontal="center" vertical="center" wrapText="1"/>
    </xf>
    <xf numFmtId="49" fontId="25" fillId="0" borderId="12" applyFill="0">
      <alignment horizontal="left" vertical="center"/>
    </xf>
    <xf numFmtId="49" fontId="25" fillId="0" borderId="16" applyFill="0">
      <alignment horizontal="left" vertical="center" indent="1"/>
    </xf>
    <xf numFmtId="49" fontId="25" fillId="0" borderId="16" applyFill="0">
      <alignment horizontal="left" vertical="center"/>
    </xf>
    <xf numFmtId="49" fontId="25" fillId="0" borderId="11" applyFill="0">
      <alignment horizontal="left" vertical="center" indent="1"/>
    </xf>
    <xf numFmtId="0" fontId="25" fillId="0" borderId="14" applyFill="0">
      <alignment horizontal="left" vertical="center" indent="1"/>
    </xf>
    <xf numFmtId="49" fontId="5" fillId="0" borderId="17" applyFill="0">
      <alignment vertical="top"/>
    </xf>
    <xf numFmtId="49" fontId="31" fillId="0" borderId="23" applyFill="0">
      <alignment horizontal="center" vertical="top" wrapText="1"/>
    </xf>
    <xf numFmtId="49" fontId="9" fillId="11" borderId="12">
      <alignment horizontal="left" vertical="center" wrapText="1" indent="1"/>
      <protection locked="0"/>
    </xf>
    <xf numFmtId="0" fontId="9" fillId="0" borderId="14" applyFill="0">
      <alignment vertical="center" wrapText="1"/>
    </xf>
    <xf numFmtId="49" fontId="5" fillId="0" borderId="11" applyFill="0">
      <alignment horizontal="center" vertical="center" wrapText="1"/>
    </xf>
    <xf numFmtId="0" fontId="5" fillId="0" borderId="14" applyFill="0">
      <alignment horizontal="left" vertical="center" wrapText="1"/>
    </xf>
    <xf numFmtId="4" fontId="5" fillId="10" borderId="14">
      <alignment horizontal="right" vertical="center" wrapText="1"/>
    </xf>
    <xf numFmtId="0" fontId="5" fillId="11" borderId="14">
      <alignment horizontal="left" vertical="center" wrapText="1"/>
      <protection locked="0"/>
    </xf>
    <xf numFmtId="49" fontId="5" fillId="11" borderId="12">
      <alignment horizontal="left" vertical="center" wrapText="1"/>
      <protection locked="0"/>
    </xf>
    <xf numFmtId="0" fontId="5" fillId="0" borderId="14" applyFill="0">
      <alignment vertical="center" wrapText="1"/>
    </xf>
    <xf numFmtId="49" fontId="5" fillId="0" borderId="25" applyFill="0">
      <alignment horizontal="center" vertical="center" wrapText="1"/>
    </xf>
    <xf numFmtId="4" fontId="19" fillId="0" borderId="14" applyFill="0">
      <alignment horizontal="right" vertical="center" wrapText="1"/>
    </xf>
    <xf numFmtId="49" fontId="5" fillId="14" borderId="26">
      <alignment horizontal="center" vertical="center"/>
    </xf>
    <xf numFmtId="49" fontId="5" fillId="14" borderId="16">
      <alignment horizontal="center" vertical="center"/>
    </xf>
    <xf numFmtId="49" fontId="9" fillId="0" borderId="21" applyFill="0">
      <alignment horizontal="center" vertical="top" wrapText="1"/>
    </xf>
    <xf numFmtId="49" fontId="5" fillId="0" borderId="19" applyFill="0">
      <alignment vertical="top"/>
    </xf>
    <xf numFmtId="49" fontId="5" fillId="0" borderId="20" applyFill="0">
      <alignment vertical="top"/>
    </xf>
    <xf numFmtId="0" fontId="9" fillId="13" borderId="14">
      <alignment horizontal="left" vertical="top" wrapText="1"/>
    </xf>
    <xf numFmtId="0" fontId="5" fillId="13" borderId="14">
      <alignment horizontal="left" vertical="center" wrapText="1"/>
    </xf>
    <xf numFmtId="0" fontId="29" fillId="14" borderId="12">
      <alignment horizontal="left" vertical="center"/>
    </xf>
    <xf numFmtId="0" fontId="29" fillId="14" borderId="16">
      <alignment horizontal="left" vertical="center"/>
    </xf>
    <xf numFmtId="0" fontId="29" fillId="14" borderId="11">
      <alignment horizontal="left" vertical="center"/>
    </xf>
    <xf numFmtId="49" fontId="5" fillId="13" borderId="14">
      <alignment horizontal="left" vertical="top"/>
    </xf>
    <xf numFmtId="49" fontId="5" fillId="8" borderId="14">
      <alignment horizontal="left" vertical="top"/>
      <protection locked="0"/>
    </xf>
    <xf numFmtId="49" fontId="5" fillId="13" borderId="14">
      <alignment horizontal="left" vertical="center" wrapText="1"/>
    </xf>
    <xf numFmtId="0" fontId="5" fillId="14" borderId="16">
      <alignment vertical="center"/>
    </xf>
    <xf numFmtId="49" fontId="5" fillId="0" borderId="33" applyFill="0">
      <alignment horizontal="left" vertical="top"/>
    </xf>
    <xf numFmtId="49" fontId="5" fillId="13" borderId="33">
      <alignment horizontal="left" vertical="top"/>
    </xf>
    <xf numFmtId="49" fontId="5" fillId="8" borderId="33">
      <alignment horizontal="left" vertical="top"/>
      <protection locked="0"/>
    </xf>
    <xf numFmtId="49" fontId="9" fillId="13" borderId="0" applyBorder="0">
      <alignment horizontal="center" vertical="center" wrapText="1"/>
    </xf>
    <xf numFmtId="0" fontId="29" fillId="0" borderId="33" applyFill="0">
      <alignment horizontal="left" vertical="center"/>
    </xf>
    <xf numFmtId="49" fontId="5" fillId="13" borderId="33">
      <alignment horizontal="left" vertical="center" wrapText="1"/>
    </xf>
    <xf numFmtId="0" fontId="29" fillId="8" borderId="33">
      <alignment horizontal="left" vertical="center"/>
      <protection locked="0"/>
    </xf>
    <xf numFmtId="0" fontId="29" fillId="11" borderId="33">
      <alignment horizontal="left" vertical="center"/>
      <protection locked="0"/>
    </xf>
    <xf numFmtId="49" fontId="25" fillId="0" borderId="14" applyFill="0">
      <alignment horizontal="center" vertical="center" wrapText="1"/>
    </xf>
    <xf numFmtId="49" fontId="25" fillId="0" borderId="12" applyFill="0">
      <alignment horizontal="left" vertical="center" wrapText="1"/>
    </xf>
    <xf numFmtId="0" fontId="25" fillId="0" borderId="12" applyFill="0">
      <alignment horizontal="left" vertical="center"/>
    </xf>
    <xf numFmtId="0" fontId="25" fillId="0" borderId="16" applyFill="0">
      <alignment horizontal="left" vertical="center"/>
    </xf>
    <xf numFmtId="0" fontId="29" fillId="14" borderId="25">
      <alignment horizontal="left" vertical="center"/>
    </xf>
    <xf numFmtId="49" fontId="5" fillId="8" borderId="33">
      <alignment vertical="top"/>
      <protection locked="0"/>
    </xf>
    <xf numFmtId="49" fontId="9" fillId="0" borderId="33" applyFill="0">
      <alignment horizontal="center" vertical="center"/>
    </xf>
    <xf numFmtId="49" fontId="9" fillId="0" borderId="33" applyFill="0">
      <alignment vertical="center" wrapText="1"/>
    </xf>
    <xf numFmtId="0" fontId="9" fillId="0" borderId="20" applyFill="0">
      <alignment horizontal="center" vertical="center"/>
    </xf>
    <xf numFmtId="49" fontId="9" fillId="0" borderId="23" applyFill="0">
      <alignment horizontal="left" vertical="center" wrapText="1"/>
    </xf>
    <xf numFmtId="49" fontId="31" fillId="0" borderId="33" applyFill="0">
      <alignment vertical="center" wrapText="1"/>
    </xf>
    <xf numFmtId="0" fontId="9" fillId="13" borderId="23">
      <alignment horizontal="left" vertical="center" wrapText="1"/>
    </xf>
    <xf numFmtId="49" fontId="9" fillId="13" borderId="23">
      <alignment horizontal="left" vertical="center" wrapText="1"/>
    </xf>
    <xf numFmtId="0" fontId="9" fillId="0" borderId="33" applyFill="0">
      <alignment horizontal="left" vertical="center" wrapText="1"/>
    </xf>
    <xf numFmtId="49" fontId="9" fillId="0" borderId="33" applyFill="0">
      <alignment horizontal="left" vertical="center" wrapText="1"/>
    </xf>
    <xf numFmtId="0" fontId="9" fillId="13" borderId="33">
      <alignment horizontal="left" vertical="center" wrapText="1"/>
    </xf>
    <xf numFmtId="49" fontId="9" fillId="13" borderId="21">
      <alignment horizontal="left" vertical="center" wrapText="1"/>
    </xf>
    <xf numFmtId="0" fontId="29" fillId="0" borderId="21" applyFill="0">
      <alignment horizontal="left" vertical="center"/>
    </xf>
    <xf numFmtId="0" fontId="29" fillId="14" borderId="24">
      <alignment horizontal="left" vertical="center"/>
    </xf>
    <xf numFmtId="0" fontId="29" fillId="14" borderId="17">
      <alignment horizontal="left" vertical="center"/>
    </xf>
    <xf numFmtId="0" fontId="29" fillId="14" borderId="18">
      <alignment horizontal="left" vertical="center"/>
    </xf>
    <xf numFmtId="49" fontId="9" fillId="11" borderId="23">
      <alignment horizontal="left" vertical="center" wrapText="1"/>
      <protection locked="0"/>
    </xf>
    <xf numFmtId="49" fontId="31" fillId="0" borderId="33" applyFill="0">
      <alignment horizontal="center" vertical="center" wrapText="1"/>
    </xf>
    <xf numFmtId="0" fontId="29" fillId="14" borderId="24">
      <alignment vertical="center"/>
    </xf>
    <xf numFmtId="49" fontId="9" fillId="8" borderId="23">
      <alignment horizontal="left" vertical="center" wrapText="1"/>
      <protection locked="0"/>
    </xf>
    <xf numFmtId="49" fontId="37" fillId="14" borderId="12">
      <alignment vertical="top"/>
    </xf>
    <xf numFmtId="49" fontId="37" fillId="14" borderId="16">
      <alignment vertical="top"/>
    </xf>
    <xf numFmtId="0" fontId="9" fillId="12" borderId="0" applyBorder="0">
      <alignment horizontal="right" vertical="center" wrapText="1"/>
    </xf>
    <xf numFmtId="0" fontId="9" fillId="12" borderId="0" applyBorder="0">
      <alignment horizontal="right" vertical="center"/>
    </xf>
    <xf numFmtId="0" fontId="5" fillId="0" borderId="14" applyFill="0">
      <alignment horizontal="left" vertical="center" wrapText="1" indent="1"/>
    </xf>
    <xf numFmtId="0" fontId="5" fillId="11" borderId="14">
      <alignment horizontal="left" vertical="center" wrapText="1" indent="2"/>
      <protection locked="0"/>
    </xf>
    <xf numFmtId="49" fontId="59" fillId="14" borderId="11">
      <alignment horizontal="center" vertical="top"/>
    </xf>
    <xf numFmtId="0" fontId="9" fillId="0" borderId="23" applyFill="0">
      <alignment vertical="center" wrapText="1"/>
    </xf>
    <xf numFmtId="49" fontId="18" fillId="11" borderId="12">
      <alignment horizontal="left" vertical="center" wrapText="1"/>
      <protection locked="0"/>
    </xf>
    <xf numFmtId="49" fontId="59" fillId="14" borderId="16">
      <alignment horizontal="center" vertical="top"/>
    </xf>
    <xf numFmtId="49" fontId="37" fillId="0" borderId="14" applyFill="0">
      <alignment horizontal="center" vertical="center" wrapText="1"/>
    </xf>
    <xf numFmtId="0" fontId="37" fillId="0" borderId="14" applyFill="0">
      <alignment horizontal="left" vertical="center" wrapText="1" indent="2"/>
    </xf>
    <xf numFmtId="49" fontId="60" fillId="0" borderId="12" applyFill="0">
      <alignment horizontal="left" vertical="center" wrapText="1"/>
    </xf>
    <xf numFmtId="0" fontId="9" fillId="0" borderId="23" applyFill="0">
      <alignment vertical="top" wrapText="1"/>
    </xf>
    <xf numFmtId="0" fontId="9" fillId="0" borderId="21" applyFill="0">
      <alignment vertical="top" wrapText="1"/>
    </xf>
    <xf numFmtId="49" fontId="9" fillId="0" borderId="0" applyFill="0" applyBorder="0">
      <alignment vertical="center" wrapText="1"/>
    </xf>
    <xf numFmtId="0" fontId="51" fillId="0" borderId="0" applyFill="0" applyBorder="0">
      <alignment vertical="center" wrapText="1"/>
    </xf>
    <xf numFmtId="0" fontId="9" fillId="0" borderId="33" applyFill="0">
      <alignment vertical="center" wrapText="1"/>
    </xf>
    <xf numFmtId="0" fontId="5" fillId="10" borderId="14">
      <alignment horizontal="center" vertical="center" wrapText="1"/>
    </xf>
    <xf numFmtId="164" fontId="5" fillId="11" borderId="11">
      <alignment horizontal="left" vertical="center" wrapText="1"/>
      <protection locked="0"/>
    </xf>
    <xf numFmtId="164" fontId="5" fillId="11" borderId="12">
      <alignment horizontal="left" vertical="center" wrapText="1"/>
      <protection locked="0"/>
    </xf>
    <xf numFmtId="0" fontId="9" fillId="13" borderId="14">
      <alignment horizontal="left" vertical="center" wrapText="1"/>
    </xf>
    <xf numFmtId="0" fontId="5" fillId="0" borderId="33" applyFill="0">
      <alignment horizontal="center" vertical="center" wrapText="1"/>
    </xf>
    <xf numFmtId="0" fontId="9" fillId="0" borderId="0" applyFill="0" applyBorder="0">
      <alignment vertical="top" wrapText="1"/>
    </xf>
    <xf numFmtId="49" fontId="29" fillId="14" borderId="36">
      <alignment horizontal="left" vertical="center"/>
    </xf>
    <xf numFmtId="0" fontId="9" fillId="0" borderId="16" applyFill="0">
      <alignment horizontal="left" vertical="top" wrapText="1" indent="1"/>
    </xf>
    <xf numFmtId="0" fontId="13" fillId="12" borderId="0" applyBorder="0">
      <alignment horizontal="center" vertical="center" wrapText="1"/>
    </xf>
    <xf numFmtId="0" fontId="5" fillId="12" borderId="12">
      <alignment horizontal="right" vertical="center" wrapText="1" indent="1"/>
    </xf>
    <xf numFmtId="164" fontId="9" fillId="10" borderId="14">
      <alignment horizontal="left" vertical="center" wrapText="1" indent="1"/>
    </xf>
    <xf numFmtId="0" fontId="9" fillId="10" borderId="14">
      <alignment horizontal="left" vertical="center" wrapText="1" indent="1"/>
    </xf>
    <xf numFmtId="0" fontId="9" fillId="12" borderId="23">
      <alignment horizontal="center" vertical="center" wrapText="1"/>
    </xf>
    <xf numFmtId="0" fontId="9" fillId="12" borderId="16">
      <alignment horizontal="center" vertical="center" wrapText="1"/>
    </xf>
    <xf numFmtId="0" fontId="9" fillId="12" borderId="11">
      <alignment horizontal="center" vertical="center" wrapText="1"/>
    </xf>
    <xf numFmtId="0" fontId="9" fillId="12" borderId="21">
      <alignment horizontal="center" vertical="center" wrapText="1"/>
    </xf>
    <xf numFmtId="49" fontId="28" fillId="12" borderId="17">
      <alignment horizontal="center" vertical="center" wrapText="1"/>
    </xf>
    <xf numFmtId="49" fontId="5" fillId="12" borderId="23">
      <alignment horizontal="center" vertical="center" wrapText="1"/>
    </xf>
    <xf numFmtId="0" fontId="5" fillId="0" borderId="23" applyFill="0">
      <alignment horizontal="left" vertical="center" wrapText="1"/>
    </xf>
    <xf numFmtId="0" fontId="51" fillId="12" borderId="0" applyBorder="0">
      <alignment horizontal="center" vertical="top" wrapText="1"/>
    </xf>
    <xf numFmtId="0" fontId="5" fillId="10" borderId="12">
      <alignment horizontal="left" vertical="center" wrapText="1" indent="1"/>
    </xf>
    <xf numFmtId="49" fontId="29" fillId="14" borderId="36">
      <alignment horizontal="left" vertical="center" indent="2"/>
    </xf>
    <xf numFmtId="0" fontId="51" fillId="12" borderId="20">
      <alignment horizontal="center" vertical="top" wrapText="1"/>
    </xf>
    <xf numFmtId="49" fontId="5" fillId="12" borderId="21">
      <alignment horizontal="center" vertical="center" wrapText="1"/>
    </xf>
    <xf numFmtId="0" fontId="5" fillId="10" borderId="21">
      <alignment horizontal="left" vertical="center" wrapText="1" indent="1"/>
    </xf>
    <xf numFmtId="0" fontId="9" fillId="0" borderId="14" applyFill="0">
      <alignment vertical="top" wrapText="1"/>
    </xf>
    <xf numFmtId="49" fontId="5" fillId="12" borderId="12">
      <alignment horizontal="center" vertical="center" wrapText="1"/>
    </xf>
    <xf numFmtId="49" fontId="18" fillId="8" borderId="14">
      <alignment horizontal="left" vertical="center" wrapText="1"/>
      <protection locked="0"/>
    </xf>
    <xf numFmtId="49" fontId="9" fillId="0" borderId="17" applyFill="0">
      <alignment vertical="top"/>
    </xf>
    <xf numFmtId="49" fontId="9" fillId="0" borderId="0" applyFill="0" applyBorder="0">
      <alignment vertical="top" wrapText="1"/>
    </xf>
    <xf numFmtId="0" fontId="19" fillId="0" borderId="14" applyFill="0">
      <alignment horizontal="center" vertical="center"/>
    </xf>
    <xf numFmtId="49" fontId="9" fillId="0" borderId="20" applyFill="0">
      <alignment vertical="top"/>
    </xf>
    <xf numFmtId="0" fontId="9" fillId="12" borderId="14">
      <alignment horizontal="left" vertical="center" wrapText="1"/>
    </xf>
    <xf numFmtId="0" fontId="9" fillId="0" borderId="14" applyFill="0">
      <alignment horizontal="left" vertical="center" wrapText="1" indent="6"/>
    </xf>
    <xf numFmtId="0" fontId="9" fillId="10" borderId="12">
      <alignment horizontal="left" vertical="center" wrapText="1"/>
    </xf>
    <xf numFmtId="0" fontId="9" fillId="10" borderId="16">
      <alignment horizontal="left" vertical="center" wrapText="1"/>
    </xf>
    <xf numFmtId="0" fontId="9" fillId="10" borderId="11">
      <alignment horizontal="left" vertical="center" wrapText="1"/>
    </xf>
    <xf numFmtId="0" fontId="30" fillId="0" borderId="14" applyFill="0">
      <alignment vertical="top" wrapText="1"/>
    </xf>
    <xf numFmtId="0" fontId="19" fillId="0" borderId="12" applyFill="0">
      <alignment horizontal="center" vertical="center"/>
    </xf>
    <xf numFmtId="0" fontId="27" fillId="12" borderId="0" applyBorder="0">
      <alignment horizontal="center" vertical="center" wrapText="1"/>
    </xf>
    <xf numFmtId="0" fontId="9" fillId="0" borderId="20" applyFill="0">
      <alignment vertical="center" wrapText="1"/>
    </xf>
    <xf numFmtId="0" fontId="9" fillId="12" borderId="14">
      <alignment horizontal="left" vertical="center" wrapText="1" indent="1"/>
    </xf>
    <xf numFmtId="0" fontId="9" fillId="12" borderId="14">
      <alignment horizontal="left" vertical="center" wrapText="1" indent="2"/>
    </xf>
    <xf numFmtId="0" fontId="9" fillId="12" borderId="14">
      <alignment horizontal="left" vertical="center" wrapText="1" indent="3"/>
    </xf>
    <xf numFmtId="0" fontId="19" fillId="0" borderId="0" applyFill="0" applyBorder="0">
      <alignment horizontal="center" vertical="center"/>
    </xf>
    <xf numFmtId="0" fontId="25" fillId="0" borderId="20" applyFill="0">
      <alignment horizontal="center" vertical="center" wrapText="1"/>
    </xf>
    <xf numFmtId="0" fontId="9" fillId="12" borderId="14">
      <alignment horizontal="left" vertical="center" wrapText="1" indent="4"/>
    </xf>
    <xf numFmtId="0" fontId="9" fillId="13" borderId="16">
      <alignment horizontal="left" vertical="center" wrapText="1"/>
    </xf>
    <xf numFmtId="0" fontId="9" fillId="13" borderId="11">
      <alignment horizontal="left" vertical="center" wrapText="1"/>
    </xf>
    <xf numFmtId="0" fontId="19" fillId="0" borderId="12" applyFill="0">
      <alignment horizontal="center" vertical="center" wrapText="1"/>
    </xf>
    <xf numFmtId="0" fontId="25" fillId="0" borderId="20" applyFill="0">
      <alignment vertical="center" wrapText="1"/>
    </xf>
    <xf numFmtId="0" fontId="9" fillId="12" borderId="14">
      <alignment horizontal="left" vertical="center" wrapText="1" indent="5"/>
    </xf>
    <xf numFmtId="0" fontId="9" fillId="13" borderId="14">
      <alignment horizontal="left" vertical="center" wrapText="1" indent="6"/>
    </xf>
    <xf numFmtId="4" fontId="9" fillId="8" borderId="14">
      <alignment horizontal="right" vertical="center" wrapText="1"/>
      <protection locked="0"/>
    </xf>
    <xf numFmtId="4" fontId="9" fillId="0" borderId="14" applyFill="0">
      <alignment horizontal="right" vertical="center" wrapText="1"/>
    </xf>
    <xf numFmtId="166" fontId="9" fillId="8" borderId="14">
      <alignment horizontal="right" vertical="center" wrapText="1"/>
      <protection locked="0"/>
    </xf>
    <xf numFmtId="0" fontId="30" fillId="0" borderId="23" applyFill="0">
      <alignment horizontal="left" vertical="top" wrapText="1"/>
    </xf>
    <xf numFmtId="4" fontId="25" fillId="0" borderId="14" applyFill="0">
      <alignment horizontal="center" vertical="center" wrapText="1"/>
    </xf>
    <xf numFmtId="0" fontId="30" fillId="0" borderId="33" applyFill="0">
      <alignment horizontal="left" vertical="top" wrapText="1"/>
    </xf>
    <xf numFmtId="49" fontId="38" fillId="14" borderId="12">
      <alignment horizontal="left" vertical="center"/>
    </xf>
    <xf numFmtId="49" fontId="29" fillId="14" borderId="16">
      <alignment horizontal="left" vertical="center" indent="6"/>
    </xf>
    <xf numFmtId="49" fontId="9" fillId="14" borderId="11">
      <alignment horizontal="center" vertical="center" wrapText="1"/>
    </xf>
    <xf numFmtId="0" fontId="30" fillId="0" borderId="21" applyFill="0">
      <alignment horizontal="left" vertical="top" wrapText="1"/>
    </xf>
    <xf numFmtId="49" fontId="29" fillId="14" borderId="16">
      <alignment horizontal="left" vertical="center" indent="5"/>
    </xf>
    <xf numFmtId="49" fontId="5" fillId="14" borderId="16">
      <alignment horizontal="center" vertical="center" wrapText="1"/>
    </xf>
    <xf numFmtId="49" fontId="5" fillId="14" borderId="11">
      <alignment horizontal="center" vertical="center" wrapText="1"/>
    </xf>
    <xf numFmtId="49" fontId="29" fillId="14" borderId="16">
      <alignment horizontal="left" vertical="center" indent="4"/>
    </xf>
    <xf numFmtId="49" fontId="61" fillId="0" borderId="17" applyFill="0">
      <alignment horizontal="left" vertical="center"/>
    </xf>
    <xf numFmtId="49" fontId="25" fillId="0" borderId="17" applyFill="0">
      <alignment horizontal="left" vertical="center" indent="3"/>
    </xf>
    <xf numFmtId="49" fontId="25" fillId="0" borderId="17" applyFill="0">
      <alignment horizontal="center" vertical="center" wrapText="1"/>
    </xf>
    <xf numFmtId="49" fontId="25" fillId="0" borderId="0" applyFill="0" applyBorder="0">
      <alignment horizontal="left" vertical="center" indent="2"/>
    </xf>
    <xf numFmtId="49" fontId="25" fillId="0" borderId="0" applyFill="0" applyBorder="0">
      <alignment horizontal="left" vertical="center" indent="1"/>
    </xf>
    <xf numFmtId="166" fontId="19" fillId="0" borderId="14" applyFill="0">
      <alignment horizontal="right" vertical="center" wrapText="1"/>
    </xf>
    <xf numFmtId="164" fontId="19" fillId="0" borderId="14" applyFill="0">
      <alignment horizontal="center" vertical="center" wrapText="1"/>
    </xf>
    <xf numFmtId="49" fontId="19" fillId="0" borderId="14" applyFill="0">
      <alignment vertical="center" wrapText="1"/>
    </xf>
    <xf numFmtId="0" fontId="9" fillId="12" borderId="0" applyBorder="0">
      <alignment horizontal="left" vertical="center" wrapText="1"/>
    </xf>
    <xf numFmtId="0" fontId="5" fillId="12" borderId="14">
      <alignment horizontal="right" vertical="center" wrapText="1" indent="1"/>
    </xf>
    <xf numFmtId="0" fontId="5" fillId="0" borderId="16" applyFill="0">
      <alignment vertical="center"/>
    </xf>
    <xf numFmtId="0" fontId="9" fillId="12" borderId="36">
      <alignment vertical="center" wrapText="1"/>
    </xf>
    <xf numFmtId="0" fontId="31" fillId="0" borderId="36" applyFill="0">
      <alignment horizontal="center" vertical="center" wrapText="1"/>
    </xf>
    <xf numFmtId="0" fontId="5" fillId="12" borderId="12">
      <alignment horizontal="center" vertical="center" wrapText="1"/>
    </xf>
    <xf numFmtId="0" fontId="5" fillId="12" borderId="16">
      <alignment horizontal="center" vertical="center" wrapText="1"/>
    </xf>
    <xf numFmtId="0" fontId="5" fillId="12" borderId="11">
      <alignment horizontal="center" vertical="center" wrapText="1"/>
    </xf>
    <xf numFmtId="49" fontId="29" fillId="14" borderId="23">
      <alignment horizontal="center" vertical="center" textRotation="90" wrapText="1"/>
    </xf>
    <xf numFmtId="0" fontId="19" fillId="0" borderId="23" applyFill="0">
      <alignment horizontal="center" vertical="center" wrapText="1"/>
    </xf>
    <xf numFmtId="0" fontId="9" fillId="12" borderId="33">
      <alignment horizontal="center" vertical="center" wrapText="1"/>
    </xf>
    <xf numFmtId="49" fontId="29" fillId="14" borderId="33">
      <alignment horizontal="center" vertical="center" textRotation="90" wrapText="1"/>
    </xf>
    <xf numFmtId="0" fontId="9" fillId="0" borderId="21" applyFill="0">
      <alignment vertical="center" wrapText="1"/>
    </xf>
    <xf numFmtId="49" fontId="29" fillId="14" borderId="21">
      <alignment horizontal="center" vertical="center" textRotation="90" wrapText="1"/>
    </xf>
    <xf numFmtId="0" fontId="62" fillId="12" borderId="0" applyBorder="0">
      <alignment vertical="center" wrapText="1"/>
    </xf>
    <xf numFmtId="0" fontId="63" fillId="12" borderId="0" applyBorder="0">
      <alignment vertical="center" wrapText="1"/>
    </xf>
    <xf numFmtId="49" fontId="46" fillId="12" borderId="17">
      <alignment horizontal="left" vertical="center" wrapText="1"/>
    </xf>
    <xf numFmtId="49" fontId="46" fillId="12" borderId="17">
      <alignment horizontal="center" vertical="center" wrapText="1"/>
    </xf>
    <xf numFmtId="0" fontId="25" fillId="12" borderId="17">
      <alignment horizontal="center" vertical="center" wrapText="1"/>
    </xf>
    <xf numFmtId="0" fontId="46" fillId="12" borderId="17">
      <alignment horizontal="center" vertical="center" wrapText="1"/>
    </xf>
    <xf numFmtId="0" fontId="19" fillId="0" borderId="0" applyFill="0" applyBorder="0">
      <alignment horizontal="left" vertical="center" indent="1"/>
    </xf>
    <xf numFmtId="164" fontId="5" fillId="11" borderId="23">
      <alignment horizontal="center" vertical="center" wrapText="1"/>
      <protection locked="0"/>
    </xf>
    <xf numFmtId="4" fontId="9" fillId="0" borderId="23" applyFill="0">
      <alignment horizontal="right" vertical="center" wrapText="1"/>
    </xf>
    <xf numFmtId="49" fontId="5" fillId="11" borderId="21">
      <alignment horizontal="center" vertical="center" wrapText="1"/>
      <protection locked="0"/>
    </xf>
    <xf numFmtId="4" fontId="9" fillId="0" borderId="21" applyFill="0">
      <alignment horizontal="right" vertical="center" wrapText="1"/>
    </xf>
    <xf numFmtId="166" fontId="9" fillId="0" borderId="14" applyFill="0">
      <alignment horizontal="right" vertical="center" wrapText="1"/>
    </xf>
    <xf numFmtId="0" fontId="5" fillId="12" borderId="17">
      <alignment horizontal="center" vertical="center" wrapText="1"/>
    </xf>
    <xf numFmtId="0" fontId="25" fillId="0" borderId="23" applyFill="0">
      <alignment horizontal="center" vertical="center" wrapText="1"/>
    </xf>
    <xf numFmtId="0" fontId="25" fillId="0" borderId="14" applyFill="0">
      <alignment horizontal="left" vertical="center" wrapText="1" indent="4"/>
    </xf>
    <xf numFmtId="0" fontId="25" fillId="0" borderId="14" applyFill="0">
      <alignment horizontal="left" vertical="center" wrapText="1" indent="6"/>
    </xf>
    <xf numFmtId="0" fontId="25" fillId="0" borderId="12" applyFill="0">
      <alignment horizontal="left" vertical="center" wrapText="1"/>
    </xf>
    <xf numFmtId="0" fontId="25" fillId="0" borderId="16" applyFill="0">
      <alignment horizontal="left" vertical="center" wrapText="1"/>
    </xf>
    <xf numFmtId="0" fontId="25" fillId="0" borderId="11" applyFill="0">
      <alignment horizontal="left" vertical="center" wrapText="1"/>
    </xf>
    <xf numFmtId="0" fontId="25" fillId="0" borderId="14" applyFill="0">
      <alignment vertical="top" wrapText="1"/>
    </xf>
    <xf numFmtId="49" fontId="61" fillId="0" borderId="12" applyFill="0">
      <alignment horizontal="left" vertical="center"/>
    </xf>
    <xf numFmtId="49" fontId="25" fillId="0" borderId="16" applyFill="0">
      <alignment horizontal="left" vertical="center" indent="4"/>
    </xf>
    <xf numFmtId="49" fontId="25" fillId="0" borderId="16" applyFill="0">
      <alignment horizontal="center" vertical="center" wrapText="1"/>
    </xf>
    <xf numFmtId="49" fontId="25" fillId="0" borderId="11" applyFill="0">
      <alignment horizontal="center" vertical="center" wrapText="1"/>
    </xf>
    <xf numFmtId="0" fontId="25" fillId="0" borderId="0" applyFill="0" applyBorder="0">
      <alignment horizontal="center" vertical="center"/>
    </xf>
    <xf numFmtId="0" fontId="9" fillId="12" borderId="23">
      <alignment horizontal="left" vertical="center" wrapText="1"/>
    </xf>
    <xf numFmtId="0" fontId="9" fillId="12" borderId="23">
      <alignment horizontal="left" vertical="center" wrapText="1" indent="2"/>
    </xf>
    <xf numFmtId="0" fontId="9" fillId="0" borderId="23" applyFill="0">
      <alignment horizontal="left" vertical="center" wrapText="1" indent="6"/>
    </xf>
    <xf numFmtId="0" fontId="9" fillId="10" borderId="24">
      <alignment horizontal="left" vertical="center" wrapText="1"/>
    </xf>
    <xf numFmtId="0" fontId="9" fillId="10" borderId="17">
      <alignment horizontal="left" vertical="center" wrapText="1"/>
    </xf>
    <xf numFmtId="0" fontId="9" fillId="10" borderId="18">
      <alignment horizontal="left" vertical="center" wrapText="1"/>
    </xf>
    <xf numFmtId="0" fontId="9" fillId="10" borderId="14">
      <alignment horizontal="left" vertical="center" wrapText="1"/>
    </xf>
    <xf numFmtId="0" fontId="30" fillId="0" borderId="11" applyFill="0">
      <alignment vertical="top" wrapText="1"/>
    </xf>
    <xf numFmtId="0" fontId="25" fillId="0" borderId="11" applyFill="0">
      <alignment vertical="top" wrapText="1"/>
    </xf>
    <xf numFmtId="0" fontId="9" fillId="12" borderId="21">
      <alignment horizontal="left" vertical="center" wrapText="1"/>
    </xf>
    <xf numFmtId="0" fontId="9" fillId="13" borderId="21">
      <alignment horizontal="left" vertical="center" wrapText="1" indent="6"/>
    </xf>
    <xf numFmtId="0" fontId="9" fillId="0" borderId="21" applyFill="0">
      <alignment horizontal="left" vertical="center" wrapText="1" indent="6"/>
    </xf>
    <xf numFmtId="4" fontId="9" fillId="8" borderId="21">
      <alignment horizontal="right" vertical="center" wrapText="1"/>
      <protection locked="0"/>
    </xf>
    <xf numFmtId="166" fontId="9" fillId="8" borderId="21">
      <alignment horizontal="right" vertical="center" wrapText="1"/>
      <protection locked="0"/>
    </xf>
    <xf numFmtId="164" fontId="5" fillId="11" borderId="21">
      <alignment horizontal="center" vertical="center" wrapText="1"/>
      <protection locked="0"/>
    </xf>
    <xf numFmtId="0" fontId="9" fillId="0" borderId="14" applyFill="0">
      <alignment horizontal="center" vertical="center"/>
    </xf>
    <xf numFmtId="0" fontId="9" fillId="0" borderId="12" applyFill="0">
      <alignment horizontal="center" vertical="center"/>
    </xf>
    <xf numFmtId="0" fontId="9" fillId="0" borderId="0" applyFill="0" applyBorder="0">
      <alignment horizontal="center" vertical="center"/>
    </xf>
    <xf numFmtId="0" fontId="9" fillId="13" borderId="18">
      <alignment horizontal="left" vertical="center" wrapText="1"/>
    </xf>
    <xf numFmtId="166" fontId="9" fillId="8" borderId="12">
      <alignment horizontal="right" vertical="center" wrapText="1"/>
      <protection locked="0"/>
    </xf>
    <xf numFmtId="4" fontId="9" fillId="8" borderId="11">
      <alignment horizontal="right" vertical="center" wrapText="1"/>
      <protection locked="0"/>
    </xf>
    <xf numFmtId="0" fontId="30" fillId="0" borderId="23" applyFill="0">
      <alignment vertical="top" wrapText="1"/>
    </xf>
    <xf numFmtId="0" fontId="9" fillId="8" borderId="14">
      <alignment horizontal="left" vertical="center" wrapText="1" indent="7"/>
      <protection locked="0"/>
    </xf>
    <xf numFmtId="4" fontId="25" fillId="0" borderId="12" applyFill="0">
      <alignment horizontal="center" vertical="center" wrapText="1"/>
    </xf>
    <xf numFmtId="4" fontId="9" fillId="0" borderId="11" applyFill="0">
      <alignment horizontal="right" vertical="center" wrapText="1"/>
    </xf>
    <xf numFmtId="0" fontId="9" fillId="14" borderId="16">
      <alignment horizontal="left" vertical="center" wrapText="1" indent="6"/>
    </xf>
    <xf numFmtId="4" fontId="9" fillId="14" borderId="16">
      <alignment horizontal="right" vertical="center" wrapText="1"/>
    </xf>
    <xf numFmtId="4" fontId="25" fillId="14" borderId="16">
      <alignment horizontal="center" vertical="center" wrapText="1"/>
    </xf>
    <xf numFmtId="4" fontId="9" fillId="14" borderId="11">
      <alignment horizontal="right" vertical="center" wrapText="1"/>
    </xf>
    <xf numFmtId="49" fontId="9" fillId="14" borderId="36">
      <alignment horizontal="center" vertical="center" wrapText="1"/>
    </xf>
    <xf numFmtId="49" fontId="9" fillId="0" borderId="14" applyFill="0">
      <alignment vertical="center" wrapText="1"/>
    </xf>
    <xf numFmtId="0" fontId="9" fillId="0" borderId="17" applyFill="0">
      <alignment horizontal="center" vertical="center" wrapText="1"/>
    </xf>
    <xf numFmtId="0" fontId="9" fillId="0" borderId="36" applyFill="0">
      <alignment horizontal="center" vertical="center" wrapText="1"/>
    </xf>
    <xf numFmtId="0" fontId="36" fillId="0" borderId="0" applyFill="0" applyBorder="0">
      <alignment horizontal="left" vertical="center" indent="1"/>
    </xf>
    <xf numFmtId="0" fontId="36" fillId="0" borderId="0" applyFill="0" applyBorder="0">
      <alignment horizontal="center" vertical="center"/>
    </xf>
    <xf numFmtId="0" fontId="26" fillId="12" borderId="0" applyBorder="0">
      <alignment horizontal="center" vertical="center" wrapText="1"/>
    </xf>
    <xf numFmtId="0" fontId="25" fillId="0" borderId="14" applyFill="0">
      <alignment horizontal="left" vertical="center" wrapText="1" indent="5"/>
    </xf>
    <xf numFmtId="0" fontId="25" fillId="0" borderId="20" applyFill="0">
      <alignment horizontal="center" vertical="top" wrapText="1"/>
    </xf>
    <xf numFmtId="49" fontId="9" fillId="11" borderId="23">
      <alignment horizontal="left" vertical="center" wrapText="1" indent="6"/>
      <protection locked="0"/>
    </xf>
    <xf numFmtId="0" fontId="31" fillId="0" borderId="14" applyFill="0">
      <alignment horizontal="center" vertical="center" wrapText="1"/>
    </xf>
    <xf numFmtId="0" fontId="9" fillId="0" borderId="14" applyFill="0">
      <alignment horizontal="left" vertical="center" wrapText="1" indent="4"/>
    </xf>
    <xf numFmtId="0" fontId="9" fillId="12" borderId="33">
      <alignment horizontal="left" vertical="center" wrapText="1"/>
    </xf>
    <xf numFmtId="49" fontId="9" fillId="11" borderId="33">
      <alignment horizontal="left" vertical="center" wrapText="1" indent="6"/>
      <protection locked="0"/>
    </xf>
    <xf numFmtId="166" fontId="9" fillId="14" borderId="11">
      <alignment horizontal="right" vertical="center" wrapText="1"/>
    </xf>
    <xf numFmtId="166" fontId="9" fillId="14" borderId="16">
      <alignment horizontal="right" vertical="center" wrapText="1"/>
    </xf>
    <xf numFmtId="4" fontId="9" fillId="0" borderId="33" applyFill="0">
      <alignment horizontal="right" vertical="center" wrapText="1"/>
    </xf>
    <xf numFmtId="49" fontId="29" fillId="14" borderId="12">
      <alignment horizontal="left" vertical="center" indent="1"/>
    </xf>
    <xf numFmtId="49" fontId="9" fillId="11" borderId="21">
      <alignment horizontal="left" vertical="center" wrapText="1" indent="6"/>
      <protection locked="0"/>
    </xf>
    <xf numFmtId="4" fontId="25" fillId="14" borderId="11">
      <alignment horizontal="center" vertical="center" wrapText="1"/>
    </xf>
    <xf numFmtId="49" fontId="29" fillId="14" borderId="12">
      <alignment vertical="center" wrapText="1"/>
    </xf>
    <xf numFmtId="49" fontId="29" fillId="14" borderId="16">
      <alignment vertical="center" wrapText="1"/>
    </xf>
    <xf numFmtId="49" fontId="25" fillId="0" borderId="20" applyFill="0">
      <alignment vertical="top"/>
    </xf>
    <xf numFmtId="49" fontId="25" fillId="0" borderId="0" applyFill="0" applyBorder="0">
      <alignment horizontal="center" vertical="center" wrapText="1"/>
    </xf>
    <xf numFmtId="0" fontId="25" fillId="0" borderId="20" applyFill="0">
      <alignment horizontal="left" vertical="center" wrapText="1" indent="1"/>
    </xf>
    <xf numFmtId="166" fontId="25" fillId="0" borderId="14" applyFill="0">
      <alignment horizontal="right" vertical="center" wrapText="1"/>
    </xf>
    <xf numFmtId="164" fontId="25" fillId="0" borderId="14" applyFill="0">
      <alignment horizontal="center" vertical="center" wrapText="1"/>
    </xf>
    <xf numFmtId="0" fontId="19" fillId="0" borderId="0" applyFill="0" applyBorder="0">
      <alignment horizontal="left" vertical="center"/>
    </xf>
    <xf numFmtId="0" fontId="64" fillId="12" borderId="0" applyBorder="0">
      <alignment vertical="center" wrapText="1"/>
    </xf>
    <xf numFmtId="0" fontId="9" fillId="12" borderId="24">
      <alignment horizontal="center" vertical="center" wrapText="1"/>
    </xf>
    <xf numFmtId="0" fontId="5" fillId="12" borderId="24">
      <alignment horizontal="center" vertical="center" wrapText="1"/>
    </xf>
    <xf numFmtId="0" fontId="5" fillId="12" borderId="18">
      <alignment horizontal="center" vertical="center" wrapText="1"/>
    </xf>
    <xf numFmtId="0" fontId="9" fillId="12" borderId="19">
      <alignment horizontal="center" vertical="center" wrapText="1"/>
    </xf>
    <xf numFmtId="0" fontId="5" fillId="12" borderId="19">
      <alignment horizontal="center" vertical="center" wrapText="1"/>
    </xf>
    <xf numFmtId="0" fontId="5" fillId="12" borderId="0" applyBorder="0">
      <alignment horizontal="center" vertical="center" wrapText="1"/>
    </xf>
    <xf numFmtId="0" fontId="5" fillId="12" borderId="20">
      <alignment horizontal="center" vertical="center" wrapText="1"/>
    </xf>
    <xf numFmtId="0" fontId="9" fillId="10" borderId="14">
      <alignment horizontal="center" vertical="center" wrapText="1"/>
    </xf>
    <xf numFmtId="0" fontId="9" fillId="11" borderId="14">
      <alignment horizontal="center" vertical="center" wrapText="1"/>
      <protection locked="0"/>
    </xf>
    <xf numFmtId="0" fontId="9" fillId="12" borderId="26">
      <alignment horizontal="center" vertical="center" wrapText="1"/>
    </xf>
    <xf numFmtId="0" fontId="5" fillId="12" borderId="26">
      <alignment horizontal="center" vertical="center" wrapText="1"/>
    </xf>
    <xf numFmtId="0" fontId="5" fillId="12" borderId="36">
      <alignment horizontal="center" vertical="center" wrapText="1"/>
    </xf>
    <xf numFmtId="0" fontId="5" fillId="12" borderId="25">
      <alignment horizontal="center" vertical="center" wrapText="1"/>
    </xf>
    <xf numFmtId="0" fontId="9" fillId="0" borderId="14" applyFill="0">
      <alignment horizontal="left" vertical="center" wrapText="1" indent="1"/>
    </xf>
    <xf numFmtId="49" fontId="9" fillId="14" borderId="12">
      <alignment horizontal="center" vertical="center" wrapText="1"/>
    </xf>
    <xf numFmtId="49" fontId="36" fillId="0" borderId="20" applyFill="0">
      <alignment vertical="top"/>
    </xf>
    <xf numFmtId="0" fontId="64" fillId="0" borderId="0" applyFill="0" applyBorder="0">
      <alignment vertical="center" wrapText="1"/>
    </xf>
    <xf numFmtId="0" fontId="3" fillId="0" borderId="17" applyFill="0">
      <alignment horizontal="left" vertical="center" wrapText="1" indent="1"/>
    </xf>
    <xf numFmtId="0" fontId="3" fillId="0" borderId="36" applyFill="0">
      <alignment horizontal="left" vertical="center" wrapText="1" indent="1"/>
    </xf>
    <xf numFmtId="4" fontId="9" fillId="10" borderId="14">
      <alignment horizontal="left" vertical="center" wrapText="1"/>
    </xf>
    <xf numFmtId="49" fontId="65" fillId="14" borderId="12">
      <alignment horizontal="left" vertical="center"/>
    </xf>
    <xf numFmtId="49" fontId="66" fillId="14" borderId="16">
      <alignment horizontal="left" vertical="center" indent="3"/>
    </xf>
    <xf numFmtId="49" fontId="36" fillId="14" borderId="16">
      <alignment horizontal="center" vertical="center" wrapText="1"/>
    </xf>
    <xf numFmtId="49" fontId="37" fillId="14" borderId="16">
      <alignment horizontal="center" vertical="center" wrapText="1"/>
    </xf>
    <xf numFmtId="49" fontId="37" fillId="14" borderId="11">
      <alignment horizontal="center" vertical="center" wrapText="1"/>
    </xf>
    <xf numFmtId="49" fontId="66" fillId="14" borderId="16">
      <alignment horizontal="left" vertical="center" indent="2"/>
    </xf>
    <xf numFmtId="49" fontId="66" fillId="14" borderId="16">
      <alignment horizontal="left" vertical="center" indent="1"/>
    </xf>
    <xf numFmtId="49" fontId="37" fillId="14" borderId="12">
      <alignment horizontal="left" vertical="top"/>
    </xf>
    <xf numFmtId="49" fontId="66" fillId="14" borderId="16">
      <alignment horizontal="left" vertical="center"/>
    </xf>
    <xf numFmtId="49" fontId="9" fillId="8" borderId="23">
      <alignment horizontal="left" vertical="center" wrapText="1" indent="6"/>
      <protection locked="0"/>
    </xf>
    <xf numFmtId="4" fontId="9" fillId="11" borderId="14">
      <alignment horizontal="left" vertical="center" wrapText="1" indent="1"/>
      <protection locked="0"/>
    </xf>
    <xf numFmtId="0" fontId="9" fillId="0" borderId="0" applyFill="0" applyBorder="0">
      <alignment horizontal="left" vertical="center"/>
    </xf>
    <xf numFmtId="0" fontId="9" fillId="11" borderId="11">
      <alignment horizontal="center" vertical="center" wrapText="1"/>
      <protection locked="0"/>
    </xf>
    <xf numFmtId="0" fontId="9" fillId="12" borderId="25">
      <alignment horizontal="center" vertical="center" wrapText="1"/>
    </xf>
    <xf numFmtId="49" fontId="67" fillId="0" borderId="0" applyFill="0" applyBorder="0">
      <alignment horizontal="center" vertical="center" wrapText="1"/>
    </xf>
    <xf numFmtId="0" fontId="5" fillId="0" borderId="14" applyFill="0">
      <alignment horizontal="left" vertical="center" wrapText="1" indent="2"/>
    </xf>
    <xf numFmtId="164" fontId="5" fillId="11" borderId="14">
      <alignment horizontal="left" vertical="center" wrapText="1"/>
      <protection locked="0"/>
    </xf>
    <xf numFmtId="49" fontId="29" fillId="14" borderId="16">
      <alignment horizontal="left" vertical="center" indent="3"/>
    </xf>
    <xf numFmtId="0" fontId="9" fillId="0" borderId="0" applyFill="0" applyBorder="0">
      <alignment horizontal="right" vertical="top" wrapText="1"/>
    </xf>
    <xf numFmtId="0" fontId="5" fillId="0" borderId="14" applyFill="0">
      <alignment horizontal="left" vertical="top" wrapText="1"/>
    </xf>
    <xf numFmtId="0" fontId="9" fillId="0" borderId="17" applyFill="0">
      <alignment vertical="center" wrapText="1"/>
    </xf>
    <xf numFmtId="49" fontId="29" fillId="0" borderId="17" applyFill="0">
      <alignment horizontal="left" vertical="center"/>
    </xf>
    <xf numFmtId="49" fontId="29" fillId="0" borderId="17" applyFill="0">
      <alignment horizontal="left" vertical="center" indent="2"/>
    </xf>
    <xf numFmtId="49" fontId="59" fillId="0" borderId="17" applyFill="0">
      <alignment horizontal="center" vertical="top"/>
    </xf>
    <xf numFmtId="0" fontId="9" fillId="0" borderId="17" applyFill="0">
      <alignment horizontal="left" vertical="top" wrapText="1"/>
    </xf>
    <xf numFmtId="0" fontId="9" fillId="0" borderId="12" applyFill="0">
      <alignment vertical="center" wrapText="1"/>
    </xf>
    <xf numFmtId="0" fontId="9" fillId="0" borderId="16" applyFill="0">
      <alignment horizontal="right" vertical="center" wrapText="1" indent="1"/>
    </xf>
    <xf numFmtId="0" fontId="9" fillId="0" borderId="11" applyFill="0">
      <alignment horizontal="right" vertical="center" wrapText="1" indent="1"/>
    </xf>
    <xf numFmtId="0" fontId="9" fillId="10" borderId="12">
      <alignment horizontal="left" vertical="top" wrapText="1" indent="1"/>
    </xf>
    <xf numFmtId="0" fontId="9" fillId="10" borderId="11">
      <alignment horizontal="left" vertical="top" wrapText="1" indent="1"/>
    </xf>
    <xf numFmtId="0" fontId="9" fillId="0" borderId="12" applyFill="0">
      <alignment horizontal="right" vertical="center" wrapText="1"/>
    </xf>
    <xf numFmtId="0" fontId="9" fillId="0" borderId="16" applyFill="0">
      <alignment horizontal="right" vertical="center" wrapText="1"/>
    </xf>
    <xf numFmtId="49" fontId="28" fillId="0" borderId="0" applyFill="0" applyBorder="0">
      <alignment horizontal="center" vertical="center" wrapText="1"/>
    </xf>
    <xf numFmtId="3" fontId="9" fillId="0" borderId="12" applyFill="0">
      <alignment vertical="center" wrapText="1"/>
    </xf>
    <xf numFmtId="3" fontId="9" fillId="8" borderId="12">
      <alignment horizontal="right" vertical="center" wrapText="1"/>
      <protection locked="0"/>
    </xf>
    <xf numFmtId="0" fontId="9" fillId="0" borderId="11" applyFill="0">
      <alignment vertical="center" wrapText="1"/>
    </xf>
    <xf numFmtId="4" fontId="9" fillId="8" borderId="12">
      <alignment horizontal="right" vertical="center" wrapText="1"/>
      <protection locked="0"/>
    </xf>
    <xf numFmtId="4" fontId="9" fillId="0" borderId="12" applyFill="0">
      <alignment horizontal="right" vertical="center" wrapText="1"/>
    </xf>
    <xf numFmtId="4" fontId="9" fillId="0" borderId="26" applyFill="0">
      <alignment horizontal="right" vertical="center" wrapText="1"/>
    </xf>
    <xf numFmtId="0" fontId="68" fillId="0" borderId="0" applyFill="0" applyBorder="0">
      <alignment vertical="center" wrapText="1"/>
    </xf>
    <xf numFmtId="3" fontId="9" fillId="11" borderId="12">
      <alignment vertical="center" wrapText="1"/>
      <protection locked="0"/>
    </xf>
    <xf numFmtId="49" fontId="9" fillId="8" borderId="12">
      <alignment horizontal="left" vertical="center" wrapText="1"/>
      <protection locked="0"/>
    </xf>
    <xf numFmtId="4" fontId="9" fillId="10" borderId="12">
      <alignment horizontal="right" vertical="center" wrapText="1"/>
    </xf>
    <xf numFmtId="0" fontId="19" fillId="0" borderId="14" applyFill="0">
      <alignment vertical="top" wrapText="1"/>
    </xf>
    <xf numFmtId="0" fontId="5" fillId="0" borderId="12" applyFill="0">
      <alignment horizontal="center" vertical="center"/>
    </xf>
    <xf numFmtId="164" fontId="5" fillId="8" borderId="14">
      <alignment horizontal="left" vertical="center" wrapText="1" indent="1"/>
      <protection locked="0"/>
    </xf>
    <xf numFmtId="49" fontId="5" fillId="0" borderId="12" applyFill="0">
      <alignment horizontal="center" vertical="center"/>
    </xf>
    <xf numFmtId="49" fontId="5" fillId="0" borderId="14" applyFill="0">
      <alignment vertical="center" wrapText="1"/>
    </xf>
    <xf numFmtId="0" fontId="19" fillId="14" borderId="11">
      <alignment vertical="center" wrapText="1"/>
    </xf>
    <xf numFmtId="0" fontId="9" fillId="14" borderId="17">
      <alignment vertical="center" wrapText="1"/>
    </xf>
    <xf numFmtId="0" fontId="9" fillId="14" borderId="36">
      <alignment vertical="center" wrapText="1"/>
    </xf>
    <xf numFmtId="0" fontId="9" fillId="8" borderId="12">
      <alignment horizontal="left" vertical="center" wrapText="1"/>
      <protection locked="0"/>
    </xf>
    <xf numFmtId="0" fontId="9" fillId="8" borderId="16">
      <alignment horizontal="left" vertical="center" wrapText="1"/>
      <protection locked="0"/>
    </xf>
    <xf numFmtId="0" fontId="9" fillId="8" borderId="11">
      <alignment horizontal="left" vertical="center" wrapText="1"/>
      <protection locked="0"/>
    </xf>
    <xf numFmtId="49" fontId="9" fillId="8" borderId="16">
      <alignment horizontal="left" vertical="center" wrapText="1"/>
      <protection locked="0"/>
    </xf>
    <xf numFmtId="49" fontId="9" fillId="8" borderId="11">
      <alignment horizontal="left" vertical="center" wrapText="1"/>
      <protection locked="0"/>
    </xf>
    <xf numFmtId="49" fontId="9" fillId="8" borderId="14">
      <alignment horizontal="left" vertical="center" wrapText="1" indent="6"/>
      <protection locked="0"/>
    </xf>
    <xf numFmtId="4" fontId="9" fillId="0" borderId="24" applyFill="0">
      <alignment horizontal="right" vertical="center" wrapText="1"/>
    </xf>
    <xf numFmtId="0" fontId="30" fillId="0" borderId="14" applyFill="0">
      <alignment horizontal="left" vertical="top" wrapText="1"/>
    </xf>
    <xf numFmtId="49" fontId="5" fillId="14" borderId="25">
      <alignment horizontal="center" vertical="center" wrapText="1"/>
    </xf>
    <xf numFmtId="0" fontId="69" fillId="12" borderId="0" applyBorder="0">
      <alignment horizontal="center" vertical="center" wrapText="1"/>
    </xf>
    <xf numFmtId="0" fontId="25" fillId="12" borderId="14">
      <alignment horizontal="left" vertical="center" wrapText="1" indent="3"/>
    </xf>
    <xf numFmtId="4" fontId="9" fillId="11" borderId="14">
      <alignment horizontal="center" vertical="center" wrapText="1"/>
      <protection locked="0"/>
    </xf>
    <xf numFmtId="49" fontId="9" fillId="13" borderId="18">
      <alignment horizontal="center" vertical="center" wrapText="1"/>
    </xf>
    <xf numFmtId="49" fontId="9" fillId="8" borderId="33">
      <alignment horizontal="left" vertical="center" wrapText="1" indent="6"/>
      <protection locked="0"/>
    </xf>
    <xf numFmtId="49" fontId="9" fillId="13" borderId="25">
      <alignment horizontal="center" vertical="center" wrapText="1"/>
    </xf>
    <xf numFmtId="49" fontId="9" fillId="8" borderId="21">
      <alignment horizontal="left" vertical="center" wrapText="1" indent="6"/>
      <protection locked="0"/>
    </xf>
    <xf numFmtId="0" fontId="25" fillId="0" borderId="17" applyFill="0">
      <alignment horizontal="left" vertical="center" wrapText="1"/>
    </xf>
    <xf numFmtId="0" fontId="9" fillId="0" borderId="57" applyFill="0">
      <alignment horizontal="center" vertical="center" wrapText="1"/>
    </xf>
    <xf numFmtId="0" fontId="9" fillId="11" borderId="14">
      <alignment horizontal="left" vertical="center" wrapText="1" indent="2"/>
      <protection locked="0"/>
    </xf>
    <xf numFmtId="0" fontId="25" fillId="0" borderId="57" applyFill="0">
      <alignment horizontal="center" vertical="center" wrapText="1"/>
    </xf>
    <xf numFmtId="0" fontId="25" fillId="0" borderId="14" applyFill="0">
      <alignment horizontal="left" vertical="center" wrapText="1" indent="2"/>
    </xf>
    <xf numFmtId="0" fontId="9" fillId="0" borderId="14" applyFill="0">
      <alignment horizontal="left" vertical="center" wrapText="1" indent="3"/>
    </xf>
    <xf numFmtId="49" fontId="9" fillId="11" borderId="14">
      <alignment horizontal="center" vertical="center" wrapText="1"/>
      <protection locked="0"/>
    </xf>
    <xf numFmtId="0" fontId="9" fillId="8" borderId="14">
      <alignment horizontal="left" vertical="center" wrapText="1"/>
      <protection locked="0"/>
    </xf>
    <xf numFmtId="0" fontId="9" fillId="0" borderId="11" applyFill="0">
      <alignment vertical="top" wrapText="1"/>
    </xf>
    <xf numFmtId="167" fontId="9" fillId="8" borderId="14">
      <alignment horizontal="right" vertical="center" wrapText="1"/>
      <protection locked="0"/>
    </xf>
    <xf numFmtId="0" fontId="9" fillId="0" borderId="18" applyFill="0">
      <alignment vertical="center" wrapText="1"/>
    </xf>
    <xf numFmtId="0" fontId="61" fillId="12" borderId="0" applyBorder="0">
      <alignment horizontal="right" vertical="center"/>
    </xf>
    <xf numFmtId="0" fontId="9" fillId="10" borderId="12">
      <alignment horizontal="left" vertical="top" wrapText="1"/>
    </xf>
    <xf numFmtId="4" fontId="9" fillId="11" borderId="14">
      <alignment horizontal="right" vertical="center" wrapText="1"/>
      <protection locked="0"/>
    </xf>
    <xf numFmtId="49" fontId="15" fillId="7" borderId="0" applyBorder="0">
      <alignment horizontal="center" vertical="center" textRotation="90" wrapText="1"/>
    </xf>
    <xf numFmtId="0" fontId="36" fillId="0" borderId="0" applyFill="0" applyBorder="0">
      <alignment horizontal="center" vertical="center" wrapText="1"/>
    </xf>
    <xf numFmtId="49" fontId="36" fillId="0" borderId="57" applyFill="0">
      <alignment horizontal="center" vertical="center" wrapText="1"/>
    </xf>
    <xf numFmtId="0" fontId="36" fillId="0" borderId="14" applyFill="0">
      <alignment horizontal="left" vertical="center" wrapText="1" indent="2"/>
    </xf>
    <xf numFmtId="0" fontId="36" fillId="0" borderId="14" applyFill="0">
      <alignment horizontal="center" vertical="center" wrapText="1"/>
    </xf>
    <xf numFmtId="0" fontId="36" fillId="0" borderId="14" applyFill="0">
      <alignment vertical="center" wrapText="1"/>
    </xf>
    <xf numFmtId="0" fontId="36" fillId="0" borderId="57" applyFill="0">
      <alignment horizontal="center" vertical="center" wrapText="1"/>
    </xf>
    <xf numFmtId="0" fontId="36" fillId="0" borderId="14" applyFill="0">
      <alignment horizontal="left" vertical="center" wrapText="1" indent="3"/>
    </xf>
    <xf numFmtId="4" fontId="36" fillId="0" borderId="14" applyFill="0">
      <alignment horizontal="right" vertical="center" wrapText="1"/>
    </xf>
    <xf numFmtId="49" fontId="9" fillId="14" borderId="12">
      <alignment vertical="center" wrapText="1"/>
    </xf>
    <xf numFmtId="0" fontId="9" fillId="0" borderId="14" applyFill="0">
      <alignment horizontal="left" vertical="center" wrapText="1" indent="2"/>
    </xf>
    <xf numFmtId="49" fontId="15" fillId="7" borderId="0" applyBorder="0">
      <alignment horizontal="center" vertical="center" wrapText="1"/>
    </xf>
    <xf numFmtId="167" fontId="9" fillId="11" borderId="14">
      <alignment horizontal="right" vertical="center" wrapText="1"/>
      <protection locked="0"/>
    </xf>
    <xf numFmtId="0" fontId="19" fillId="0" borderId="0" applyFill="0" applyBorder="0">
      <alignment horizontal="left" vertical="center" wrapText="1"/>
    </xf>
    <xf numFmtId="4" fontId="9" fillId="10" borderId="23">
      <alignment horizontal="right" vertical="center" wrapText="1"/>
    </xf>
    <xf numFmtId="0" fontId="25" fillId="0" borderId="14" applyFill="0">
      <alignment horizontal="left" vertical="center" wrapText="1" indent="3"/>
    </xf>
    <xf numFmtId="49" fontId="25" fillId="0" borderId="14" applyFill="0">
      <alignment vertical="center" wrapText="1"/>
    </xf>
    <xf numFmtId="0" fontId="25" fillId="0" borderId="23" applyFill="0">
      <alignment vertical="top" wrapText="1"/>
    </xf>
    <xf numFmtId="0" fontId="9" fillId="0" borderId="12" applyFill="0">
      <alignment horizontal="left" vertical="center" wrapText="1" indent="2"/>
    </xf>
    <xf numFmtId="4" fontId="9" fillId="11" borderId="11">
      <alignment horizontal="right" vertical="center" wrapText="1"/>
      <protection locked="0"/>
    </xf>
    <xf numFmtId="0" fontId="9" fillId="0" borderId="12" applyFill="0">
      <alignment horizontal="left" vertical="center" wrapText="1" indent="1"/>
    </xf>
    <xf numFmtId="49" fontId="18" fillId="8" borderId="11">
      <alignment horizontal="left" vertical="center" wrapText="1"/>
      <protection locked="0"/>
    </xf>
    <xf numFmtId="167" fontId="9" fillId="11" borderId="11">
      <alignment horizontal="right" vertical="center" wrapText="1"/>
      <protection locked="0"/>
    </xf>
    <xf numFmtId="167" fontId="9" fillId="10" borderId="11">
      <alignment horizontal="right" vertical="center" wrapText="1"/>
    </xf>
    <xf numFmtId="167" fontId="9" fillId="10" borderId="14">
      <alignment horizontal="right" vertical="center" wrapText="1"/>
    </xf>
    <xf numFmtId="4" fontId="9" fillId="11" borderId="25">
      <alignment horizontal="right" vertical="center" wrapText="1"/>
      <protection locked="0"/>
    </xf>
    <xf numFmtId="4" fontId="9" fillId="11" borderId="21">
      <alignment horizontal="right" vertical="center" wrapText="1"/>
      <protection locked="0"/>
    </xf>
    <xf numFmtId="0" fontId="25" fillId="0" borderId="33" applyFill="0">
      <alignment horizontal="left" vertical="center" wrapText="1" indent="1"/>
    </xf>
    <xf numFmtId="0" fontId="25" fillId="0" borderId="33" applyFill="0">
      <alignment horizontal="center" vertical="center" wrapText="1"/>
    </xf>
    <xf numFmtId="0" fontId="25" fillId="0" borderId="23" applyFill="0">
      <alignment vertical="center" wrapText="1"/>
    </xf>
    <xf numFmtId="49" fontId="9" fillId="14" borderId="24">
      <alignment vertical="center" wrapText="1"/>
    </xf>
    <xf numFmtId="49" fontId="29" fillId="14" borderId="17">
      <alignment horizontal="left" vertical="center" indent="1"/>
    </xf>
    <xf numFmtId="167" fontId="9" fillId="11" borderId="23">
      <alignment horizontal="right" vertical="center" wrapText="1"/>
      <protection locked="0"/>
    </xf>
    <xf numFmtId="0" fontId="25" fillId="0" borderId="21" applyFill="0">
      <alignment horizontal="left" vertical="center" wrapText="1" indent="1"/>
    </xf>
    <xf numFmtId="0" fontId="25" fillId="0" borderId="23" applyFill="0">
      <alignment horizontal="left" vertical="center" wrapText="1" indent="1"/>
    </xf>
    <xf numFmtId="49" fontId="15" fillId="0" borderId="0" applyFill="0" applyBorder="0">
      <alignment horizontal="center" vertical="center" wrapText="1"/>
    </xf>
    <xf numFmtId="0" fontId="48" fillId="0" borderId="0" applyFill="0" applyBorder="0">
      <alignment vertical="center" wrapText="1"/>
    </xf>
    <xf numFmtId="0" fontId="9" fillId="0" borderId="36" applyFill="0">
      <alignment vertical="center" wrapText="1"/>
    </xf>
    <xf numFmtId="0" fontId="65" fillId="12" borderId="0" applyBorder="0">
      <alignment horizontal="right" vertical="center"/>
    </xf>
    <xf numFmtId="49" fontId="25" fillId="0" borderId="23" applyFill="0">
      <alignment horizontal="center" vertical="center" wrapText="1"/>
    </xf>
    <xf numFmtId="49" fontId="25" fillId="0" borderId="33" applyFill="0">
      <alignment horizontal="center" vertical="center" wrapText="1"/>
    </xf>
    <xf numFmtId="49" fontId="25" fillId="0" borderId="21" applyFill="0">
      <alignment horizontal="center" vertical="center" wrapText="1"/>
    </xf>
    <xf numFmtId="49" fontId="29" fillId="0" borderId="17" applyFill="0">
      <alignment horizontal="right" vertical="center"/>
    </xf>
    <xf numFmtId="49" fontId="10" fillId="0" borderId="0" applyFill="0" applyBorder="0">
      <alignment horizontal="center" vertical="center" wrapText="1"/>
    </xf>
    <xf numFmtId="0" fontId="25" fillId="0" borderId="12" applyFill="0">
      <alignment vertical="center" wrapText="1"/>
    </xf>
    <xf numFmtId="0" fontId="25" fillId="0" borderId="16" applyFill="0">
      <alignment horizontal="right" vertical="center" wrapText="1" indent="1"/>
    </xf>
    <xf numFmtId="0" fontId="25" fillId="0" borderId="11" applyFill="0">
      <alignment horizontal="right" vertical="center" wrapText="1" indent="1"/>
    </xf>
    <xf numFmtId="0" fontId="25" fillId="0" borderId="12" applyFill="0">
      <alignment horizontal="left" vertical="top" wrapText="1"/>
    </xf>
    <xf numFmtId="49" fontId="9" fillId="0" borderId="57" applyFill="0">
      <alignment horizontal="center" vertical="center" wrapText="1"/>
    </xf>
    <xf numFmtId="0" fontId="70" fillId="0" borderId="0" applyFill="0" applyBorder="0">
      <alignment vertical="center" wrapText="1"/>
    </xf>
    <xf numFmtId="49" fontId="9" fillId="0" borderId="58" applyFill="0">
      <alignment horizontal="center" vertical="center" wrapText="1"/>
    </xf>
    <xf numFmtId="49" fontId="9" fillId="0" borderId="59" applyFill="0">
      <alignment horizontal="center" vertical="center" wrapText="1"/>
    </xf>
    <xf numFmtId="4" fontId="9" fillId="11" borderId="23">
      <alignment horizontal="right" vertical="center" wrapText="1"/>
      <protection locked="0"/>
    </xf>
    <xf numFmtId="49" fontId="29" fillId="14" borderId="17">
      <alignment horizontal="left" vertical="center" indent="2"/>
    </xf>
    <xf numFmtId="49" fontId="5" fillId="0" borderId="14" applyFill="0">
      <alignment horizontal="left" vertical="center" wrapText="1" indent="2"/>
    </xf>
    <xf numFmtId="49" fontId="9" fillId="0" borderId="60" applyFill="0">
      <alignment horizontal="center" vertical="center" wrapText="1"/>
    </xf>
    <xf numFmtId="0" fontId="25" fillId="0" borderId="36" applyFill="0">
      <alignment vertical="center" wrapText="1"/>
    </xf>
    <xf numFmtId="0" fontId="9" fillId="10" borderId="11">
      <alignment horizontal="left" vertical="top" wrapText="1"/>
    </xf>
    <xf numFmtId="49" fontId="9" fillId="25" borderId="0" applyBorder="0">
      <alignment horizontal="center" vertical="center" textRotation="90" wrapText="1"/>
    </xf>
    <xf numFmtId="49" fontId="18" fillId="8" borderId="12">
      <alignment horizontal="left" vertical="center" wrapText="1"/>
      <protection locked="0"/>
    </xf>
    <xf numFmtId="0" fontId="71" fillId="0" borderId="19" applyFill="0">
      <alignment vertical="center" wrapText="1"/>
    </xf>
    <xf numFmtId="4" fontId="9" fillId="8" borderId="14">
      <alignment horizontal="left" vertical="center" wrapText="1"/>
      <protection locked="0"/>
    </xf>
    <xf numFmtId="4" fontId="9" fillId="8" borderId="12">
      <alignment horizontal="left" vertical="center" wrapText="1"/>
      <protection locked="0"/>
    </xf>
    <xf numFmtId="49" fontId="18" fillId="0" borderId="14" applyFill="0">
      <alignment horizontal="left" vertical="center" wrapText="1"/>
    </xf>
    <xf numFmtId="49" fontId="9" fillId="0" borderId="43" applyFill="0">
      <alignment horizontal="center" vertical="center" wrapText="1"/>
    </xf>
    <xf numFmtId="0" fontId="9" fillId="0" borderId="43" applyFill="0">
      <alignment horizontal="left" vertical="center" wrapText="1"/>
    </xf>
    <xf numFmtId="4" fontId="9" fillId="0" borderId="61" applyFill="0">
      <alignment horizontal="center" vertical="center" wrapText="1"/>
    </xf>
    <xf numFmtId="49" fontId="18" fillId="0" borderId="26" applyFill="0">
      <alignment horizontal="left" vertical="center" wrapText="1"/>
    </xf>
    <xf numFmtId="49" fontId="9" fillId="0" borderId="40" applyFill="0">
      <alignment horizontal="center" vertical="center" wrapText="1"/>
    </xf>
    <xf numFmtId="0" fontId="9" fillId="0" borderId="45" applyFill="0">
      <alignment horizontal="left" vertical="center" wrapText="1" indent="1"/>
    </xf>
    <xf numFmtId="49" fontId="18" fillId="0" borderId="12" applyFill="0">
      <alignment horizontal="left" vertical="center" wrapText="1"/>
    </xf>
    <xf numFmtId="4" fontId="9" fillId="0" borderId="23" applyFill="0">
      <alignment horizontal="center" vertical="center" wrapText="1"/>
    </xf>
    <xf numFmtId="4" fontId="9" fillId="11" borderId="62">
      <alignment horizontal="right" vertical="center" wrapText="1"/>
      <protection locked="0"/>
    </xf>
    <xf numFmtId="0" fontId="9" fillId="0" borderId="45" applyFill="0">
      <alignment horizontal="left" vertical="center" wrapText="1"/>
    </xf>
    <xf numFmtId="49" fontId="18" fillId="0" borderId="16" applyFill="0">
      <alignment horizontal="left" vertical="center" wrapText="1"/>
    </xf>
    <xf numFmtId="0" fontId="9" fillId="0" borderId="40" applyFill="0">
      <alignment horizontal="left" vertical="center" wrapText="1" indent="1"/>
    </xf>
    <xf numFmtId="4" fontId="9" fillId="0" borderId="43" applyFill="0">
      <alignment horizontal="center" vertical="center" wrapText="1"/>
    </xf>
    <xf numFmtId="0" fontId="9" fillId="0" borderId="40" applyFill="0">
      <alignment horizontal="left" vertical="center" wrapText="1"/>
    </xf>
    <xf numFmtId="0" fontId="9" fillId="0" borderId="40" applyFill="0">
      <alignment horizontal="left" vertical="center" wrapText="1" indent="2"/>
    </xf>
    <xf numFmtId="4" fontId="9" fillId="0" borderId="40" applyFill="0">
      <alignment horizontal="center" vertical="center" wrapText="1"/>
    </xf>
    <xf numFmtId="49" fontId="9" fillId="0" borderId="44" applyFill="0">
      <alignment horizontal="center" vertical="center" wrapText="1"/>
    </xf>
    <xf numFmtId="0" fontId="9" fillId="0" borderId="62" applyFill="0">
      <alignment horizontal="left" vertical="center" wrapText="1"/>
    </xf>
    <xf numFmtId="4" fontId="9" fillId="0" borderId="62" applyFill="0">
      <alignment horizontal="center" vertical="center" wrapText="1"/>
    </xf>
    <xf numFmtId="49" fontId="18" fillId="0" borderId="24" applyFill="0">
      <alignment horizontal="left" vertical="center" wrapText="1"/>
    </xf>
    <xf numFmtId="49" fontId="9" fillId="0" borderId="45" applyFill="0">
      <alignment horizontal="center" vertical="center" wrapText="1"/>
    </xf>
    <xf numFmtId="4" fontId="9" fillId="11" borderId="12">
      <alignment horizontal="right" vertical="center" wrapText="1"/>
      <protection locked="0"/>
    </xf>
    <xf numFmtId="4" fontId="9" fillId="0" borderId="45" applyFill="0">
      <alignment horizontal="center" vertical="center" wrapText="1"/>
    </xf>
    <xf numFmtId="4" fontId="9" fillId="11" borderId="44">
      <alignment horizontal="right" vertical="center" wrapText="1"/>
      <protection locked="0"/>
    </xf>
    <xf numFmtId="49" fontId="19" fillId="0" borderId="0" applyFill="0" applyBorder="0">
      <alignment horizontal="center" vertical="center" wrapText="1"/>
    </xf>
    <xf numFmtId="0" fontId="19" fillId="26" borderId="14">
      <alignment horizontal="left" vertical="center" wrapText="1"/>
    </xf>
    <xf numFmtId="0" fontId="9" fillId="22" borderId="14">
      <alignment vertical="center"/>
    </xf>
    <xf numFmtId="49" fontId="5" fillId="4" borderId="14">
      <alignment horizontal="center" vertical="center" wrapText="1"/>
    </xf>
    <xf numFmtId="49" fontId="72" fillId="0" borderId="23" applyFill="0">
      <alignment horizontal="center" vertical="center" wrapText="1"/>
    </xf>
    <xf numFmtId="49" fontId="72" fillId="0" borderId="14" applyFill="0">
      <alignment horizontal="center" vertical="center" wrapText="1"/>
    </xf>
    <xf numFmtId="0" fontId="9" fillId="0" borderId="17" applyFill="0">
      <alignment horizontal="right" vertical="center" wrapText="1" indent="1"/>
    </xf>
    <xf numFmtId="4" fontId="9" fillId="11" borderId="24">
      <alignment horizontal="right" vertical="center" wrapText="1"/>
      <protection locked="0"/>
    </xf>
    <xf numFmtId="0" fontId="19" fillId="14" borderId="16">
      <alignment vertical="center" wrapText="1"/>
    </xf>
    <xf numFmtId="3" fontId="9" fillId="11" borderId="12">
      <alignment horizontal="right" vertical="center" wrapText="1"/>
      <protection locked="0"/>
    </xf>
    <xf numFmtId="0" fontId="9" fillId="12" borderId="18">
      <alignment horizontal="center" vertical="center" wrapText="1"/>
    </xf>
    <xf numFmtId="0" fontId="5" fillId="12" borderId="23">
      <alignment horizontal="center" vertical="center" wrapText="1"/>
    </xf>
    <xf numFmtId="49" fontId="9" fillId="0" borderId="12" applyFill="0">
      <alignment horizontal="center" vertical="center" wrapText="1"/>
    </xf>
    <xf numFmtId="0" fontId="9" fillId="14" borderId="25">
      <alignment vertical="center" wrapText="1"/>
    </xf>
    <xf numFmtId="0" fontId="9" fillId="12" borderId="10">
      <alignment vertical="center" wrapText="1"/>
    </xf>
    <xf numFmtId="49" fontId="38" fillId="0" borderId="10" applyFill="0">
      <alignment vertical="top"/>
    </xf>
    <xf numFmtId="0" fontId="13" fillId="12" borderId="10">
      <alignment horizontal="center" wrapText="1"/>
    </xf>
    <xf numFmtId="0" fontId="9" fillId="0" borderId="6" applyFill="0">
      <alignment horizontal="center" vertical="center"/>
    </xf>
    <xf numFmtId="0" fontId="9" fillId="0" borderId="7" applyFill="0">
      <alignment horizontal="center" vertical="center"/>
    </xf>
    <xf numFmtId="0" fontId="9" fillId="0" borderId="8" applyFill="0">
      <alignment horizontal="center" vertical="center"/>
    </xf>
    <xf numFmtId="0" fontId="9" fillId="0" borderId="4" applyFill="0">
      <alignment vertical="center" wrapText="1"/>
    </xf>
    <xf numFmtId="0" fontId="9" fillId="12" borderId="17">
      <alignment vertical="center" wrapText="1"/>
    </xf>
    <xf numFmtId="0" fontId="25" fillId="0" borderId="10" applyFill="0">
      <alignment vertical="center" wrapText="1"/>
    </xf>
    <xf numFmtId="0" fontId="9" fillId="0" borderId="63" applyFill="0">
      <alignment horizontal="center" vertical="center"/>
    </xf>
    <xf numFmtId="0" fontId="9" fillId="0" borderId="35" applyFill="0">
      <alignment horizontal="center" vertical="center"/>
    </xf>
    <xf numFmtId="0" fontId="9" fillId="0" borderId="4" applyFill="0">
      <alignment vertical="center"/>
    </xf>
    <xf numFmtId="49" fontId="5" fillId="0" borderId="23" applyFill="0">
      <alignment horizontal="center" vertical="center" wrapText="1"/>
    </xf>
    <xf numFmtId="49" fontId="9" fillId="0" borderId="19" applyFill="0">
      <alignment vertical="top"/>
    </xf>
    <xf numFmtId="49" fontId="5" fillId="0" borderId="33" applyFill="0">
      <alignment horizontal="center" vertical="center" wrapText="1"/>
    </xf>
    <xf numFmtId="49" fontId="5" fillId="0" borderId="21" applyFill="0">
      <alignment horizontal="center" vertical="center" wrapText="1"/>
    </xf>
    <xf numFmtId="49" fontId="5" fillId="10" borderId="14">
      <alignment horizontal="center" vertical="center"/>
    </xf>
    <xf numFmtId="4" fontId="5" fillId="8" borderId="14">
      <alignment horizontal="right" vertical="center" wrapText="1"/>
      <protection locked="0"/>
    </xf>
    <xf numFmtId="49" fontId="5" fillId="0" borderId="14" applyFill="0">
      <alignment horizontal="left" vertical="center" wrapText="1" indent="3"/>
    </xf>
    <xf numFmtId="49" fontId="30" fillId="0" borderId="0" applyFill="0" applyBorder="0">
      <alignment vertical="center"/>
    </xf>
    <xf numFmtId="49" fontId="30" fillId="0" borderId="0" applyFill="0" applyBorder="0">
      <alignment vertical="center" wrapText="1"/>
    </xf>
    <xf numFmtId="49" fontId="9" fillId="12" borderId="0" applyBorder="0">
      <alignment horizontal="center" vertical="top" wrapText="1"/>
    </xf>
    <xf numFmtId="0" fontId="9" fillId="0" borderId="18" applyFill="0">
      <alignment horizontal="left" vertical="top" wrapText="1"/>
    </xf>
    <xf numFmtId="49" fontId="9" fillId="0" borderId="0" applyFill="0" applyBorder="0">
      <alignment horizontal="center" vertical="top" wrapText="1"/>
    </xf>
    <xf numFmtId="49" fontId="9" fillId="0" borderId="0" applyFill="0" applyBorder="0">
      <alignment horizontal="center" vertical="center" wrapText="1"/>
    </xf>
    <xf numFmtId="49" fontId="30" fillId="0" borderId="0" applyFill="0" applyBorder="0">
      <alignment horizontal="center" vertical="center" wrapText="1"/>
    </xf>
    <xf numFmtId="0" fontId="9" fillId="18" borderId="12">
      <alignment horizontal="center" vertical="center" wrapText="1"/>
    </xf>
    <xf numFmtId="0" fontId="9" fillId="18" borderId="16">
      <alignment horizontal="center" vertical="center" wrapText="1"/>
    </xf>
    <xf numFmtId="0" fontId="9" fillId="18" borderId="11">
      <alignment horizontal="center" vertical="center" wrapText="1"/>
    </xf>
    <xf numFmtId="49" fontId="19" fillId="17" borderId="12">
      <alignment horizontal="center" vertical="center" wrapText="1"/>
    </xf>
    <xf numFmtId="49" fontId="19" fillId="17" borderId="16">
      <alignment horizontal="center" vertical="center" wrapText="1"/>
    </xf>
    <xf numFmtId="49" fontId="19" fillId="17" borderId="11">
      <alignment horizontal="center" vertical="center" wrapText="1"/>
    </xf>
    <xf numFmtId="49" fontId="19" fillId="19" borderId="12">
      <alignment horizontal="center" vertical="center" wrapText="1"/>
    </xf>
    <xf numFmtId="49" fontId="19" fillId="19" borderId="16">
      <alignment horizontal="center" vertical="center" wrapText="1"/>
    </xf>
    <xf numFmtId="49" fontId="19" fillId="19" borderId="11">
      <alignment horizontal="center" vertical="center" wrapText="1"/>
    </xf>
    <xf numFmtId="49" fontId="9" fillId="20" borderId="12">
      <alignment horizontal="center" vertical="center" wrapText="1"/>
    </xf>
    <xf numFmtId="49" fontId="9" fillId="20" borderId="16">
      <alignment horizontal="center" vertical="center" wrapText="1"/>
    </xf>
    <xf numFmtId="49" fontId="9" fillId="16" borderId="17">
      <alignment horizontal="center" vertical="center" wrapText="1"/>
    </xf>
    <xf numFmtId="49" fontId="9" fillId="16" borderId="0" applyBorder="0">
      <alignment horizontal="center" vertical="center" wrapText="1"/>
    </xf>
    <xf numFmtId="49" fontId="9" fillId="0" borderId="16" applyFill="0">
      <alignment horizontal="center" vertical="center" wrapText="1"/>
    </xf>
    <xf numFmtId="49" fontId="30" fillId="12" borderId="0" applyBorder="0">
      <alignment vertical="center" wrapText="1"/>
    </xf>
    <xf numFmtId="49" fontId="9" fillId="16" borderId="14">
      <alignment horizontal="center" vertical="center" wrapText="1"/>
    </xf>
    <xf numFmtId="0" fontId="9" fillId="16" borderId="14">
      <alignment horizontal="center" vertical="center" wrapText="1"/>
    </xf>
    <xf numFmtId="0" fontId="9" fillId="16" borderId="12">
      <alignment horizontal="center" vertical="center" wrapText="1"/>
    </xf>
    <xf numFmtId="0" fontId="9" fillId="16" borderId="11">
      <alignment horizontal="center" vertical="center" wrapText="1"/>
    </xf>
    <xf numFmtId="49" fontId="9" fillId="16" borderId="36">
      <alignment horizontal="center" vertical="center" wrapText="1"/>
    </xf>
    <xf numFmtId="49" fontId="28" fillId="0" borderId="14" applyFill="0">
      <alignment horizontal="center" vertical="center"/>
    </xf>
    <xf numFmtId="49" fontId="28" fillId="16" borderId="14">
      <alignment horizontal="center" vertical="center"/>
    </xf>
    <xf numFmtId="0" fontId="28" fillId="0" borderId="14" applyFill="0">
      <alignment horizontal="center" vertical="center"/>
    </xf>
    <xf numFmtId="49" fontId="28" fillId="0" borderId="21" applyFill="0">
      <alignment horizontal="center" vertical="center"/>
    </xf>
    <xf numFmtId="49" fontId="19" fillId="0" borderId="23" applyFill="0">
      <alignment horizontal="center" vertical="center"/>
    </xf>
    <xf numFmtId="0" fontId="9" fillId="0" borderId="23" applyFill="0">
      <alignment horizontal="right" vertical="center"/>
    </xf>
    <xf numFmtId="0" fontId="9" fillId="0" borderId="23" applyFill="0">
      <alignment horizontal="center" vertical="center"/>
    </xf>
    <xf numFmtId="4" fontId="30" fillId="12" borderId="0" applyBorder="0">
      <alignment vertical="center"/>
    </xf>
    <xf numFmtId="49" fontId="73" fillId="0" borderId="0" applyFill="0" applyBorder="0">
      <alignment vertical="center" wrapText="1"/>
    </xf>
    <xf numFmtId="0" fontId="74" fillId="12" borderId="0" applyBorder="0">
      <alignment horizontal="center" vertical="center" wrapText="1"/>
    </xf>
    <xf numFmtId="0" fontId="10" fillId="12" borderId="0" applyBorder="0"/>
    <xf numFmtId="49" fontId="9" fillId="0" borderId="0" applyFill="0" applyBorder="0">
      <alignment horizontal="left" vertical="top" wrapText="1"/>
    </xf>
    <xf numFmtId="49" fontId="31" fillId="0" borderId="0" applyFill="0" applyBorder="0">
      <alignment horizontal="center" vertical="center"/>
    </xf>
    <xf numFmtId="0" fontId="9" fillId="0" borderId="0" applyFill="0" applyBorder="0"/>
    <xf numFmtId="0" fontId="31" fillId="12" borderId="0" applyBorder="0">
      <alignment horizontal="center" vertical="center"/>
    </xf>
    <xf numFmtId="0" fontId="9" fillId="12" borderId="23">
      <alignment horizontal="center" vertical="center"/>
    </xf>
    <xf numFmtId="49" fontId="29" fillId="14" borderId="11">
      <alignment horizontal="left" vertical="center"/>
    </xf>
    <xf numFmtId="0" fontId="31" fillId="0" borderId="0" applyFill="0" applyBorder="0">
      <alignment horizontal="center" vertical="center"/>
    </xf>
    <xf numFmtId="49" fontId="9" fillId="12" borderId="14">
      <alignment horizontal="center" vertical="center"/>
    </xf>
    <xf numFmtId="0" fontId="19" fillId="12" borderId="0" applyBorder="0"/>
    <xf numFmtId="0" fontId="75" fillId="12" borderId="0" applyBorder="0"/>
    <xf numFmtId="0" fontId="25" fillId="12" borderId="0" applyBorder="0">
      <alignment horizontal="center" vertical="center" wrapText="1"/>
    </xf>
    <xf numFmtId="0" fontId="5" fillId="12" borderId="23">
      <alignment horizontal="left" vertical="top" wrapText="1"/>
    </xf>
    <xf numFmtId="0" fontId="36" fillId="12" borderId="0" applyBorder="0">
      <alignment vertical="center" wrapText="1"/>
    </xf>
    <xf numFmtId="0" fontId="25" fillId="12" borderId="14">
      <alignment horizontal="center" vertical="center"/>
    </xf>
    <xf numFmtId="0" fontId="5" fillId="12" borderId="33">
      <alignment horizontal="left" vertical="top" wrapText="1"/>
    </xf>
    <xf numFmtId="0" fontId="37" fillId="12" borderId="0" applyBorder="0"/>
    <xf numFmtId="0" fontId="5" fillId="12" borderId="21">
      <alignment horizontal="left" vertical="top" wrapText="1"/>
    </xf>
    <xf numFmtId="0" fontId="70" fillId="12" borderId="0" applyBorder="0"/>
    <xf numFmtId="0" fontId="9" fillId="12" borderId="14">
      <alignment horizontal="left" vertical="top" wrapText="1"/>
    </xf>
    <xf numFmtId="49" fontId="18" fillId="8" borderId="21">
      <alignment horizontal="left" vertical="center" wrapText="1"/>
      <protection locked="0"/>
    </xf>
    <xf numFmtId="0" fontId="9" fillId="12" borderId="14">
      <alignment vertical="top" wrapText="1"/>
    </xf>
    <xf numFmtId="14" fontId="9" fillId="11" borderId="12">
      <alignment horizontal="left" vertical="center" wrapText="1" indent="1"/>
      <protection locked="0"/>
    </xf>
    <xf numFmtId="0" fontId="19" fillId="0" borderId="33" applyFill="0">
      <alignment horizontal="left" vertical="center" wrapText="1" indent="1"/>
    </xf>
    <xf numFmtId="165" fontId="9" fillId="0" borderId="24" applyFill="0">
      <alignment horizontal="center" vertical="center" wrapText="1"/>
    </xf>
    <xf numFmtId="165" fontId="9" fillId="0" borderId="23" applyFill="0">
      <alignment horizontal="center" vertical="center" wrapText="1"/>
    </xf>
    <xf numFmtId="4" fontId="9" fillId="0" borderId="21" applyFill="0">
      <alignment horizontal="center" vertical="center" wrapText="1"/>
    </xf>
    <xf numFmtId="14" fontId="9" fillId="13" borderId="14">
      <alignment horizontal="left" vertical="center" wrapText="1"/>
    </xf>
    <xf numFmtId="14" fontId="9" fillId="11" borderId="14">
      <alignment horizontal="left" vertical="center" wrapText="1" indent="1"/>
      <protection locked="0"/>
    </xf>
    <xf numFmtId="49" fontId="13" fillId="14" borderId="26">
      <alignment horizontal="right" vertical="center" wrapText="1"/>
    </xf>
    <xf numFmtId="49" fontId="5" fillId="14" borderId="36">
      <alignment horizontal="right" vertical="center" wrapText="1"/>
    </xf>
    <xf numFmtId="49" fontId="5" fillId="14" borderId="25">
      <alignment horizontal="right" vertical="center" wrapText="1"/>
    </xf>
    <xf numFmtId="164" fontId="5" fillId="11" borderId="16">
      <alignment horizontal="left" vertical="center" wrapText="1" indent="1"/>
      <protection locked="0"/>
    </xf>
    <xf numFmtId="168" fontId="9" fillId="11" borderId="14">
      <alignment horizontal="left" vertical="center" wrapText="1" indent="1"/>
      <protection locked="0"/>
    </xf>
    <xf numFmtId="0" fontId="76" fillId="0" borderId="0" applyFill="0" applyBorder="0">
      <alignment vertical="center"/>
    </xf>
    <xf numFmtId="164" fontId="25" fillId="0" borderId="0" applyFill="0" applyBorder="0">
      <alignment horizontal="center" vertical="center" wrapText="1"/>
    </xf>
    <xf numFmtId="165" fontId="9" fillId="0" borderId="16" applyFill="0">
      <alignment horizontal="center" vertical="center" wrapText="1"/>
    </xf>
    <xf numFmtId="165" fontId="9" fillId="0" borderId="11" applyFill="0">
      <alignment horizontal="center" vertical="center" wrapText="1"/>
    </xf>
    <xf numFmtId="4" fontId="9" fillId="0" borderId="33" applyFill="0">
      <alignment horizontal="center" vertical="center" wrapText="1"/>
    </xf>
    <xf numFmtId="165" fontId="9" fillId="0" borderId="21" applyFill="0">
      <alignment horizontal="center" vertical="center" wrapText="1"/>
    </xf>
    <xf numFmtId="0" fontId="9" fillId="10" borderId="21">
      <alignment horizontal="left" vertical="center" wrapText="1" indent="1"/>
    </xf>
    <xf numFmtId="14" fontId="9" fillId="11" borderId="21">
      <alignment horizontal="left" vertical="center" wrapText="1" indent="1"/>
      <protection locked="0"/>
    </xf>
    <xf numFmtId="0" fontId="9" fillId="0" borderId="25" applyFill="0">
      <alignment horizontal="left" vertical="top" wrapText="1"/>
    </xf>
    <xf numFmtId="14" fontId="9" fillId="0" borderId="21" applyFill="0">
      <alignment horizontal="left" vertical="center" wrapText="1" indent="1"/>
    </xf>
    <xf numFmtId="49" fontId="18" fillId="14" borderId="36">
      <alignment horizontal="left" vertical="center" wrapText="1"/>
    </xf>
    <xf numFmtId="49" fontId="18" fillId="14" borderId="25">
      <alignment horizontal="left" vertical="center" wrapText="1"/>
    </xf>
    <xf numFmtId="0" fontId="9" fillId="12" borderId="33">
      <alignment vertical="center" wrapText="1"/>
    </xf>
    <xf numFmtId="0" fontId="25" fillId="0" borderId="36" applyFill="0">
      <alignment horizontal="center" vertical="center" wrapText="1"/>
    </xf>
    <xf numFmtId="0" fontId="9" fillId="12" borderId="19">
      <alignment vertical="center" wrapText="1"/>
    </xf>
    <xf numFmtId="0" fontId="9" fillId="0" borderId="16" applyFill="0">
      <alignment horizontal="left" vertical="center" wrapText="1"/>
    </xf>
    <xf numFmtId="165" fontId="30" fillId="0" borderId="17" applyFill="0">
      <alignment horizontal="center" vertical="center" wrapText="1"/>
    </xf>
    <xf numFmtId="165" fontId="30" fillId="0" borderId="18" applyFill="0">
      <alignment horizontal="center" vertical="center" wrapText="1"/>
    </xf>
    <xf numFmtId="0" fontId="27" fillId="0" borderId="0" applyFill="0" applyBorder="0">
      <alignment horizontal="center" vertical="center" wrapText="1"/>
    </xf>
    <xf numFmtId="165" fontId="9" fillId="0" borderId="33" applyFill="0">
      <alignment horizontal="center" vertical="center" wrapText="1"/>
    </xf>
    <xf numFmtId="0" fontId="9" fillId="10" borderId="25">
      <alignment horizontal="left" vertical="center" wrapText="1"/>
    </xf>
    <xf numFmtId="49" fontId="9" fillId="13" borderId="26">
      <alignment horizontal="left" vertical="center" wrapText="1"/>
    </xf>
    <xf numFmtId="49" fontId="9" fillId="11" borderId="36">
      <alignment horizontal="left" vertical="center" wrapText="1"/>
      <protection locked="0"/>
    </xf>
    <xf numFmtId="49" fontId="9" fillId="11" borderId="26">
      <alignment horizontal="left" vertical="center" wrapText="1"/>
      <protection locked="0"/>
    </xf>
    <xf numFmtId="49" fontId="9" fillId="0" borderId="14" applyFill="0">
      <alignment horizontal="left" vertical="top" wrapText="1"/>
    </xf>
    <xf numFmtId="49" fontId="77" fillId="0" borderId="14" applyFill="0">
      <alignment horizontal="left" vertical="top" wrapText="1"/>
    </xf>
    <xf numFmtId="49" fontId="5" fillId="0" borderId="14" applyFill="0">
      <alignment horizontal="center" vertical="top"/>
    </xf>
    <xf numFmtId="49" fontId="5" fillId="0" borderId="12" applyFill="0">
      <alignment horizontal="center" vertical="top"/>
    </xf>
    <xf numFmtId="49" fontId="5" fillId="27" borderId="23">
      <alignment vertical="top"/>
    </xf>
    <xf numFmtId="49" fontId="5" fillId="28" borderId="14">
      <alignment vertical="top"/>
    </xf>
    <xf numFmtId="49" fontId="5" fillId="0" borderId="16" applyFill="0">
      <alignment horizontal="center" vertical="top"/>
    </xf>
    <xf numFmtId="49" fontId="5" fillId="2" borderId="14">
      <alignment vertical="top"/>
    </xf>
    <xf numFmtId="49" fontId="5" fillId="29" borderId="14">
      <alignment vertical="top"/>
    </xf>
    <xf numFmtId="49" fontId="5" fillId="5" borderId="23">
      <alignment vertical="top"/>
    </xf>
    <xf numFmtId="49" fontId="5" fillId="3" borderId="12">
      <alignment vertical="top"/>
    </xf>
    <xf numFmtId="49" fontId="5" fillId="3" borderId="14">
      <alignment vertical="top"/>
    </xf>
    <xf numFmtId="49" fontId="5" fillId="5" borderId="14">
      <alignment vertical="top"/>
    </xf>
    <xf numFmtId="49" fontId="5" fillId="12" borderId="0" applyBorder="0">
      <alignment vertical="top"/>
    </xf>
    <xf numFmtId="49" fontId="9" fillId="10" borderId="41">
      <alignment horizontal="center" vertical="top"/>
    </xf>
    <xf numFmtId="49" fontId="5" fillId="0" borderId="16" applyFill="0">
      <alignment horizontal="left" vertical="center" indent="1"/>
    </xf>
    <xf numFmtId="49" fontId="5" fillId="0" borderId="64" applyFill="0">
      <alignment horizontal="center" vertical="center"/>
    </xf>
    <xf numFmtId="0" fontId="5" fillId="0" borderId="0" applyFill="0" applyBorder="0"/>
    <xf numFmtId="49" fontId="78" fillId="0" borderId="15" applyFill="0">
      <alignment vertical="top" wrapText="1"/>
    </xf>
    <xf numFmtId="0" fontId="5" fillId="0" borderId="15" applyFill="0">
      <alignment vertical="top" wrapText="1"/>
    </xf>
    <xf numFmtId="0" fontId="3" fillId="0" borderId="65" applyFill="0">
      <alignment vertical="top" wrapText="1"/>
    </xf>
    <xf numFmtId="0" fontId="5" fillId="0" borderId="14" applyFill="0">
      <alignment vertical="top" wrapText="1"/>
    </xf>
    <xf numFmtId="49" fontId="5" fillId="0" borderId="23" applyFill="0">
      <alignment vertical="top"/>
    </xf>
    <xf numFmtId="0" fontId="13" fillId="0" borderId="15" applyFill="0">
      <alignment vertical="center" wrapText="1"/>
    </xf>
    <xf numFmtId="0" fontId="3" fillId="0" borderId="0" applyFill="0" applyBorder="0">
      <alignment vertical="top" wrapText="1"/>
    </xf>
    <xf numFmtId="0" fontId="9" fillId="0" borderId="15" applyFill="0">
      <alignment vertical="center" wrapText="1"/>
    </xf>
  </cellStyleXfs>
  <cellXfs count="1474">
    <xf numFmtId="0" fontId="0" fillId="0" borderId="0" xfId="0" applyFont="1">
      <alignment vertical="top"/>
    </xf>
    <xf numFmtId="49" fontId="1" fillId="0" borderId="0" xfId="1" applyNumberFormat="1" applyFont="1">
      <alignment wrapText="1"/>
    </xf>
    <xf numFmtId="0" fontId="8" fillId="0" borderId="0" xfId="29" applyFont="1">
      <alignment vertical="center" wrapText="1"/>
    </xf>
    <xf numFmtId="0" fontId="9" fillId="0" borderId="0" xfId="33" applyFont="1">
      <alignment vertical="center" wrapText="1"/>
    </xf>
    <xf numFmtId="0" fontId="9" fillId="0" borderId="11" xfId="37" applyFont="1" applyBorder="1">
      <alignment horizontal="center" vertical="center" wrapText="1"/>
    </xf>
    <xf numFmtId="0" fontId="9" fillId="0" borderId="12" xfId="38" applyFont="1" applyBorder="1">
      <alignment horizontal="center" vertical="center" wrapText="1"/>
    </xf>
    <xf numFmtId="14" fontId="15" fillId="12" borderId="0" xfId="44" applyNumberFormat="1" applyFont="1" applyFill="1">
      <alignment horizontal="left" vertical="center" wrapText="1"/>
    </xf>
    <xf numFmtId="49" fontId="9" fillId="13" borderId="14" xfId="50" applyNumberFormat="1" applyFont="1" applyFill="1" applyBorder="1">
      <alignment horizontal="left" vertical="center" wrapText="1" indent="1"/>
    </xf>
    <xf numFmtId="164" fontId="5" fillId="11" borderId="14" xfId="52" applyNumberFormat="1" applyFont="1" applyFill="1" applyBorder="1">
      <alignment horizontal="left" vertical="center" wrapText="1" indent="1"/>
      <protection locked="0"/>
    </xf>
    <xf numFmtId="0" fontId="19" fillId="0" borderId="0" xfId="54" applyFont="1">
      <alignment vertical="center" wrapText="1"/>
    </xf>
    <xf numFmtId="14" fontId="17" fillId="0" borderId="14" xfId="56" applyNumberFormat="1" applyFont="1" applyBorder="1">
      <alignment horizontal="left" vertical="center" wrapText="1"/>
    </xf>
    <xf numFmtId="49" fontId="9" fillId="12" borderId="13" xfId="57" applyNumberFormat="1" applyFont="1" applyFill="1" applyBorder="1">
      <alignment horizontal="right" vertical="center" wrapText="1" indent="1"/>
    </xf>
    <xf numFmtId="49" fontId="19" fillId="0" borderId="0" xfId="58" applyNumberFormat="1" applyFont="1">
      <alignment vertical="center" wrapText="1"/>
    </xf>
    <xf numFmtId="0" fontId="5" fillId="11" borderId="14" xfId="59" applyFont="1" applyFill="1" applyBorder="1">
      <alignment horizontal="left" vertical="center" wrapText="1" indent="1"/>
      <protection locked="0"/>
    </xf>
    <xf numFmtId="49" fontId="9" fillId="11" borderId="14" xfId="60" applyNumberFormat="1" applyFont="1" applyFill="1" applyBorder="1">
      <alignment horizontal="left" vertical="center" wrapText="1" indent="1"/>
      <protection locked="0"/>
    </xf>
    <xf numFmtId="164" fontId="5" fillId="0" borderId="14" xfId="61" applyNumberFormat="1" applyFont="1" applyBorder="1">
      <alignment horizontal="left" vertical="center" wrapText="1" indent="1"/>
    </xf>
    <xf numFmtId="49" fontId="9" fillId="0" borderId="14" xfId="68" applyNumberFormat="1" applyFont="1" applyBorder="1">
      <alignment horizontal="left" vertical="center" wrapText="1" indent="1"/>
    </xf>
    <xf numFmtId="49" fontId="9" fillId="10" borderId="14" xfId="70" applyNumberFormat="1" applyFont="1" applyFill="1" applyBorder="1">
      <alignment horizontal="left" vertical="center" wrapText="1" indent="1"/>
    </xf>
    <xf numFmtId="14" fontId="9" fillId="12" borderId="0" xfId="71" applyNumberFormat="1" applyFont="1" applyFill="1">
      <alignment horizontal="center" vertical="center" wrapText="1"/>
    </xf>
    <xf numFmtId="14" fontId="9" fillId="12" borderId="0" xfId="73" applyNumberFormat="1" applyFont="1" applyFill="1">
      <alignment horizontal="left" vertical="center" wrapText="1"/>
    </xf>
    <xf numFmtId="0" fontId="9" fillId="11" borderId="14" xfId="74" applyFont="1" applyFill="1" applyBorder="1">
      <alignment horizontal="left" vertical="center" wrapText="1" indent="1"/>
      <protection locked="0"/>
    </xf>
    <xf numFmtId="49" fontId="23" fillId="0" borderId="14" xfId="77" applyNumberFormat="1" applyFont="1" applyBorder="1">
      <alignment horizontal="left" vertical="center" wrapText="1" indent="1"/>
    </xf>
    <xf numFmtId="0" fontId="9" fillId="13" borderId="14" xfId="78" applyFont="1" applyFill="1" applyBorder="1">
      <alignment horizontal="left" vertical="center" wrapText="1" indent="1"/>
    </xf>
    <xf numFmtId="49" fontId="12" fillId="12" borderId="0" xfId="80" applyNumberFormat="1" applyFont="1" applyFill="1">
      <alignment horizontal="center" vertical="center" wrapText="1"/>
    </xf>
    <xf numFmtId="49" fontId="9" fillId="12" borderId="0" xfId="82" applyNumberFormat="1" applyFont="1" applyFill="1">
      <alignment horizontal="right" vertical="center" wrapText="1" indent="1"/>
    </xf>
    <xf numFmtId="49" fontId="5" fillId="12" borderId="0" xfId="83" applyNumberFormat="1" applyFont="1" applyFill="1">
      <alignment horizontal="right" vertical="center" wrapText="1" indent="1"/>
    </xf>
    <xf numFmtId="0" fontId="25" fillId="0" borderId="0" xfId="89" applyFont="1">
      <alignment horizontal="center" vertical="center" wrapText="1"/>
    </xf>
    <xf numFmtId="0" fontId="9" fillId="0" borderId="16" xfId="95" applyFont="1" applyBorder="1">
      <alignment horizontal="center" vertical="center" wrapText="1"/>
    </xf>
    <xf numFmtId="4" fontId="9" fillId="0" borderId="14" xfId="96" applyNumberFormat="1" applyFont="1" applyBorder="1">
      <alignment horizontal="center" vertical="center" wrapText="1"/>
    </xf>
    <xf numFmtId="165" fontId="9" fillId="0" borderId="12" xfId="97" applyNumberFormat="1" applyFont="1" applyBorder="1">
      <alignment horizontal="center" vertical="center" wrapText="1"/>
    </xf>
    <xf numFmtId="165" fontId="9" fillId="0" borderId="14" xfId="98" applyNumberFormat="1" applyFont="1" applyBorder="1">
      <alignment horizontal="center" vertical="center" wrapText="1"/>
    </xf>
    <xf numFmtId="49" fontId="28" fillId="0" borderId="16" xfId="99" applyNumberFormat="1" applyFont="1" applyBorder="1">
      <alignment horizontal="center" vertical="center" wrapText="1"/>
    </xf>
    <xf numFmtId="49" fontId="9" fillId="14" borderId="17" xfId="100" applyNumberFormat="1" applyFont="1" applyFill="1" applyBorder="1">
      <alignment horizontal="center" vertical="center" wrapText="1"/>
    </xf>
    <xf numFmtId="49" fontId="19" fillId="14" borderId="17" xfId="101" applyNumberFormat="1" applyFont="1" applyFill="1" applyBorder="1">
      <alignment horizontal="left" vertical="center" wrapText="1"/>
    </xf>
    <xf numFmtId="49" fontId="19" fillId="14" borderId="18" xfId="102" applyNumberFormat="1" applyFont="1" applyFill="1" applyBorder="1">
      <alignment horizontal="left" vertical="center" wrapText="1"/>
    </xf>
    <xf numFmtId="0" fontId="9" fillId="0" borderId="14" xfId="105" applyFont="1" applyBorder="1">
      <alignment horizontal="center" vertical="center" wrapText="1"/>
    </xf>
    <xf numFmtId="0" fontId="25" fillId="0" borderId="14" xfId="106" applyFont="1" applyBorder="1">
      <alignment horizontal="center" vertical="center" wrapText="1"/>
    </xf>
    <xf numFmtId="49" fontId="9" fillId="11" borderId="14" xfId="107" applyNumberFormat="1" applyFont="1" applyFill="1" applyBorder="1">
      <alignment vertical="center" wrapText="1"/>
      <protection locked="0"/>
    </xf>
    <xf numFmtId="49" fontId="19" fillId="0" borderId="14" xfId="108" applyNumberFormat="1" applyFont="1" applyBorder="1">
      <alignment horizontal="left" vertical="center" wrapText="1"/>
    </xf>
    <xf numFmtId="14" fontId="9" fillId="13" borderId="21" xfId="112" applyNumberFormat="1" applyFont="1" applyFill="1" applyBorder="1">
      <alignment horizontal="left" vertical="center" wrapText="1" indent="1"/>
    </xf>
    <xf numFmtId="49" fontId="9" fillId="10" borderId="21" xfId="113" applyNumberFormat="1" applyFont="1" applyFill="1" applyBorder="1">
      <alignment horizontal="center" vertical="center" wrapText="1"/>
    </xf>
    <xf numFmtId="49" fontId="5" fillId="0" borderId="0" xfId="114" applyNumberFormat="1" applyFont="1">
      <alignment vertical="top"/>
    </xf>
    <xf numFmtId="49" fontId="13" fillId="14" borderId="12" xfId="115" applyNumberFormat="1" applyFont="1" applyFill="1" applyBorder="1">
      <alignment horizontal="right" vertical="center" wrapText="1"/>
    </xf>
    <xf numFmtId="49" fontId="13" fillId="14" borderId="16" xfId="116" applyNumberFormat="1" applyFont="1" applyFill="1" applyBorder="1">
      <alignment horizontal="right" vertical="center" wrapText="1"/>
    </xf>
    <xf numFmtId="49" fontId="29" fillId="14" borderId="16" xfId="117" applyNumberFormat="1" applyFont="1" applyFill="1" applyBorder="1">
      <alignment horizontal="left" vertical="center" indent="1"/>
    </xf>
    <xf numFmtId="49" fontId="5" fillId="14" borderId="16" xfId="118" applyNumberFormat="1" applyFont="1" applyFill="1" applyBorder="1">
      <alignment horizontal="right" vertical="center" wrapText="1"/>
    </xf>
    <xf numFmtId="49" fontId="5" fillId="14" borderId="11" xfId="119" applyNumberFormat="1" applyFont="1" applyFill="1" applyBorder="1">
      <alignment horizontal="right" vertical="center" wrapText="1"/>
    </xf>
    <xf numFmtId="49" fontId="9" fillId="14" borderId="12" xfId="120" applyNumberFormat="1" applyFont="1" applyFill="1" applyBorder="1">
      <alignment horizontal="right" vertical="center" wrapText="1"/>
    </xf>
    <xf numFmtId="49" fontId="9" fillId="14" borderId="16" xfId="121" applyNumberFormat="1" applyFont="1" applyFill="1" applyBorder="1">
      <alignment horizontal="right" vertical="center" wrapText="1"/>
    </xf>
    <xf numFmtId="49" fontId="29" fillId="14" borderId="16" xfId="122" applyNumberFormat="1" applyFont="1" applyFill="1" applyBorder="1">
      <alignment horizontal="left" vertical="center"/>
    </xf>
    <xf numFmtId="49" fontId="9" fillId="14" borderId="11" xfId="123" applyNumberFormat="1" applyFont="1" applyFill="1" applyBorder="1">
      <alignment horizontal="right" vertical="center" wrapText="1"/>
    </xf>
    <xf numFmtId="49" fontId="28" fillId="0" borderId="14" xfId="144" applyNumberFormat="1" applyFont="1" applyBorder="1">
      <alignment horizontal="center" vertical="center" wrapText="1"/>
    </xf>
    <xf numFmtId="49" fontId="9" fillId="14" borderId="16" xfId="150" applyNumberFormat="1" applyFont="1" applyFill="1" applyBorder="1">
      <alignment horizontal="center" vertical="center" wrapText="1"/>
    </xf>
    <xf numFmtId="49" fontId="9" fillId="14" borderId="31" xfId="151" applyNumberFormat="1" applyFont="1" applyFill="1" applyBorder="1">
      <alignment horizontal="center" vertical="center" wrapText="1"/>
    </xf>
    <xf numFmtId="49" fontId="5" fillId="14" borderId="16" xfId="152" applyNumberFormat="1" applyFont="1" applyFill="1" applyBorder="1">
      <alignment horizontal="left" vertical="center"/>
    </xf>
    <xf numFmtId="49" fontId="9" fillId="0" borderId="14" xfId="154" applyNumberFormat="1" applyFont="1" applyBorder="1">
      <alignment horizontal="center" vertical="center" wrapText="1"/>
    </xf>
    <xf numFmtId="49" fontId="9" fillId="13" borderId="14" xfId="160" applyNumberFormat="1" applyFont="1" applyFill="1" applyBorder="1">
      <alignment horizontal="center" vertical="center" wrapText="1"/>
    </xf>
    <xf numFmtId="49" fontId="9" fillId="0" borderId="23" xfId="161" applyNumberFormat="1" applyFont="1" applyBorder="1">
      <alignment horizontal="center" vertical="center" wrapText="1"/>
    </xf>
    <xf numFmtId="49" fontId="34" fillId="0" borderId="14" xfId="162" applyNumberFormat="1" applyFont="1" applyBorder="1">
      <alignment horizontal="left" vertical="center" wrapText="1" indent="1"/>
    </xf>
    <xf numFmtId="49" fontId="29" fillId="14" borderId="11" xfId="166" applyNumberFormat="1" applyFont="1" applyFill="1" applyBorder="1">
      <alignment horizontal="left" vertical="center" indent="1"/>
    </xf>
    <xf numFmtId="49" fontId="13" fillId="14" borderId="34" xfId="168" applyNumberFormat="1" applyFont="1" applyFill="1" applyBorder="1">
      <alignment horizontal="right" vertical="center" wrapText="1"/>
    </xf>
    <xf numFmtId="49" fontId="13" fillId="14" borderId="35" xfId="169" applyNumberFormat="1" applyFont="1" applyFill="1" applyBorder="1">
      <alignment horizontal="right" vertical="center" wrapText="1"/>
    </xf>
    <xf numFmtId="49" fontId="13" fillId="14" borderId="11" xfId="170" applyNumberFormat="1" applyFont="1" applyFill="1" applyBorder="1">
      <alignment horizontal="right" vertical="center" wrapText="1"/>
    </xf>
    <xf numFmtId="49" fontId="29" fillId="14" borderId="16" xfId="172" applyNumberFormat="1" applyFont="1" applyFill="1" applyBorder="1">
      <alignment horizontal="left" vertical="center" indent="2"/>
    </xf>
    <xf numFmtId="49" fontId="25" fillId="12" borderId="0" xfId="183" applyNumberFormat="1" applyFont="1" applyFill="1">
      <alignment horizontal="center" vertical="center" wrapText="1"/>
    </xf>
    <xf numFmtId="49" fontId="5" fillId="0" borderId="14" xfId="187" applyNumberFormat="1" applyFont="1" applyBorder="1">
      <alignment horizontal="center" vertical="center"/>
    </xf>
    <xf numFmtId="49" fontId="5" fillId="0" borderId="14" xfId="188" applyNumberFormat="1" applyFont="1" applyBorder="1">
      <alignment horizontal="left" vertical="center"/>
    </xf>
    <xf numFmtId="49" fontId="9" fillId="0" borderId="17" xfId="194" applyNumberFormat="1" applyFont="1" applyBorder="1">
      <alignment horizontal="left" vertical="center" wrapText="1"/>
    </xf>
    <xf numFmtId="49" fontId="9" fillId="0" borderId="17" xfId="195" applyNumberFormat="1" applyFont="1" applyBorder="1">
      <alignment horizontal="center" vertical="center" wrapText="1"/>
    </xf>
    <xf numFmtId="49" fontId="5" fillId="0" borderId="17" xfId="197" applyNumberFormat="1" applyFont="1" applyBorder="1">
      <alignment horizontal="left" vertical="center" wrapText="1"/>
    </xf>
    <xf numFmtId="49" fontId="9" fillId="0" borderId="18" xfId="198" applyNumberFormat="1" applyFont="1" applyBorder="1">
      <alignment horizontal="left" vertical="center" wrapText="1"/>
    </xf>
    <xf numFmtId="49" fontId="5" fillId="0" borderId="14" xfId="203" applyNumberFormat="1" applyFont="1" applyBorder="1">
      <alignment vertical="top"/>
    </xf>
    <xf numFmtId="49" fontId="9" fillId="0" borderId="0" xfId="211" applyNumberFormat="1" applyFont="1">
      <alignment horizontal="left" vertical="center" indent="1"/>
    </xf>
    <xf numFmtId="49" fontId="25" fillId="0" borderId="0" xfId="221" applyNumberFormat="1" applyFont="1">
      <alignment vertical="top"/>
    </xf>
    <xf numFmtId="49" fontId="25" fillId="0" borderId="0" xfId="222" applyNumberFormat="1" applyFont="1">
      <alignment horizontal="center" vertical="center"/>
    </xf>
    <xf numFmtId="49" fontId="37" fillId="0" borderId="0" xfId="223" applyNumberFormat="1" applyFont="1">
      <alignment vertical="top"/>
    </xf>
    <xf numFmtId="0" fontId="9" fillId="0" borderId="17" xfId="224" applyFont="1" applyBorder="1">
      <alignment horizontal="left" vertical="center" wrapText="1" indent="1"/>
    </xf>
    <xf numFmtId="0" fontId="9" fillId="0" borderId="36" xfId="225" applyFont="1" applyBorder="1">
      <alignment horizontal="left" vertical="center" wrapText="1" indent="1"/>
    </xf>
    <xf numFmtId="0" fontId="9" fillId="0" borderId="23" xfId="229" applyFont="1" applyBorder="1">
      <alignment horizontal="center" vertical="center" wrapText="1"/>
    </xf>
    <xf numFmtId="49" fontId="9" fillId="0" borderId="0" xfId="234" applyNumberFormat="1" applyFont="1">
      <alignment vertical="top"/>
    </xf>
    <xf numFmtId="49" fontId="9" fillId="0" borderId="14" xfId="235" applyNumberFormat="1" applyFont="1" applyBorder="1">
      <alignment horizontal="center" vertical="center"/>
    </xf>
    <xf numFmtId="49" fontId="9" fillId="0" borderId="24" xfId="238" applyNumberFormat="1" applyFont="1" applyBorder="1">
      <alignment vertical="center" wrapText="1"/>
    </xf>
    <xf numFmtId="49" fontId="9" fillId="0" borderId="17" xfId="240" applyNumberFormat="1" applyFont="1" applyBorder="1">
      <alignment vertical="center" wrapText="1"/>
    </xf>
    <xf numFmtId="49" fontId="31" fillId="0" borderId="17" xfId="241" applyNumberFormat="1" applyFont="1" applyBorder="1">
      <alignment vertical="center" wrapText="1"/>
    </xf>
    <xf numFmtId="49" fontId="9" fillId="13" borderId="33" xfId="243" applyNumberFormat="1" applyFont="1" applyFill="1" applyBorder="1">
      <alignment horizontal="center" vertical="center" wrapText="1"/>
    </xf>
    <xf numFmtId="49" fontId="9" fillId="0" borderId="19" xfId="244" applyNumberFormat="1" applyFont="1" applyBorder="1">
      <alignment vertical="center" wrapText="1"/>
    </xf>
    <xf numFmtId="49" fontId="9" fillId="0" borderId="23" xfId="246" applyNumberFormat="1" applyFont="1" applyBorder="1">
      <alignment horizontal="center" vertical="center"/>
    </xf>
    <xf numFmtId="49" fontId="37" fillId="0" borderId="26" xfId="249" applyNumberFormat="1" applyFont="1" applyBorder="1">
      <alignment vertical="top"/>
    </xf>
    <xf numFmtId="49" fontId="37" fillId="0" borderId="36" xfId="250" applyNumberFormat="1" applyFont="1" applyBorder="1">
      <alignment vertical="top"/>
    </xf>
    <xf numFmtId="49" fontId="10" fillId="0" borderId="0" xfId="251" applyNumberFormat="1" applyFont="1">
      <alignment vertical="top"/>
    </xf>
    <xf numFmtId="0" fontId="38" fillId="12" borderId="0" xfId="258" applyFont="1" applyFill="1">
      <alignment horizontal="right" vertical="center"/>
    </xf>
    <xf numFmtId="49" fontId="5" fillId="12" borderId="14" xfId="261" applyNumberFormat="1" applyFont="1" applyFill="1" applyBorder="1">
      <alignment horizontal="center" vertical="center" wrapText="1"/>
    </xf>
    <xf numFmtId="49" fontId="9" fillId="12" borderId="14" xfId="262" applyNumberFormat="1" applyFont="1" applyFill="1" applyBorder="1">
      <alignment horizontal="center" vertical="center" wrapText="1"/>
    </xf>
    <xf numFmtId="49" fontId="25" fillId="0" borderId="14" xfId="266" applyNumberFormat="1" applyFont="1" applyBorder="1">
      <alignment horizontal="center" vertical="center"/>
    </xf>
    <xf numFmtId="49" fontId="5" fillId="12" borderId="14" xfId="270" applyNumberFormat="1" applyFont="1" applyFill="1" applyBorder="1">
      <alignment horizontal="center" vertical="center"/>
    </xf>
    <xf numFmtId="49" fontId="5" fillId="11" borderId="14" xfId="274" applyNumberFormat="1" applyFont="1" applyFill="1" applyBorder="1">
      <alignment horizontal="left" vertical="center" wrapText="1"/>
      <protection locked="0"/>
    </xf>
    <xf numFmtId="49" fontId="9" fillId="12" borderId="0" xfId="276" applyNumberFormat="1" applyFont="1" applyFill="1">
      <alignment horizontal="center" vertical="center" wrapText="1"/>
    </xf>
    <xf numFmtId="49" fontId="5" fillId="0" borderId="14" xfId="280" applyNumberFormat="1" applyFont="1" applyBorder="1">
      <alignment horizontal="left" vertical="center" wrapText="1"/>
    </xf>
    <xf numFmtId="49" fontId="9" fillId="12" borderId="0" xfId="281" applyNumberFormat="1" applyFont="1" applyFill="1">
      <alignment vertical="center" wrapText="1"/>
    </xf>
    <xf numFmtId="49" fontId="25" fillId="12" borderId="14" xfId="286" applyNumberFormat="1" applyFont="1" applyFill="1" applyBorder="1">
      <alignment horizontal="center" vertical="center"/>
    </xf>
    <xf numFmtId="49" fontId="25" fillId="0" borderId="14" xfId="290" applyNumberFormat="1" applyFont="1" applyBorder="1">
      <alignment horizontal="left" vertical="center" wrapText="1"/>
    </xf>
    <xf numFmtId="49" fontId="5" fillId="8" borderId="14" xfId="292" applyNumberFormat="1" applyFont="1" applyFill="1" applyBorder="1">
      <alignment horizontal="left" vertical="center" wrapText="1"/>
      <protection locked="0"/>
    </xf>
    <xf numFmtId="49" fontId="5" fillId="0" borderId="14" xfId="295" applyNumberFormat="1" applyFont="1" applyBorder="1">
      <alignment horizontal="left" vertical="center" wrapText="1" indent="1"/>
    </xf>
    <xf numFmtId="49" fontId="5" fillId="11" borderId="14" xfId="298" applyNumberFormat="1" applyFont="1" applyFill="1" applyBorder="1">
      <alignment horizontal="left" vertical="center" wrapText="1" indent="1"/>
      <protection locked="0"/>
    </xf>
    <xf numFmtId="49" fontId="9" fillId="11" borderId="12" xfId="299" applyNumberFormat="1" applyFont="1" applyFill="1" applyBorder="1">
      <alignment horizontal="left" vertical="center" wrapText="1"/>
      <protection locked="0"/>
    </xf>
    <xf numFmtId="49" fontId="9" fillId="11" borderId="14" xfId="302" quotePrefix="1" applyNumberFormat="1" applyFont="1" applyFill="1" applyBorder="1">
      <alignment horizontal="left" vertical="center" wrapText="1"/>
      <protection locked="0"/>
    </xf>
    <xf numFmtId="49" fontId="9" fillId="8" borderId="14" xfId="303" applyNumberFormat="1" applyFont="1" applyFill="1" applyBorder="1">
      <alignment horizontal="left" vertical="center" wrapText="1"/>
      <protection locked="0"/>
    </xf>
    <xf numFmtId="49" fontId="9" fillId="13" borderId="14" xfId="304" applyNumberFormat="1" applyFont="1" applyFill="1" applyBorder="1">
      <alignment horizontal="left" vertical="center" wrapText="1"/>
    </xf>
    <xf numFmtId="49" fontId="9" fillId="13" borderId="12" xfId="306" applyNumberFormat="1" applyFont="1" applyFill="1" applyBorder="1">
      <alignment horizontal="left" vertical="center" wrapText="1"/>
    </xf>
    <xf numFmtId="49" fontId="28" fillId="12" borderId="0" xfId="337" applyNumberFormat="1" applyFont="1" applyFill="1">
      <alignment horizontal="center" vertical="center" wrapText="1"/>
    </xf>
    <xf numFmtId="49" fontId="36" fillId="0" borderId="23" xfId="339" applyNumberFormat="1" applyFont="1" applyBorder="1">
      <alignment horizontal="left" vertical="center" wrapText="1"/>
    </xf>
    <xf numFmtId="49" fontId="36" fillId="0" borderId="14" xfId="340" applyNumberFormat="1" applyFont="1" applyBorder="1">
      <alignment horizontal="left" vertical="center" wrapText="1"/>
    </xf>
    <xf numFmtId="49" fontId="5" fillId="0" borderId="14" xfId="341" applyNumberFormat="1" applyFont="1" applyBorder="1">
      <alignment vertical="top" wrapText="1"/>
    </xf>
    <xf numFmtId="49" fontId="5" fillId="0" borderId="14" xfId="343" applyNumberFormat="1" applyFont="1" applyBorder="1">
      <alignment horizontal="center" vertical="center" wrapText="1"/>
    </xf>
    <xf numFmtId="49" fontId="28" fillId="12" borderId="14" xfId="345" applyNumberFormat="1" applyFont="1" applyFill="1" applyBorder="1">
      <alignment horizontal="center" vertical="center" wrapText="1"/>
    </xf>
    <xf numFmtId="4" fontId="5" fillId="11" borderId="14" xfId="346" applyNumberFormat="1" applyFont="1" applyFill="1" applyBorder="1">
      <alignment horizontal="right" vertical="center" wrapText="1"/>
      <protection locked="0"/>
    </xf>
    <xf numFmtId="3" fontId="5" fillId="11" borderId="14" xfId="347" applyNumberFormat="1" applyFont="1" applyFill="1" applyBorder="1">
      <alignment horizontal="right" vertical="center" wrapText="1"/>
      <protection locked="0"/>
    </xf>
    <xf numFmtId="4" fontId="5" fillId="11" borderId="11" xfId="348" applyNumberFormat="1" applyFont="1" applyFill="1" applyBorder="1">
      <alignment horizontal="right" vertical="center" wrapText="1"/>
      <protection locked="0"/>
    </xf>
    <xf numFmtId="3" fontId="5" fillId="0" borderId="11" xfId="350" applyNumberFormat="1" applyFont="1" applyBorder="1">
      <alignment horizontal="right" vertical="center" wrapText="1"/>
    </xf>
    <xf numFmtId="49" fontId="13" fillId="14" borderId="12" xfId="352" applyNumberFormat="1" applyFont="1" applyFill="1" applyBorder="1">
      <alignment horizontal="center" vertical="center"/>
    </xf>
    <xf numFmtId="49" fontId="29" fillId="14" borderId="16" xfId="354" applyNumberFormat="1" applyFont="1" applyFill="1" applyBorder="1">
      <alignment vertical="center"/>
    </xf>
    <xf numFmtId="49" fontId="38" fillId="14" borderId="16" xfId="355" applyNumberFormat="1" applyFont="1" applyFill="1" applyBorder="1">
      <alignment vertical="center"/>
    </xf>
    <xf numFmtId="49" fontId="38" fillId="14" borderId="11" xfId="356" applyNumberFormat="1" applyFont="1" applyFill="1" applyBorder="1">
      <alignment vertical="center"/>
    </xf>
    <xf numFmtId="49" fontId="9" fillId="11" borderId="14" xfId="361" applyNumberFormat="1" applyFont="1" applyFill="1" applyBorder="1">
      <alignment horizontal="left" vertical="center" wrapText="1"/>
      <protection locked="0"/>
    </xf>
    <xf numFmtId="3" fontId="9" fillId="11" borderId="14" xfId="362" applyNumberFormat="1" applyFont="1" applyFill="1" applyBorder="1">
      <alignment horizontal="right" vertical="center" wrapText="1"/>
      <protection locked="0"/>
    </xf>
    <xf numFmtId="0" fontId="9" fillId="0" borderId="17" xfId="365" applyFont="1" applyBorder="1">
      <alignment horizontal="left" vertical="top" wrapText="1" indent="1"/>
    </xf>
    <xf numFmtId="49" fontId="28" fillId="12" borderId="16" xfId="368" applyNumberFormat="1" applyFont="1" applyFill="1" applyBorder="1">
      <alignment horizontal="center" vertical="center" wrapText="1"/>
    </xf>
    <xf numFmtId="49" fontId="9" fillId="0" borderId="14" xfId="369" applyNumberFormat="1" applyFont="1" applyBorder="1">
      <alignment horizontal="left" vertical="center" wrapText="1"/>
    </xf>
    <xf numFmtId="14" fontId="9" fillId="14" borderId="16" xfId="371" applyNumberFormat="1" applyFont="1" applyFill="1" applyBorder="1">
      <alignment horizontal="center" vertical="center" wrapText="1"/>
    </xf>
    <xf numFmtId="14" fontId="35" fillId="14" borderId="16" xfId="372" applyNumberFormat="1" applyFont="1" applyFill="1" applyBorder="1">
      <alignment horizontal="center" vertical="center" wrapText="1"/>
    </xf>
    <xf numFmtId="49" fontId="18" fillId="14" borderId="11" xfId="373" applyNumberFormat="1" applyFont="1" applyFill="1" applyBorder="1">
      <alignment horizontal="left" vertical="center" wrapText="1"/>
    </xf>
    <xf numFmtId="14" fontId="9" fillId="13" borderId="21" xfId="377" applyNumberFormat="1" applyFont="1" applyFill="1" applyBorder="1">
      <alignment horizontal="left" vertical="center" wrapText="1"/>
    </xf>
    <xf numFmtId="14" fontId="9" fillId="13" borderId="14" xfId="378" applyNumberFormat="1" applyFont="1" applyFill="1" applyBorder="1">
      <alignment horizontal="center" vertical="center" wrapText="1"/>
    </xf>
    <xf numFmtId="49" fontId="18" fillId="11" borderId="14" xfId="379" applyNumberFormat="1" applyFont="1" applyFill="1" applyBorder="1">
      <alignment horizontal="left" vertical="center" wrapText="1"/>
      <protection locked="0"/>
    </xf>
    <xf numFmtId="49" fontId="25" fillId="0" borderId="0" xfId="381" applyNumberFormat="1" applyFont="1">
      <alignment horizontal="left" vertical="center" wrapText="1"/>
    </xf>
    <xf numFmtId="49" fontId="13" fillId="14" borderId="16" xfId="382" applyNumberFormat="1" applyFont="1" applyFill="1" applyBorder="1">
      <alignment horizontal="center" vertical="center"/>
    </xf>
    <xf numFmtId="49" fontId="38" fillId="14" borderId="16" xfId="383" applyNumberFormat="1" applyFont="1" applyFill="1" applyBorder="1">
      <alignment horizontal="left" vertical="center" indent="1"/>
    </xf>
    <xf numFmtId="49" fontId="38" fillId="14" borderId="11" xfId="384" applyNumberFormat="1" applyFont="1" applyFill="1" applyBorder="1">
      <alignment horizontal="left" vertical="center" indent="1"/>
    </xf>
    <xf numFmtId="49" fontId="47" fillId="0" borderId="14" xfId="386" applyNumberFormat="1" applyFont="1" applyBorder="1">
      <alignment vertical="top" wrapText="1"/>
    </xf>
    <xf numFmtId="49" fontId="15" fillId="0" borderId="14" xfId="387" applyNumberFormat="1" applyFont="1" applyBorder="1">
      <alignment horizontal="center" vertical="top" wrapText="1"/>
    </xf>
    <xf numFmtId="49" fontId="15" fillId="16" borderId="14" xfId="388" applyNumberFormat="1" applyFont="1" applyFill="1" applyBorder="1">
      <alignment horizontal="center" vertical="top"/>
    </xf>
    <xf numFmtId="49" fontId="15" fillId="0" borderId="14" xfId="389" applyNumberFormat="1" applyFont="1" applyBorder="1">
      <alignment vertical="top" wrapText="1"/>
    </xf>
    <xf numFmtId="49" fontId="15" fillId="0" borderId="14" xfId="391" applyNumberFormat="1" applyFont="1" applyBorder="1">
      <alignment vertical="top"/>
    </xf>
    <xf numFmtId="49" fontId="47" fillId="0" borderId="14" xfId="392" applyNumberFormat="1" applyFont="1" applyBorder="1">
      <alignment vertical="top"/>
    </xf>
    <xf numFmtId="49" fontId="47" fillId="0" borderId="14" xfId="394" applyNumberFormat="1" applyFont="1" applyBorder="1">
      <alignment horizontal="center" vertical="top" wrapText="1"/>
    </xf>
    <xf numFmtId="49" fontId="47" fillId="16" borderId="14" xfId="395" applyNumberFormat="1" applyFont="1" applyFill="1" applyBorder="1">
      <alignment horizontal="center" vertical="top" wrapText="1"/>
    </xf>
    <xf numFmtId="49" fontId="15" fillId="16" borderId="14" xfId="396" applyNumberFormat="1" applyFont="1" applyFill="1" applyBorder="1">
      <alignment horizontal="center" vertical="top" wrapText="1"/>
    </xf>
    <xf numFmtId="49" fontId="47" fillId="0" borderId="14" xfId="397" applyNumberFormat="1" applyFont="1" applyBorder="1">
      <alignment horizontal="left" vertical="top" wrapText="1"/>
    </xf>
    <xf numFmtId="49" fontId="47" fillId="16" borderId="14" xfId="404" applyNumberFormat="1" applyFont="1" applyFill="1" applyBorder="1">
      <alignment horizontal="left" vertical="top" wrapText="1"/>
    </xf>
    <xf numFmtId="49" fontId="47" fillId="0" borderId="23" xfId="406" applyNumberFormat="1" applyFont="1" applyBorder="1">
      <alignment horizontal="center" vertical="top" wrapText="1"/>
    </xf>
    <xf numFmtId="49" fontId="47" fillId="0" borderId="24" xfId="409" applyNumberFormat="1" applyFont="1" applyBorder="1">
      <alignment horizontal="center" vertical="top" wrapText="1"/>
    </xf>
    <xf numFmtId="49" fontId="47" fillId="0" borderId="19" xfId="413" applyNumberFormat="1" applyFont="1" applyBorder="1">
      <alignment horizontal="center" vertical="top" wrapText="1"/>
    </xf>
    <xf numFmtId="49" fontId="15" fillId="0" borderId="14" xfId="415" applyNumberFormat="1" applyFont="1" applyBorder="1">
      <alignment horizontal="left" vertical="top" wrapText="1"/>
    </xf>
    <xf numFmtId="49" fontId="15" fillId="0" borderId="14" xfId="418" applyNumberFormat="1" applyFont="1" applyBorder="1">
      <alignment horizontal="center" vertical="center" wrapText="1"/>
    </xf>
    <xf numFmtId="49" fontId="47" fillId="0" borderId="12" xfId="420" applyNumberFormat="1" applyFont="1" applyBorder="1">
      <alignment horizontal="left" vertical="top" wrapText="1"/>
    </xf>
    <xf numFmtId="49" fontId="47" fillId="0" borderId="26" xfId="424" applyNumberFormat="1" applyFont="1" applyBorder="1">
      <alignment horizontal="left" vertical="top" wrapText="1"/>
    </xf>
    <xf numFmtId="49" fontId="47" fillId="0" borderId="11" xfId="425" applyNumberFormat="1" applyFont="1" applyBorder="1">
      <alignment horizontal="left" vertical="top" wrapText="1"/>
    </xf>
    <xf numFmtId="49" fontId="15" fillId="0" borderId="23" xfId="426" applyNumberFormat="1" applyFont="1" applyBorder="1">
      <alignment horizontal="center" vertical="center" wrapText="1"/>
    </xf>
    <xf numFmtId="49" fontId="15" fillId="0" borderId="21" xfId="427" applyNumberFormat="1" applyFont="1" applyBorder="1">
      <alignment horizontal="center" vertical="center" wrapText="1"/>
    </xf>
    <xf numFmtId="49" fontId="47" fillId="0" borderId="33" xfId="429" applyNumberFormat="1" applyFont="1" applyBorder="1">
      <alignment horizontal="left" vertical="top" wrapText="1"/>
    </xf>
    <xf numFmtId="49" fontId="10" fillId="17" borderId="0" xfId="431" applyNumberFormat="1" applyFont="1" applyFill="1">
      <alignment horizontal="center" vertical="center"/>
    </xf>
    <xf numFmtId="49" fontId="9" fillId="0" borderId="14" xfId="432" applyNumberFormat="1" applyFont="1" applyBorder="1">
      <alignment horizontal="center" vertical="top"/>
    </xf>
    <xf numFmtId="49" fontId="19" fillId="17" borderId="0" xfId="433" applyNumberFormat="1" applyFont="1" applyFill="1">
      <alignment horizontal="center" vertical="center" wrapText="1"/>
    </xf>
    <xf numFmtId="49" fontId="19" fillId="17" borderId="14" xfId="435" applyNumberFormat="1" applyFont="1" applyFill="1" applyBorder="1">
      <alignment horizontal="center" vertical="center"/>
    </xf>
    <xf numFmtId="49" fontId="19" fillId="19" borderId="14" xfId="436" applyNumberFormat="1" applyFont="1" applyFill="1" applyBorder="1">
      <alignment horizontal="center" vertical="center"/>
    </xf>
    <xf numFmtId="49" fontId="5" fillId="20" borderId="14" xfId="437" applyNumberFormat="1" applyFont="1" applyFill="1" applyBorder="1">
      <alignment horizontal="center" vertical="center"/>
    </xf>
    <xf numFmtId="49" fontId="9" fillId="0" borderId="37" xfId="442" applyNumberFormat="1" applyFont="1" applyBorder="1">
      <alignment vertical="center"/>
    </xf>
    <xf numFmtId="49" fontId="9" fillId="0" borderId="38" xfId="443" applyNumberFormat="1" applyFont="1" applyBorder="1">
      <alignment vertical="top"/>
    </xf>
    <xf numFmtId="49" fontId="9" fillId="0" borderId="39" xfId="444" applyNumberFormat="1" applyFont="1" applyBorder="1">
      <alignment vertical="top"/>
    </xf>
    <xf numFmtId="49" fontId="9" fillId="0" borderId="14" xfId="449" applyNumberFormat="1" applyFont="1" applyBorder="1">
      <alignment vertical="center"/>
    </xf>
    <xf numFmtId="49" fontId="9" fillId="0" borderId="12" xfId="455" applyNumberFormat="1" applyFont="1" applyBorder="1">
      <alignment vertical="top"/>
    </xf>
    <xf numFmtId="49" fontId="5" fillId="0" borderId="12" xfId="457" applyNumberFormat="1" applyFont="1" applyBorder="1">
      <alignment vertical="top"/>
    </xf>
    <xf numFmtId="49" fontId="9" fillId="0" borderId="14" xfId="458" applyNumberFormat="1" applyFont="1" applyBorder="1">
      <alignment horizontal="right" vertical="top"/>
    </xf>
    <xf numFmtId="49" fontId="9" fillId="0" borderId="23" xfId="460" applyNumberFormat="1" applyFont="1" applyBorder="1">
      <alignment horizontal="right" vertical="top"/>
    </xf>
    <xf numFmtId="49" fontId="9" fillId="0" borderId="40" xfId="463" applyNumberFormat="1" applyFont="1" applyBorder="1">
      <alignment horizontal="center" vertical="center"/>
    </xf>
    <xf numFmtId="49" fontId="9" fillId="0" borderId="14" xfId="464" applyNumberFormat="1" applyFont="1" applyBorder="1">
      <alignment horizontal="right" vertical="center"/>
    </xf>
    <xf numFmtId="49" fontId="9" fillId="0" borderId="14" xfId="465" applyNumberFormat="1" applyFont="1" applyBorder="1">
      <alignment vertical="top"/>
    </xf>
    <xf numFmtId="49" fontId="49" fillId="0" borderId="39" xfId="468" applyNumberFormat="1" applyFont="1" applyBorder="1">
      <alignment vertical="top"/>
    </xf>
    <xf numFmtId="49" fontId="30" fillId="22" borderId="0" xfId="469" applyNumberFormat="1" applyFont="1" applyFill="1">
      <alignment vertical="center" wrapText="1"/>
    </xf>
    <xf numFmtId="49" fontId="10" fillId="17" borderId="0" xfId="471" applyNumberFormat="1" applyFont="1" applyFill="1">
      <alignment horizontal="center" vertical="center" wrapText="1"/>
    </xf>
    <xf numFmtId="49" fontId="9" fillId="21" borderId="0" xfId="472" applyNumberFormat="1" applyFont="1" applyFill="1">
      <alignment horizontal="center" vertical="center"/>
    </xf>
    <xf numFmtId="0" fontId="28" fillId="0" borderId="0" xfId="473" applyFont="1">
      <alignment horizontal="center" vertical="center" wrapText="1"/>
    </xf>
    <xf numFmtId="49" fontId="5" fillId="8" borderId="40" xfId="474" applyNumberFormat="1" applyFont="1" applyFill="1" applyBorder="1">
      <alignment horizontal="left" vertical="center"/>
      <protection locked="0"/>
    </xf>
    <xf numFmtId="49" fontId="5" fillId="0" borderId="40" xfId="475" applyNumberFormat="1" applyFont="1" applyBorder="1">
      <alignment horizontal="right" vertical="center"/>
    </xf>
    <xf numFmtId="49" fontId="5" fillId="0" borderId="40" xfId="477" applyNumberFormat="1" applyFont="1" applyBorder="1">
      <alignment horizontal="center" vertical="center"/>
    </xf>
    <xf numFmtId="49" fontId="10" fillId="17" borderId="14" xfId="480" applyNumberFormat="1" applyFont="1" applyFill="1" applyBorder="1">
      <alignment horizontal="right" vertical="center"/>
    </xf>
    <xf numFmtId="49" fontId="9" fillId="8" borderId="24" xfId="481" applyNumberFormat="1" applyFont="1" applyFill="1" applyBorder="1">
      <alignment vertical="top"/>
      <protection locked="0"/>
    </xf>
    <xf numFmtId="49" fontId="9" fillId="16" borderId="21" xfId="483" applyNumberFormat="1" applyFont="1" applyFill="1" applyBorder="1">
      <alignment vertical="top"/>
    </xf>
    <xf numFmtId="49" fontId="9" fillId="16" borderId="14" xfId="484" applyNumberFormat="1" applyFont="1" applyFill="1" applyBorder="1">
      <alignment vertical="top"/>
    </xf>
    <xf numFmtId="49" fontId="9" fillId="0" borderId="12" xfId="486" applyNumberFormat="1" applyFont="1" applyBorder="1">
      <alignment horizontal="center" vertical="top"/>
    </xf>
    <xf numFmtId="49" fontId="9" fillId="0" borderId="11" xfId="487" applyNumberFormat="1" applyFont="1" applyBorder="1">
      <alignment horizontal="center" vertical="top"/>
    </xf>
    <xf numFmtId="49" fontId="10" fillId="17" borderId="12" xfId="494" applyNumberFormat="1" applyFont="1" applyFill="1" applyBorder="1">
      <alignment horizontal="right" vertical="center"/>
    </xf>
    <xf numFmtId="49" fontId="5" fillId="0" borderId="0" xfId="495" applyNumberFormat="1" applyFont="1">
      <alignment vertical="center"/>
    </xf>
    <xf numFmtId="49" fontId="5" fillId="23" borderId="0" xfId="498" applyNumberFormat="1" applyFont="1" applyFill="1">
      <alignment vertical="top"/>
    </xf>
    <xf numFmtId="0" fontId="9" fillId="12" borderId="14" xfId="499" applyFont="1" applyFill="1" applyBorder="1">
      <alignment horizontal="center" vertical="center"/>
    </xf>
    <xf numFmtId="14" fontId="9" fillId="13" borderId="14" xfId="504" applyNumberFormat="1" applyFont="1" applyFill="1" applyBorder="1">
      <alignment horizontal="left" vertical="center" wrapText="1" indent="1"/>
    </xf>
    <xf numFmtId="49" fontId="9" fillId="10" borderId="14" xfId="505" applyNumberFormat="1" applyFont="1" applyFill="1" applyBorder="1">
      <alignment horizontal="center" vertical="center" wrapText="1"/>
    </xf>
    <xf numFmtId="49" fontId="40" fillId="23" borderId="0" xfId="506" applyNumberFormat="1" applyFont="1" applyFill="1">
      <alignment vertical="top"/>
    </xf>
    <xf numFmtId="49" fontId="9" fillId="0" borderId="11" xfId="514" applyNumberFormat="1" applyFont="1" applyBorder="1">
      <alignment horizontal="center" vertical="center" wrapText="1"/>
    </xf>
    <xf numFmtId="49" fontId="34" fillId="11" borderId="14" xfId="515" applyNumberFormat="1" applyFont="1" applyFill="1" applyBorder="1">
      <alignment horizontal="left" vertical="center" wrapText="1" indent="1"/>
      <protection locked="0"/>
    </xf>
    <xf numFmtId="14" fontId="9" fillId="13" borderId="25" xfId="519" applyNumberFormat="1" applyFont="1" applyFill="1" applyBorder="1">
      <alignment horizontal="left" vertical="center" wrapText="1"/>
    </xf>
    <xf numFmtId="49" fontId="50" fillId="11" borderId="14" xfId="520" applyNumberFormat="1" applyFont="1" applyFill="1" applyBorder="1">
      <alignment horizontal="left" vertical="center" wrapText="1"/>
      <protection locked="0"/>
    </xf>
    <xf numFmtId="49" fontId="19" fillId="0" borderId="0" xfId="521" applyNumberFormat="1" applyFont="1">
      <alignment vertical="top"/>
    </xf>
    <xf numFmtId="164" fontId="5" fillId="11" borderId="14" xfId="522" applyNumberFormat="1" applyFont="1" applyFill="1" applyBorder="1">
      <alignment horizontal="center" vertical="center" wrapText="1"/>
      <protection locked="0"/>
    </xf>
    <xf numFmtId="49" fontId="5" fillId="11" borderId="14" xfId="523" applyNumberFormat="1" applyFont="1" applyFill="1" applyBorder="1">
      <alignment horizontal="center" vertical="center" wrapText="1"/>
      <protection locked="0"/>
    </xf>
    <xf numFmtId="49" fontId="9" fillId="11" borderId="23" xfId="538" applyNumberFormat="1" applyFont="1" applyFill="1" applyBorder="1">
      <alignment horizontal="left" vertical="center" wrapText="1" indent="1"/>
      <protection locked="0"/>
    </xf>
    <xf numFmtId="0" fontId="9" fillId="14" borderId="16" xfId="545" applyFont="1" applyFill="1" applyBorder="1">
      <alignment vertical="center" wrapText="1"/>
    </xf>
    <xf numFmtId="49" fontId="9" fillId="0" borderId="33" xfId="546" applyNumberFormat="1" applyFont="1" applyBorder="1">
      <alignment horizontal="center" vertical="top" wrapText="1"/>
    </xf>
    <xf numFmtId="49" fontId="9" fillId="13" borderId="33" xfId="548" applyNumberFormat="1" applyFont="1" applyFill="1" applyBorder="1">
      <alignment horizontal="center" vertical="top" wrapText="1"/>
    </xf>
    <xf numFmtId="49" fontId="5" fillId="11" borderId="33" xfId="549" applyNumberFormat="1" applyFont="1" applyFill="1" applyBorder="1">
      <alignment horizontal="center" vertical="top" wrapText="1"/>
      <protection locked="0"/>
    </xf>
    <xf numFmtId="49" fontId="5" fillId="8" borderId="33" xfId="550" applyNumberFormat="1" applyFont="1" applyFill="1" applyBorder="1">
      <alignment horizontal="center" vertical="top" wrapText="1"/>
      <protection locked="0"/>
    </xf>
    <xf numFmtId="49" fontId="9" fillId="13" borderId="33" xfId="551" applyNumberFormat="1" applyFont="1" applyFill="1" applyBorder="1">
      <alignment horizontal="left" vertical="top" wrapText="1"/>
    </xf>
    <xf numFmtId="49" fontId="9" fillId="11" borderId="33" xfId="552" applyNumberFormat="1" applyFont="1" applyFill="1" applyBorder="1">
      <alignment horizontal="left" vertical="top" wrapText="1"/>
      <protection locked="0"/>
    </xf>
    <xf numFmtId="49" fontId="5" fillId="10" borderId="33" xfId="553" applyNumberFormat="1" applyFont="1" applyFill="1" applyBorder="1">
      <alignment horizontal="center" vertical="top" wrapText="1"/>
    </xf>
    <xf numFmtId="49" fontId="53" fillId="0" borderId="35" xfId="567" applyNumberFormat="1" applyFont="1" applyBorder="1">
      <alignment horizontal="left" vertical="center" indent="1"/>
    </xf>
    <xf numFmtId="49" fontId="53" fillId="0" borderId="35" xfId="568" applyNumberFormat="1" applyFont="1" applyBorder="1">
      <alignment horizontal="center" vertical="center"/>
    </xf>
    <xf numFmtId="49" fontId="53" fillId="0" borderId="12" xfId="573" applyNumberFormat="1" applyFont="1" applyBorder="1">
      <alignment horizontal="left" vertical="center" indent="1"/>
    </xf>
    <xf numFmtId="49" fontId="53" fillId="0" borderId="16" xfId="574" applyNumberFormat="1" applyFont="1" applyBorder="1">
      <alignment horizontal="left" vertical="center" indent="1"/>
    </xf>
    <xf numFmtId="49" fontId="53" fillId="0" borderId="16" xfId="575" applyNumberFormat="1" applyFont="1" applyBorder="1">
      <alignment vertical="top" wrapText="1"/>
    </xf>
    <xf numFmtId="49" fontId="53" fillId="0" borderId="11" xfId="576" applyNumberFormat="1" applyFont="1" applyBorder="1">
      <alignment vertical="top" wrapText="1"/>
    </xf>
    <xf numFmtId="4" fontId="19" fillId="0" borderId="40" xfId="579" applyNumberFormat="1" applyFont="1" applyBorder="1">
      <alignment horizontal="right" vertical="center" wrapText="1"/>
    </xf>
    <xf numFmtId="49" fontId="19" fillId="0" borderId="16" xfId="581" applyNumberFormat="1" applyFont="1" applyBorder="1">
      <alignment horizontal="left" vertical="center" indent="1"/>
    </xf>
    <xf numFmtId="49" fontId="53" fillId="0" borderId="50" xfId="582" applyNumberFormat="1" applyFont="1" applyBorder="1">
      <alignment vertical="top" wrapText="1"/>
    </xf>
    <xf numFmtId="49" fontId="53" fillId="0" borderId="50" xfId="583" applyNumberFormat="1" applyFont="1" applyBorder="1">
      <alignment horizontal="left" vertical="center" indent="1"/>
    </xf>
    <xf numFmtId="49" fontId="29" fillId="14" borderId="53" xfId="586" applyNumberFormat="1" applyFont="1" applyFill="1" applyBorder="1">
      <alignment horizontal="left" vertical="center" indent="1"/>
    </xf>
    <xf numFmtId="49" fontId="5" fillId="10" borderId="33" xfId="589" applyNumberFormat="1" applyFont="1" applyFill="1" applyBorder="1">
      <alignment vertical="top"/>
    </xf>
    <xf numFmtId="49" fontId="5" fillId="0" borderId="33" xfId="590" applyNumberFormat="1" applyFont="1" applyBorder="1">
      <alignment vertical="top"/>
    </xf>
    <xf numFmtId="49" fontId="9" fillId="13" borderId="23" xfId="591" applyNumberFormat="1" applyFont="1" applyFill="1" applyBorder="1">
      <alignment vertical="center" wrapText="1"/>
    </xf>
    <xf numFmtId="49" fontId="5" fillId="11" borderId="33" xfId="592" applyNumberFormat="1" applyFont="1" applyFill="1" applyBorder="1">
      <alignment vertical="top"/>
      <protection locked="0"/>
    </xf>
    <xf numFmtId="49" fontId="56" fillId="14" borderId="12" xfId="596" applyNumberFormat="1" applyFont="1" applyFill="1" applyBorder="1">
      <alignment horizontal="left" vertical="center" indent="1"/>
    </xf>
    <xf numFmtId="49" fontId="56" fillId="14" borderId="16" xfId="597" applyNumberFormat="1" applyFont="1" applyFill="1" applyBorder="1">
      <alignment horizontal="left" vertical="center" indent="1"/>
    </xf>
    <xf numFmtId="49" fontId="30" fillId="14" borderId="16" xfId="598" applyNumberFormat="1" applyFont="1" applyFill="1" applyBorder="1">
      <alignment vertical="top" wrapText="1"/>
    </xf>
    <xf numFmtId="49" fontId="5" fillId="11" borderId="23" xfId="599" applyNumberFormat="1" applyFont="1" applyFill="1" applyBorder="1">
      <alignment vertical="top"/>
      <protection locked="0"/>
    </xf>
    <xf numFmtId="14" fontId="9" fillId="13" borderId="33" xfId="600" applyNumberFormat="1" applyFont="1" applyFill="1" applyBorder="1">
      <alignment horizontal="left" vertical="center" wrapText="1" indent="1"/>
    </xf>
    <xf numFmtId="14" fontId="9" fillId="13" borderId="19" xfId="601" applyNumberFormat="1" applyFont="1" applyFill="1" applyBorder="1">
      <alignment horizontal="left" vertical="center" wrapText="1" indent="1"/>
    </xf>
    <xf numFmtId="49" fontId="9" fillId="13" borderId="33" xfId="602" applyNumberFormat="1" applyFont="1" applyFill="1" applyBorder="1">
      <alignment vertical="center" wrapText="1"/>
    </xf>
    <xf numFmtId="4" fontId="9" fillId="11" borderId="40" xfId="606" applyNumberFormat="1" applyFont="1" applyFill="1" applyBorder="1">
      <alignment horizontal="right" vertical="center" wrapText="1"/>
      <protection locked="0"/>
    </xf>
    <xf numFmtId="4" fontId="9" fillId="11" borderId="45" xfId="607" applyNumberFormat="1" applyFont="1" applyFill="1" applyBorder="1">
      <alignment horizontal="right" vertical="center" wrapText="1"/>
      <protection locked="0"/>
    </xf>
    <xf numFmtId="49" fontId="9" fillId="13" borderId="21" xfId="608" applyNumberFormat="1" applyFont="1" applyFill="1" applyBorder="1">
      <alignment vertical="center" wrapText="1"/>
    </xf>
    <xf numFmtId="49" fontId="5" fillId="11" borderId="21" xfId="610" applyNumberFormat="1" applyFont="1" applyFill="1" applyBorder="1">
      <alignment vertical="top"/>
      <protection locked="0"/>
    </xf>
    <xf numFmtId="49" fontId="55" fillId="0" borderId="33" xfId="611" applyNumberFormat="1" applyFont="1" applyBorder="1">
      <alignment horizontal="center" vertical="top" wrapText="1"/>
    </xf>
    <xf numFmtId="49" fontId="56" fillId="14" borderId="34" xfId="614" applyNumberFormat="1" applyFont="1" applyFill="1" applyBorder="1">
      <alignment horizontal="left" vertical="center" indent="1"/>
    </xf>
    <xf numFmtId="49" fontId="53" fillId="14" borderId="35" xfId="615" applyNumberFormat="1" applyFont="1" applyFill="1" applyBorder="1">
      <alignment horizontal="center" vertical="center"/>
    </xf>
    <xf numFmtId="49" fontId="56" fillId="14" borderId="35" xfId="616" applyNumberFormat="1" applyFont="1" applyFill="1" applyBorder="1">
      <alignment horizontal="left" vertical="center" indent="1"/>
    </xf>
    <xf numFmtId="49" fontId="30" fillId="14" borderId="11" xfId="619" applyNumberFormat="1" applyFont="1" applyFill="1" applyBorder="1">
      <alignment vertical="top" wrapText="1"/>
    </xf>
    <xf numFmtId="49" fontId="30" fillId="14" borderId="50" xfId="620" applyNumberFormat="1" applyFont="1" applyFill="1" applyBorder="1">
      <alignment vertical="top" wrapText="1"/>
    </xf>
    <xf numFmtId="49" fontId="56" fillId="14" borderId="50" xfId="621" applyNumberFormat="1" applyFont="1" applyFill="1" applyBorder="1">
      <alignment horizontal="left" vertical="center" indent="1"/>
    </xf>
    <xf numFmtId="49" fontId="30" fillId="12" borderId="0" xfId="622" applyNumberFormat="1" applyFont="1" applyFill="1">
      <alignment vertical="center"/>
    </xf>
    <xf numFmtId="0" fontId="52" fillId="0" borderId="54" xfId="623" applyFont="1" applyBorder="1">
      <alignment horizontal="left" vertical="center" indent="1"/>
    </xf>
    <xf numFmtId="49" fontId="9" fillId="0" borderId="55" xfId="624" applyNumberFormat="1" applyFont="1" applyBorder="1">
      <alignment horizontal="center" vertical="center"/>
    </xf>
    <xf numFmtId="0" fontId="9" fillId="0" borderId="55" xfId="625" applyFont="1" applyBorder="1">
      <alignment horizontal="right" vertical="center"/>
    </xf>
    <xf numFmtId="0" fontId="9" fillId="0" borderId="55" xfId="626" applyFont="1" applyBorder="1">
      <alignment horizontal="center" vertical="center"/>
    </xf>
    <xf numFmtId="0" fontId="9" fillId="0" borderId="16" xfId="627" applyFont="1" applyBorder="1">
      <alignment horizontal="right" vertical="center"/>
    </xf>
    <xf numFmtId="0" fontId="9" fillId="0" borderId="11" xfId="628" applyFont="1" applyBorder="1">
      <alignment horizontal="right" vertical="center"/>
    </xf>
    <xf numFmtId="0" fontId="9" fillId="0" borderId="14" xfId="629" applyFont="1" applyBorder="1">
      <alignment horizontal="right" vertical="center"/>
    </xf>
    <xf numFmtId="49" fontId="9" fillId="8" borderId="14" xfId="630" applyNumberFormat="1" applyFont="1" applyFill="1" applyBorder="1">
      <alignment horizontal="left" vertical="center" indent="1"/>
      <protection locked="0"/>
    </xf>
    <xf numFmtId="0" fontId="9" fillId="16" borderId="14" xfId="631" applyFont="1" applyFill="1" applyBorder="1">
      <alignment horizontal="right" vertical="center"/>
    </xf>
    <xf numFmtId="4" fontId="9" fillId="8" borderId="14" xfId="632" applyNumberFormat="1" applyFont="1" applyFill="1" applyBorder="1">
      <alignment horizontal="right" vertical="center"/>
      <protection locked="0"/>
    </xf>
    <xf numFmtId="49" fontId="29" fillId="14" borderId="56" xfId="633" applyNumberFormat="1" applyFont="1" applyFill="1" applyBorder="1">
      <alignment horizontal="left" vertical="center" indent="1"/>
    </xf>
    <xf numFmtId="49" fontId="29" fillId="24" borderId="11" xfId="634" applyNumberFormat="1" applyFont="1" applyFill="1" applyBorder="1">
      <alignment horizontal="left" vertical="center" indent="1"/>
    </xf>
    <xf numFmtId="49" fontId="25" fillId="0" borderId="19" xfId="639" applyNumberFormat="1" applyFont="1" applyBorder="1">
      <alignment vertical="top"/>
    </xf>
    <xf numFmtId="49" fontId="9" fillId="0" borderId="33" xfId="642" applyNumberFormat="1" applyFont="1" applyBorder="1">
      <alignment horizontal="center" vertical="center" wrapText="1"/>
    </xf>
    <xf numFmtId="4" fontId="9" fillId="10" borderId="14" xfId="644" applyNumberFormat="1" applyFont="1" applyFill="1" applyBorder="1">
      <alignment horizontal="right" vertical="center" wrapText="1"/>
    </xf>
    <xf numFmtId="2" fontId="9" fillId="0" borderId="21" xfId="645" applyNumberFormat="1" applyFont="1" applyBorder="1">
      <alignment horizontal="center" vertical="center" wrapText="1"/>
    </xf>
    <xf numFmtId="49" fontId="29" fillId="14" borderId="12" xfId="647" applyNumberFormat="1" applyFont="1" applyFill="1" applyBorder="1">
      <alignment horizontal="left" vertical="center"/>
    </xf>
    <xf numFmtId="4" fontId="25" fillId="0" borderId="14" xfId="651" applyNumberFormat="1" applyFont="1" applyBorder="1">
      <alignment horizontal="right" vertical="center" wrapText="1"/>
    </xf>
    <xf numFmtId="2" fontId="25" fillId="0" borderId="21" xfId="652" applyNumberFormat="1" applyFont="1" applyBorder="1">
      <alignment horizontal="center" vertical="center" wrapText="1"/>
    </xf>
    <xf numFmtId="49" fontId="25" fillId="0" borderId="12" xfId="653" applyNumberFormat="1" applyFont="1" applyBorder="1">
      <alignment horizontal="left" vertical="center"/>
    </xf>
    <xf numFmtId="49" fontId="25" fillId="0" borderId="16" xfId="654" applyNumberFormat="1" applyFont="1" applyBorder="1">
      <alignment horizontal="left" vertical="center" indent="1"/>
    </xf>
    <xf numFmtId="49" fontId="25" fillId="0" borderId="16" xfId="655" applyNumberFormat="1" applyFont="1" applyBorder="1">
      <alignment horizontal="left" vertical="center"/>
    </xf>
    <xf numFmtId="49" fontId="25" fillId="0" borderId="11" xfId="656" applyNumberFormat="1" applyFont="1" applyBorder="1">
      <alignment horizontal="left" vertical="center" indent="1"/>
    </xf>
    <xf numFmtId="49" fontId="5" fillId="0" borderId="17" xfId="658" applyNumberFormat="1" applyFont="1" applyBorder="1">
      <alignment vertical="top"/>
    </xf>
    <xf numFmtId="49" fontId="5" fillId="0" borderId="11" xfId="662" applyNumberFormat="1" applyFont="1" applyBorder="1">
      <alignment horizontal="center" vertical="center" wrapText="1"/>
    </xf>
    <xf numFmtId="4" fontId="5" fillId="10" borderId="14" xfId="664" applyNumberFormat="1" applyFont="1" applyFill="1" applyBorder="1">
      <alignment horizontal="right" vertical="center" wrapText="1"/>
    </xf>
    <xf numFmtId="49" fontId="5" fillId="0" borderId="25" xfId="668" applyNumberFormat="1" applyFont="1" applyBorder="1">
      <alignment horizontal="center" vertical="center" wrapText="1"/>
    </xf>
    <xf numFmtId="4" fontId="19" fillId="0" borderId="14" xfId="669" applyNumberFormat="1" applyFont="1" applyBorder="1">
      <alignment horizontal="right" vertical="center" wrapText="1"/>
    </xf>
    <xf numFmtId="49" fontId="5" fillId="14" borderId="26" xfId="670" applyNumberFormat="1" applyFont="1" applyFill="1" applyBorder="1">
      <alignment horizontal="center" vertical="center"/>
    </xf>
    <xf numFmtId="49" fontId="5" fillId="14" borderId="16" xfId="671" applyNumberFormat="1" applyFont="1" applyFill="1" applyBorder="1">
      <alignment horizontal="center" vertical="center"/>
    </xf>
    <xf numFmtId="49" fontId="5" fillId="0" borderId="19" xfId="673" applyNumberFormat="1" applyFont="1" applyBorder="1">
      <alignment vertical="top"/>
    </xf>
    <xf numFmtId="49" fontId="5" fillId="0" borderId="20" xfId="674" applyNumberFormat="1" applyFont="1" applyBorder="1">
      <alignment vertical="top"/>
    </xf>
    <xf numFmtId="49" fontId="5" fillId="0" borderId="33" xfId="684" applyNumberFormat="1" applyFont="1" applyBorder="1">
      <alignment horizontal="left" vertical="top"/>
    </xf>
    <xf numFmtId="49" fontId="5" fillId="13" borderId="33" xfId="685" applyNumberFormat="1" applyFont="1" applyFill="1" applyBorder="1">
      <alignment horizontal="left" vertical="top"/>
    </xf>
    <xf numFmtId="49" fontId="5" fillId="8" borderId="33" xfId="686" applyNumberFormat="1" applyFont="1" applyFill="1" applyBorder="1">
      <alignment horizontal="left" vertical="top"/>
      <protection locked="0"/>
    </xf>
    <xf numFmtId="49" fontId="9" fillId="13" borderId="0" xfId="687" applyNumberFormat="1" applyFont="1" applyFill="1">
      <alignment horizontal="center" vertical="center" wrapText="1"/>
    </xf>
    <xf numFmtId="49" fontId="5" fillId="13" borderId="33" xfId="689" applyNumberFormat="1" applyFont="1" applyFill="1" applyBorder="1">
      <alignment horizontal="left" vertical="center" wrapText="1"/>
    </xf>
    <xf numFmtId="49" fontId="25" fillId="0" borderId="14" xfId="692" applyNumberFormat="1" applyFont="1" applyBorder="1">
      <alignment horizontal="center" vertical="center" wrapText="1"/>
    </xf>
    <xf numFmtId="49" fontId="25" fillId="0" borderId="12" xfId="693" applyNumberFormat="1" applyFont="1" applyBorder="1">
      <alignment horizontal="left" vertical="center" wrapText="1"/>
    </xf>
    <xf numFmtId="49" fontId="5" fillId="8" borderId="33" xfId="697" applyNumberFormat="1" applyFont="1" applyFill="1" applyBorder="1">
      <alignment vertical="top"/>
      <protection locked="0"/>
    </xf>
    <xf numFmtId="49" fontId="9" fillId="0" borderId="33" xfId="699" applyNumberFormat="1" applyFont="1" applyBorder="1">
      <alignment vertical="center" wrapText="1"/>
    </xf>
    <xf numFmtId="49" fontId="9" fillId="0" borderId="23" xfId="701" applyNumberFormat="1" applyFont="1" applyBorder="1">
      <alignment horizontal="left" vertical="center" wrapText="1"/>
    </xf>
    <xf numFmtId="49" fontId="31" fillId="0" borderId="33" xfId="702" applyNumberFormat="1" applyFont="1" applyBorder="1">
      <alignment vertical="center" wrapText="1"/>
    </xf>
    <xf numFmtId="49" fontId="9" fillId="0" borderId="33" xfId="706" applyNumberFormat="1" applyFont="1" applyBorder="1">
      <alignment horizontal="left" vertical="center" wrapText="1"/>
    </xf>
    <xf numFmtId="49" fontId="31" fillId="0" borderId="33" xfId="714" applyNumberFormat="1" applyFont="1" applyBorder="1">
      <alignment horizontal="center" vertical="center" wrapText="1"/>
    </xf>
    <xf numFmtId="49" fontId="37" fillId="14" borderId="12" xfId="717" applyNumberFormat="1" applyFont="1" applyFill="1" applyBorder="1">
      <alignment vertical="top"/>
    </xf>
    <xf numFmtId="49" fontId="37" fillId="14" borderId="16" xfId="718" applyNumberFormat="1" applyFont="1" applyFill="1" applyBorder="1">
      <alignment vertical="top"/>
    </xf>
    <xf numFmtId="49" fontId="59" fillId="14" borderId="11" xfId="723" applyNumberFormat="1" applyFont="1" applyFill="1" applyBorder="1">
      <alignment horizontal="center" vertical="top"/>
    </xf>
    <xf numFmtId="49" fontId="18" fillId="11" borderId="12" xfId="725" applyNumberFormat="1" applyFont="1" applyFill="1" applyBorder="1">
      <alignment horizontal="left" vertical="center" wrapText="1"/>
      <protection locked="0"/>
    </xf>
    <xf numFmtId="49" fontId="59" fillId="14" borderId="16" xfId="726" applyNumberFormat="1" applyFont="1" applyFill="1" applyBorder="1">
      <alignment horizontal="center" vertical="top"/>
    </xf>
    <xf numFmtId="49" fontId="37" fillId="0" borderId="14" xfId="727" applyNumberFormat="1" applyFont="1" applyBorder="1">
      <alignment horizontal="center" vertical="center" wrapText="1"/>
    </xf>
    <xf numFmtId="49" fontId="60" fillId="0" borderId="12" xfId="729" applyNumberFormat="1" applyFont="1" applyBorder="1">
      <alignment horizontal="left" vertical="center" wrapText="1"/>
    </xf>
    <xf numFmtId="49" fontId="9" fillId="0" borderId="0" xfId="732" applyNumberFormat="1" applyFont="1">
      <alignment vertical="center" wrapText="1"/>
    </xf>
    <xf numFmtId="164" fontId="5" fillId="11" borderId="11" xfId="736" applyNumberFormat="1" applyFont="1" applyFill="1" applyBorder="1">
      <alignment horizontal="left" vertical="center" wrapText="1"/>
      <protection locked="0"/>
    </xf>
    <xf numFmtId="164" fontId="5" fillId="11" borderId="12" xfId="737" applyNumberFormat="1" applyFont="1" applyFill="1" applyBorder="1">
      <alignment horizontal="left" vertical="center" wrapText="1"/>
      <protection locked="0"/>
    </xf>
    <xf numFmtId="49" fontId="29" fillId="14" borderId="36" xfId="741" applyNumberFormat="1" applyFont="1" applyFill="1" applyBorder="1">
      <alignment horizontal="left" vertical="center"/>
    </xf>
    <xf numFmtId="49" fontId="5" fillId="12" borderId="23" xfId="752" applyNumberFormat="1" applyFont="1" applyFill="1" applyBorder="1">
      <alignment horizontal="center" vertical="center" wrapText="1"/>
    </xf>
    <xf numFmtId="49" fontId="29" fillId="14" borderId="36" xfId="756" applyNumberFormat="1" applyFont="1" applyFill="1" applyBorder="1">
      <alignment horizontal="left" vertical="center" indent="2"/>
    </xf>
    <xf numFmtId="49" fontId="5" fillId="12" borderId="12" xfId="761" applyNumberFormat="1" applyFont="1" applyFill="1" applyBorder="1">
      <alignment horizontal="center" vertical="center" wrapText="1"/>
    </xf>
    <xf numFmtId="49" fontId="18" fillId="8" borderId="14" xfId="762" applyNumberFormat="1" applyFont="1" applyFill="1" applyBorder="1">
      <alignment horizontal="left" vertical="center" wrapText="1"/>
      <protection locked="0"/>
    </xf>
    <xf numFmtId="49" fontId="9" fillId="0" borderId="17" xfId="763" applyNumberFormat="1" applyFont="1" applyBorder="1">
      <alignment vertical="top"/>
    </xf>
    <xf numFmtId="49" fontId="9" fillId="0" borderId="0" xfId="764" applyNumberFormat="1" applyFont="1">
      <alignment vertical="top" wrapText="1"/>
    </xf>
    <xf numFmtId="49" fontId="9" fillId="0" borderId="20" xfId="766" applyNumberFormat="1" applyFont="1" applyBorder="1">
      <alignment vertical="top"/>
    </xf>
    <xf numFmtId="4" fontId="9" fillId="8" borderId="14" xfId="788" applyNumberFormat="1" applyFont="1" applyFill="1" applyBorder="1">
      <alignment horizontal="right" vertical="center" wrapText="1"/>
      <protection locked="0"/>
    </xf>
    <xf numFmtId="4" fontId="9" fillId="0" borderId="14" xfId="789" applyNumberFormat="1" applyFont="1" applyBorder="1">
      <alignment horizontal="right" vertical="center" wrapText="1"/>
    </xf>
    <xf numFmtId="166" fontId="9" fillId="8" borderId="14" xfId="790" applyNumberFormat="1" applyFont="1" applyFill="1" applyBorder="1">
      <alignment horizontal="right" vertical="center" wrapText="1"/>
      <protection locked="0"/>
    </xf>
    <xf numFmtId="4" fontId="25" fillId="0" borderId="14" xfId="792" applyNumberFormat="1" applyFont="1" applyBorder="1">
      <alignment horizontal="center" vertical="center" wrapText="1"/>
    </xf>
    <xf numFmtId="49" fontId="38" fillId="14" borderId="12" xfId="794" applyNumberFormat="1" applyFont="1" applyFill="1" applyBorder="1">
      <alignment horizontal="left" vertical="center"/>
    </xf>
    <xf numFmtId="49" fontId="29" fillId="14" borderId="16" xfId="795" applyNumberFormat="1" applyFont="1" applyFill="1" applyBorder="1">
      <alignment horizontal="left" vertical="center" indent="6"/>
    </xf>
    <xf numFmtId="49" fontId="9" fillId="14" borderId="11" xfId="796" applyNumberFormat="1" applyFont="1" applyFill="1" applyBorder="1">
      <alignment horizontal="center" vertical="center" wrapText="1"/>
    </xf>
    <xf numFmtId="49" fontId="29" fillId="14" borderId="16" xfId="798" applyNumberFormat="1" applyFont="1" applyFill="1" applyBorder="1">
      <alignment horizontal="left" vertical="center" indent="5"/>
    </xf>
    <xf numFmtId="49" fontId="5" fillId="14" borderId="16" xfId="799" applyNumberFormat="1" applyFont="1" applyFill="1" applyBorder="1">
      <alignment horizontal="center" vertical="center" wrapText="1"/>
    </xf>
    <xf numFmtId="49" fontId="5" fillId="14" borderId="11" xfId="800" applyNumberFormat="1" applyFont="1" applyFill="1" applyBorder="1">
      <alignment horizontal="center" vertical="center" wrapText="1"/>
    </xf>
    <xf numFmtId="49" fontId="29" fillId="14" borderId="16" xfId="801" applyNumberFormat="1" applyFont="1" applyFill="1" applyBorder="1">
      <alignment horizontal="left" vertical="center" indent="4"/>
    </xf>
    <xf numFmtId="49" fontId="61" fillId="0" borderId="17" xfId="802" applyNumberFormat="1" applyFont="1" applyBorder="1">
      <alignment horizontal="left" vertical="center"/>
    </xf>
    <xf numFmtId="49" fontId="25" fillId="0" borderId="17" xfId="803" applyNumberFormat="1" applyFont="1" applyBorder="1">
      <alignment horizontal="left" vertical="center" indent="3"/>
    </xf>
    <xf numFmtId="49" fontId="25" fillId="0" borderId="17" xfId="804" applyNumberFormat="1" applyFont="1" applyBorder="1">
      <alignment horizontal="center" vertical="center" wrapText="1"/>
    </xf>
    <xf numFmtId="49" fontId="25" fillId="0" borderId="0" xfId="805" applyNumberFormat="1" applyFont="1">
      <alignment horizontal="left" vertical="center" indent="2"/>
    </xf>
    <xf numFmtId="49" fontId="25" fillId="0" borderId="0" xfId="806" applyNumberFormat="1" applyFont="1">
      <alignment horizontal="left" vertical="center" indent="1"/>
    </xf>
    <xf numFmtId="166" fontId="19" fillId="0" borderId="14" xfId="807" applyNumberFormat="1" applyFont="1" applyBorder="1">
      <alignment horizontal="right" vertical="center" wrapText="1"/>
    </xf>
    <xf numFmtId="49" fontId="19" fillId="0" borderId="14" xfId="809" applyNumberFormat="1" applyFont="1" applyBorder="1">
      <alignment vertical="center" wrapText="1"/>
    </xf>
    <xf numFmtId="49" fontId="46" fillId="12" borderId="17" xfId="826" applyNumberFormat="1" applyFont="1" applyFill="1" applyBorder="1">
      <alignment horizontal="left" vertical="center" wrapText="1"/>
    </xf>
    <xf numFmtId="49" fontId="46" fillId="12" borderId="17" xfId="827" applyNumberFormat="1" applyFont="1" applyFill="1" applyBorder="1">
      <alignment horizontal="center" vertical="center" wrapText="1"/>
    </xf>
    <xf numFmtId="4" fontId="9" fillId="0" borderId="23" xfId="832" applyNumberFormat="1" applyFont="1" applyBorder="1">
      <alignment horizontal="right" vertical="center" wrapText="1"/>
    </xf>
    <xf numFmtId="4" fontId="9" fillId="0" borderId="21" xfId="834" applyNumberFormat="1" applyFont="1" applyBorder="1">
      <alignment horizontal="right" vertical="center" wrapText="1"/>
    </xf>
    <xf numFmtId="166" fontId="9" fillId="0" borderId="14" xfId="835" applyNumberFormat="1" applyFont="1" applyBorder="1">
      <alignment horizontal="right" vertical="center" wrapText="1"/>
    </xf>
    <xf numFmtId="49" fontId="61" fillId="0" borderId="12" xfId="844" applyNumberFormat="1" applyFont="1" applyBorder="1">
      <alignment horizontal="left" vertical="center"/>
    </xf>
    <xf numFmtId="49" fontId="25" fillId="0" borderId="16" xfId="845" applyNumberFormat="1" applyFont="1" applyBorder="1">
      <alignment horizontal="left" vertical="center" indent="4"/>
    </xf>
    <xf numFmtId="49" fontId="25" fillId="0" borderId="16" xfId="846" applyNumberFormat="1" applyFont="1" applyBorder="1">
      <alignment horizontal="center" vertical="center" wrapText="1"/>
    </xf>
    <xf numFmtId="49" fontId="25" fillId="0" borderId="11" xfId="847" applyNumberFormat="1" applyFont="1" applyBorder="1">
      <alignment horizontal="center" vertical="center" wrapText="1"/>
    </xf>
    <xf numFmtId="4" fontId="9" fillId="8" borderId="21" xfId="861" applyNumberFormat="1" applyFont="1" applyFill="1" applyBorder="1">
      <alignment horizontal="right" vertical="center" wrapText="1"/>
      <protection locked="0"/>
    </xf>
    <xf numFmtId="166" fontId="9" fillId="8" borderId="21" xfId="862" applyNumberFormat="1" applyFont="1" applyFill="1" applyBorder="1">
      <alignment horizontal="right" vertical="center" wrapText="1"/>
      <protection locked="0"/>
    </xf>
    <xf numFmtId="166" fontId="9" fillId="8" borderId="12" xfId="868" applyNumberFormat="1" applyFont="1" applyFill="1" applyBorder="1">
      <alignment horizontal="right" vertical="center" wrapText="1"/>
      <protection locked="0"/>
    </xf>
    <xf numFmtId="4" fontId="9" fillId="8" borderId="11" xfId="869" applyNumberFormat="1" applyFont="1" applyFill="1" applyBorder="1">
      <alignment horizontal="right" vertical="center" wrapText="1"/>
      <protection locked="0"/>
    </xf>
    <xf numFmtId="4" fontId="25" fillId="0" borderId="12" xfId="872" applyNumberFormat="1" applyFont="1" applyBorder="1">
      <alignment horizontal="center" vertical="center" wrapText="1"/>
    </xf>
    <xf numFmtId="4" fontId="9" fillId="0" borderId="11" xfId="873" applyNumberFormat="1" applyFont="1" applyBorder="1">
      <alignment horizontal="right" vertical="center" wrapText="1"/>
    </xf>
    <xf numFmtId="4" fontId="9" fillId="14" borderId="16" xfId="875" applyNumberFormat="1" applyFont="1" applyFill="1" applyBorder="1">
      <alignment horizontal="right" vertical="center" wrapText="1"/>
    </xf>
    <xf numFmtId="4" fontId="25" fillId="14" borderId="16" xfId="876" applyNumberFormat="1" applyFont="1" applyFill="1" applyBorder="1">
      <alignment horizontal="center" vertical="center" wrapText="1"/>
    </xf>
    <xf numFmtId="4" fontId="9" fillId="14" borderId="11" xfId="877" applyNumberFormat="1" applyFont="1" applyFill="1" applyBorder="1">
      <alignment horizontal="right" vertical="center" wrapText="1"/>
    </xf>
    <xf numFmtId="49" fontId="9" fillId="14" borderId="36" xfId="878" applyNumberFormat="1" applyFont="1" applyFill="1" applyBorder="1">
      <alignment horizontal="center" vertical="center" wrapText="1"/>
    </xf>
    <xf numFmtId="49" fontId="9" fillId="0" borderId="14" xfId="879" applyNumberFormat="1" applyFont="1" applyBorder="1">
      <alignment vertical="center" wrapText="1"/>
    </xf>
    <xf numFmtId="49" fontId="9" fillId="11" borderId="23" xfId="887" applyNumberFormat="1" applyFont="1" applyFill="1" applyBorder="1">
      <alignment horizontal="left" vertical="center" wrapText="1" indent="6"/>
      <protection locked="0"/>
    </xf>
    <xf numFmtId="166" fontId="9" fillId="14" borderId="11" xfId="892" applyNumberFormat="1" applyFont="1" applyFill="1" applyBorder="1">
      <alignment horizontal="right" vertical="center" wrapText="1"/>
    </xf>
    <xf numFmtId="166" fontId="9" fillId="14" borderId="16" xfId="893" applyNumberFormat="1" applyFont="1" applyFill="1" applyBorder="1">
      <alignment horizontal="right" vertical="center" wrapText="1"/>
    </xf>
    <xf numFmtId="4" fontId="9" fillId="0" borderId="33" xfId="894" applyNumberFormat="1" applyFont="1" applyBorder="1">
      <alignment horizontal="right" vertical="center" wrapText="1"/>
    </xf>
    <xf numFmtId="49" fontId="29" fillId="14" borderId="12" xfId="895" applyNumberFormat="1" applyFont="1" applyFill="1" applyBorder="1">
      <alignment horizontal="left" vertical="center" indent="1"/>
    </xf>
    <xf numFmtId="4" fontId="25" fillId="14" borderId="11" xfId="897" applyNumberFormat="1" applyFont="1" applyFill="1" applyBorder="1">
      <alignment horizontal="center" vertical="center" wrapText="1"/>
    </xf>
    <xf numFmtId="49" fontId="29" fillId="14" borderId="12" xfId="898" applyNumberFormat="1" applyFont="1" applyFill="1" applyBorder="1">
      <alignment vertical="center" wrapText="1"/>
    </xf>
    <xf numFmtId="49" fontId="29" fillId="14" borderId="16" xfId="899" applyNumberFormat="1" applyFont="1" applyFill="1" applyBorder="1">
      <alignment vertical="center" wrapText="1"/>
    </xf>
    <xf numFmtId="49" fontId="25" fillId="0" borderId="20" xfId="900" applyNumberFormat="1" applyFont="1" applyBorder="1">
      <alignment vertical="top"/>
    </xf>
    <xf numFmtId="49" fontId="25" fillId="0" borderId="0" xfId="901" applyNumberFormat="1" applyFont="1">
      <alignment horizontal="center" vertical="center" wrapText="1"/>
    </xf>
    <xf numFmtId="166" fontId="25" fillId="0" borderId="14" xfId="903" applyNumberFormat="1" applyFont="1" applyBorder="1">
      <alignment horizontal="right" vertical="center" wrapText="1"/>
    </xf>
    <xf numFmtId="164" fontId="25" fillId="0" borderId="14" xfId="904" applyNumberFormat="1" applyFont="1" applyBorder="1">
      <alignment horizontal="center" vertical="center" wrapText="1"/>
    </xf>
    <xf numFmtId="49" fontId="9" fillId="14" borderId="12" xfId="921" applyNumberFormat="1" applyFont="1" applyFill="1" applyBorder="1">
      <alignment horizontal="center" vertical="center" wrapText="1"/>
    </xf>
    <xf numFmtId="49" fontId="36" fillId="0" borderId="20" xfId="922" applyNumberFormat="1" applyFont="1" applyBorder="1">
      <alignment vertical="top"/>
    </xf>
    <xf numFmtId="49" fontId="65" fillId="14" borderId="12" xfId="927" applyNumberFormat="1" applyFont="1" applyFill="1" applyBorder="1">
      <alignment horizontal="left" vertical="center"/>
    </xf>
    <xf numFmtId="49" fontId="66" fillId="14" borderId="16" xfId="928" applyNumberFormat="1" applyFont="1" applyFill="1" applyBorder="1">
      <alignment horizontal="left" vertical="center" indent="3"/>
    </xf>
    <xf numFmtId="49" fontId="36" fillId="14" borderId="16" xfId="929" applyNumberFormat="1" applyFont="1" applyFill="1" applyBorder="1">
      <alignment horizontal="center" vertical="center" wrapText="1"/>
    </xf>
    <xf numFmtId="49" fontId="37" fillId="14" borderId="16" xfId="930" applyNumberFormat="1" applyFont="1" applyFill="1" applyBorder="1">
      <alignment horizontal="center" vertical="center" wrapText="1"/>
    </xf>
    <xf numFmtId="49" fontId="37" fillId="14" borderId="11" xfId="931" applyNumberFormat="1" applyFont="1" applyFill="1" applyBorder="1">
      <alignment horizontal="center" vertical="center" wrapText="1"/>
    </xf>
    <xf numFmtId="49" fontId="66" fillId="14" borderId="16" xfId="932" applyNumberFormat="1" applyFont="1" applyFill="1" applyBorder="1">
      <alignment horizontal="left" vertical="center" indent="2"/>
    </xf>
    <xf numFmtId="49" fontId="66" fillId="14" borderId="16" xfId="933" applyNumberFormat="1" applyFont="1" applyFill="1" applyBorder="1">
      <alignment horizontal="left" vertical="center" indent="1"/>
    </xf>
    <xf numFmtId="49" fontId="37" fillId="14" borderId="12" xfId="934" applyNumberFormat="1" applyFont="1" applyFill="1" applyBorder="1">
      <alignment horizontal="left" vertical="top"/>
    </xf>
    <xf numFmtId="49" fontId="66" fillId="14" borderId="16" xfId="935" applyNumberFormat="1" applyFont="1" applyFill="1" applyBorder="1">
      <alignment horizontal="left" vertical="center"/>
    </xf>
    <xf numFmtId="49" fontId="9" fillId="8" borderId="23" xfId="936" applyNumberFormat="1" applyFont="1" applyFill="1" applyBorder="1">
      <alignment horizontal="left" vertical="center" wrapText="1" indent="6"/>
      <protection locked="0"/>
    </xf>
    <xf numFmtId="4" fontId="9" fillId="11" borderId="14" xfId="937" applyNumberFormat="1" applyFont="1" applyFill="1" applyBorder="1">
      <alignment horizontal="left" vertical="center" wrapText="1" indent="1"/>
      <protection locked="0"/>
    </xf>
    <xf numFmtId="49" fontId="67" fillId="0" borderId="0" xfId="941" applyNumberFormat="1" applyFont="1">
      <alignment horizontal="center" vertical="center" wrapText="1"/>
    </xf>
    <xf numFmtId="164" fontId="5" fillId="11" borderId="14" xfId="943" applyNumberFormat="1" applyFont="1" applyFill="1" applyBorder="1">
      <alignment horizontal="left" vertical="center" wrapText="1"/>
      <protection locked="0"/>
    </xf>
    <xf numFmtId="49" fontId="29" fillId="14" borderId="16" xfId="944" applyNumberFormat="1" applyFont="1" applyFill="1" applyBorder="1">
      <alignment horizontal="left" vertical="center" indent="3"/>
    </xf>
    <xf numFmtId="49" fontId="29" fillId="0" borderId="17" xfId="948" applyNumberFormat="1" applyFont="1" applyBorder="1">
      <alignment horizontal="left" vertical="center"/>
    </xf>
    <xf numFmtId="49" fontId="29" fillId="0" borderId="17" xfId="949" applyNumberFormat="1" applyFont="1" applyBorder="1">
      <alignment horizontal="left" vertical="center" indent="2"/>
    </xf>
    <xf numFmtId="49" fontId="59" fillId="0" borderId="17" xfId="950" applyNumberFormat="1" applyFont="1" applyBorder="1">
      <alignment horizontal="center" vertical="top"/>
    </xf>
    <xf numFmtId="0" fontId="9" fillId="0" borderId="16" xfId="953" applyFont="1" applyBorder="1">
      <alignment horizontal="right" vertical="center" wrapText="1" indent="1"/>
    </xf>
    <xf numFmtId="0" fontId="9" fillId="10" borderId="12" xfId="955" applyFont="1" applyFill="1" applyBorder="1">
      <alignment horizontal="left" vertical="top" wrapText="1" indent="1"/>
    </xf>
    <xf numFmtId="49" fontId="28" fillId="0" borderId="0" xfId="959" applyNumberFormat="1" applyFont="1">
      <alignment horizontal="center" vertical="center" wrapText="1"/>
    </xf>
    <xf numFmtId="3" fontId="9" fillId="0" borderId="12" xfId="960" applyNumberFormat="1" applyFont="1" applyBorder="1">
      <alignment vertical="center" wrapText="1"/>
    </xf>
    <xf numFmtId="3" fontId="9" fillId="8" borderId="12" xfId="961" applyNumberFormat="1" applyFont="1" applyFill="1" applyBorder="1">
      <alignment horizontal="right" vertical="center" wrapText="1"/>
      <protection locked="0"/>
    </xf>
    <xf numFmtId="4" fontId="9" fillId="8" borderId="12" xfId="963" applyNumberFormat="1" applyFont="1" applyFill="1" applyBorder="1">
      <alignment horizontal="right" vertical="center" wrapText="1"/>
      <protection locked="0"/>
    </xf>
    <xf numFmtId="4" fontId="9" fillId="0" borderId="12" xfId="964" applyNumberFormat="1" applyFont="1" applyBorder="1">
      <alignment horizontal="right" vertical="center" wrapText="1"/>
    </xf>
    <xf numFmtId="4" fontId="9" fillId="0" borderId="26" xfId="965" applyNumberFormat="1" applyFont="1" applyBorder="1">
      <alignment horizontal="right" vertical="center" wrapText="1"/>
    </xf>
    <xf numFmtId="3" fontId="9" fillId="11" borderId="12" xfId="967" applyNumberFormat="1" applyFont="1" applyFill="1" applyBorder="1">
      <alignment vertical="center" wrapText="1"/>
      <protection locked="0"/>
    </xf>
    <xf numFmtId="49" fontId="9" fillId="8" borderId="12" xfId="968" applyNumberFormat="1" applyFont="1" applyFill="1" applyBorder="1">
      <alignment horizontal="left" vertical="center" wrapText="1"/>
      <protection locked="0"/>
    </xf>
    <xf numFmtId="4" fontId="9" fillId="10" borderId="12" xfId="969" applyNumberFormat="1" applyFont="1" applyFill="1" applyBorder="1">
      <alignment horizontal="right" vertical="center" wrapText="1"/>
    </xf>
    <xf numFmtId="164" fontId="5" fillId="8" borderId="14" xfId="972" applyNumberFormat="1" applyFont="1" applyFill="1" applyBorder="1">
      <alignment horizontal="left" vertical="center" wrapText="1" indent="1"/>
      <protection locked="0"/>
    </xf>
    <xf numFmtId="49" fontId="5" fillId="0" borderId="12" xfId="973" applyNumberFormat="1" applyFont="1" applyBorder="1">
      <alignment horizontal="center" vertical="center"/>
    </xf>
    <xf numFmtId="49" fontId="5" fillId="0" borderId="14" xfId="974" applyNumberFormat="1" applyFont="1" applyBorder="1">
      <alignment vertical="center" wrapText="1"/>
    </xf>
    <xf numFmtId="0" fontId="19" fillId="14" borderId="11" xfId="975" applyFont="1" applyFill="1" applyBorder="1">
      <alignment vertical="center" wrapText="1"/>
    </xf>
    <xf numFmtId="0" fontId="9" fillId="14" borderId="17" xfId="976" applyFont="1" applyFill="1" applyBorder="1">
      <alignment vertical="center" wrapText="1"/>
    </xf>
    <xf numFmtId="0" fontId="9" fillId="14" borderId="36" xfId="977" applyFont="1" applyFill="1" applyBorder="1">
      <alignment vertical="center" wrapText="1"/>
    </xf>
    <xf numFmtId="49" fontId="9" fillId="8" borderId="14" xfId="983" applyNumberFormat="1" applyFont="1" applyFill="1" applyBorder="1">
      <alignment horizontal="left" vertical="center" wrapText="1" indent="6"/>
      <protection locked="0"/>
    </xf>
    <xf numFmtId="4" fontId="9" fillId="0" borderId="24" xfId="984" applyNumberFormat="1" applyFont="1" applyBorder="1">
      <alignment horizontal="right" vertical="center" wrapText="1"/>
    </xf>
    <xf numFmtId="49" fontId="5" fillId="14" borderId="25" xfId="986" applyNumberFormat="1" applyFont="1" applyFill="1" applyBorder="1">
      <alignment horizontal="center" vertical="center" wrapText="1"/>
    </xf>
    <xf numFmtId="49" fontId="9" fillId="11" borderId="14" xfId="1000" applyNumberFormat="1" applyFont="1" applyFill="1" applyBorder="1">
      <alignment horizontal="center" vertical="center" wrapText="1"/>
      <protection locked="0"/>
    </xf>
    <xf numFmtId="0" fontId="9" fillId="8" borderId="14" xfId="1001" applyFont="1" applyFill="1" applyBorder="1">
      <alignment horizontal="left" vertical="center" wrapText="1"/>
      <protection locked="0"/>
    </xf>
    <xf numFmtId="0" fontId="9" fillId="0" borderId="11" xfId="1002" applyFont="1" applyBorder="1">
      <alignment vertical="top" wrapText="1"/>
    </xf>
    <xf numFmtId="167" fontId="9" fillId="8" borderId="14" xfId="1003" applyNumberFormat="1" applyFont="1" applyFill="1" applyBorder="1">
      <alignment horizontal="right" vertical="center" wrapText="1"/>
      <protection locked="0"/>
    </xf>
    <xf numFmtId="0" fontId="61" fillId="12" borderId="0" xfId="1005" applyFont="1" applyFill="1">
      <alignment horizontal="right" vertical="center"/>
    </xf>
    <xf numFmtId="0" fontId="9" fillId="10" borderId="12" xfId="1006" applyFont="1" applyFill="1" applyBorder="1">
      <alignment horizontal="left" vertical="top" wrapText="1"/>
    </xf>
    <xf numFmtId="4" fontId="9" fillId="11" borderId="14" xfId="1007" applyNumberFormat="1" applyFont="1" applyFill="1" applyBorder="1">
      <alignment horizontal="right" vertical="center" wrapText="1"/>
      <protection locked="0"/>
    </xf>
    <xf numFmtId="49" fontId="36" fillId="0" borderId="57" xfId="1010" applyNumberFormat="1" applyFont="1" applyBorder="1">
      <alignment horizontal="center" vertical="center" wrapText="1"/>
    </xf>
    <xf numFmtId="4" fontId="36" fillId="0" borderId="14" xfId="1016" applyNumberFormat="1" applyFont="1" applyBorder="1">
      <alignment horizontal="right" vertical="center" wrapText="1"/>
    </xf>
    <xf numFmtId="49" fontId="9" fillId="14" borderId="12" xfId="1017" applyNumberFormat="1" applyFont="1" applyFill="1" applyBorder="1">
      <alignment vertical="center" wrapText="1"/>
    </xf>
    <xf numFmtId="49" fontId="15" fillId="7" borderId="0" xfId="1019" applyNumberFormat="1" applyFont="1" applyFill="1">
      <alignment horizontal="center" vertical="center" wrapText="1"/>
    </xf>
    <xf numFmtId="167" fontId="9" fillId="11" borderId="14" xfId="1020" applyNumberFormat="1" applyFont="1" applyFill="1" applyBorder="1">
      <alignment horizontal="right" vertical="center" wrapText="1"/>
      <protection locked="0"/>
    </xf>
    <xf numFmtId="4" fontId="9" fillId="10" borderId="23" xfId="1022" applyNumberFormat="1" applyFont="1" applyFill="1" applyBorder="1">
      <alignment horizontal="right" vertical="center" wrapText="1"/>
    </xf>
    <xf numFmtId="49" fontId="25" fillId="0" borderId="14" xfId="1024" applyNumberFormat="1" applyFont="1" applyBorder="1">
      <alignment vertical="center" wrapText="1"/>
    </xf>
    <xf numFmtId="4" fontId="9" fillId="11" borderId="11" xfId="1027" applyNumberFormat="1" applyFont="1" applyFill="1" applyBorder="1">
      <alignment horizontal="right" vertical="center" wrapText="1"/>
      <protection locked="0"/>
    </xf>
    <xf numFmtId="167" fontId="9" fillId="11" borderId="11" xfId="1030" applyNumberFormat="1" applyFont="1" applyFill="1" applyBorder="1">
      <alignment horizontal="right" vertical="center" wrapText="1"/>
      <protection locked="0"/>
    </xf>
    <xf numFmtId="167" fontId="9" fillId="10" borderId="11" xfId="1031" applyNumberFormat="1" applyFont="1" applyFill="1" applyBorder="1">
      <alignment horizontal="right" vertical="center" wrapText="1"/>
    </xf>
    <xf numFmtId="167" fontId="9" fillId="10" borderId="14" xfId="1032" applyNumberFormat="1" applyFont="1" applyFill="1" applyBorder="1">
      <alignment horizontal="right" vertical="center" wrapText="1"/>
    </xf>
    <xf numFmtId="4" fontId="9" fillId="11" borderId="25" xfId="1033" applyNumberFormat="1" applyFont="1" applyFill="1" applyBorder="1">
      <alignment horizontal="right" vertical="center" wrapText="1"/>
      <protection locked="0"/>
    </xf>
    <xf numFmtId="4" fontId="9" fillId="11" borderId="21" xfId="1034" applyNumberFormat="1" applyFont="1" applyFill="1" applyBorder="1">
      <alignment horizontal="right" vertical="center" wrapText="1"/>
      <protection locked="0"/>
    </xf>
    <xf numFmtId="49" fontId="9" fillId="14" borderId="24" xfId="1038" applyNumberFormat="1" applyFont="1" applyFill="1" applyBorder="1">
      <alignment vertical="center" wrapText="1"/>
    </xf>
    <xf numFmtId="49" fontId="29" fillId="14" borderId="17" xfId="1039" applyNumberFormat="1" applyFont="1" applyFill="1" applyBorder="1">
      <alignment horizontal="left" vertical="center" indent="1"/>
    </xf>
    <xf numFmtId="167" fontId="9" fillId="11" borderId="23" xfId="1040" applyNumberFormat="1" applyFont="1" applyFill="1" applyBorder="1">
      <alignment horizontal="right" vertical="center" wrapText="1"/>
      <protection locked="0"/>
    </xf>
    <xf numFmtId="49" fontId="15" fillId="0" borderId="0" xfId="1043" applyNumberFormat="1" applyFont="1">
      <alignment horizontal="center" vertical="center" wrapText="1"/>
    </xf>
    <xf numFmtId="49" fontId="29" fillId="0" borderId="17" xfId="1050" applyNumberFormat="1" applyFont="1" applyBorder="1">
      <alignment horizontal="right" vertical="center"/>
    </xf>
    <xf numFmtId="49" fontId="10" fillId="0" borderId="0" xfId="1051" applyNumberFormat="1" applyFont="1">
      <alignment horizontal="center" vertical="center" wrapText="1"/>
    </xf>
    <xf numFmtId="0" fontId="25" fillId="0" borderId="12" xfId="1055" applyFont="1" applyBorder="1">
      <alignment horizontal="left" vertical="top" wrapText="1"/>
    </xf>
    <xf numFmtId="49" fontId="9" fillId="0" borderId="57" xfId="1056" applyNumberFormat="1" applyFont="1" applyBorder="1">
      <alignment horizontal="center" vertical="center" wrapText="1"/>
    </xf>
    <xf numFmtId="49" fontId="9" fillId="0" borderId="58" xfId="1058" applyNumberFormat="1" applyFont="1" applyBorder="1">
      <alignment horizontal="center" vertical="center" wrapText="1"/>
    </xf>
    <xf numFmtId="49" fontId="9" fillId="0" borderId="59" xfId="1059" applyNumberFormat="1" applyFont="1" applyBorder="1">
      <alignment horizontal="center" vertical="center" wrapText="1"/>
    </xf>
    <xf numFmtId="4" fontId="9" fillId="11" borderId="23" xfId="1060" applyNumberFormat="1" applyFont="1" applyFill="1" applyBorder="1">
      <alignment horizontal="right" vertical="center" wrapText="1"/>
      <protection locked="0"/>
    </xf>
    <xf numFmtId="49" fontId="29" fillId="14" borderId="17" xfId="1061" applyNumberFormat="1" applyFont="1" applyFill="1" applyBorder="1">
      <alignment horizontal="left" vertical="center" indent="2"/>
    </xf>
    <xf numFmtId="49" fontId="5" fillId="0" borderId="14" xfId="1062" applyNumberFormat="1" applyFont="1" applyBorder="1">
      <alignment horizontal="left" vertical="center" wrapText="1" indent="2"/>
    </xf>
    <xf numFmtId="49" fontId="9" fillId="0" borderId="60" xfId="1063" applyNumberFormat="1" applyFont="1" applyBorder="1">
      <alignment horizontal="center" vertical="center" wrapText="1"/>
    </xf>
    <xf numFmtId="0" fontId="25" fillId="0" borderId="36" xfId="1064" applyFont="1" applyBorder="1">
      <alignment vertical="center" wrapText="1"/>
    </xf>
    <xf numFmtId="49" fontId="18" fillId="8" borderId="12" xfId="1067" applyNumberFormat="1" applyFont="1" applyFill="1" applyBorder="1">
      <alignment horizontal="left" vertical="center" wrapText="1"/>
      <protection locked="0"/>
    </xf>
    <xf numFmtId="4" fontId="9" fillId="8" borderId="14" xfId="1069" applyNumberFormat="1" applyFont="1" applyFill="1" applyBorder="1">
      <alignment horizontal="left" vertical="center" wrapText="1"/>
      <protection locked="0"/>
    </xf>
    <xf numFmtId="4" fontId="9" fillId="8" borderId="12" xfId="1070" applyNumberFormat="1" applyFont="1" applyFill="1" applyBorder="1">
      <alignment horizontal="left" vertical="center" wrapText="1"/>
      <protection locked="0"/>
    </xf>
    <xf numFmtId="49" fontId="18" fillId="0" borderId="14" xfId="1071" applyNumberFormat="1" applyFont="1" applyBorder="1">
      <alignment horizontal="left" vertical="center" wrapText="1"/>
    </xf>
    <xf numFmtId="49" fontId="9" fillId="0" borderId="43" xfId="1072" applyNumberFormat="1" applyFont="1" applyBorder="1">
      <alignment horizontal="center" vertical="center" wrapText="1"/>
    </xf>
    <xf numFmtId="4" fontId="9" fillId="0" borderId="61" xfId="1074" applyNumberFormat="1" applyFont="1" applyBorder="1">
      <alignment horizontal="center" vertical="center" wrapText="1"/>
    </xf>
    <xf numFmtId="49" fontId="18" fillId="0" borderId="26" xfId="1075" applyNumberFormat="1" applyFont="1" applyBorder="1">
      <alignment horizontal="left" vertical="center" wrapText="1"/>
    </xf>
    <xf numFmtId="49" fontId="9" fillId="0" borderId="40" xfId="1076" applyNumberFormat="1" applyFont="1" applyBorder="1">
      <alignment horizontal="center" vertical="center" wrapText="1"/>
    </xf>
    <xf numFmtId="49" fontId="18" fillId="0" borderId="12" xfId="1078" applyNumberFormat="1" applyFont="1" applyBorder="1">
      <alignment horizontal="left" vertical="center" wrapText="1"/>
    </xf>
    <xf numFmtId="4" fontId="9" fillId="0" borderId="23" xfId="1079" applyNumberFormat="1" applyFont="1" applyBorder="1">
      <alignment horizontal="center" vertical="center" wrapText="1"/>
    </xf>
    <xf numFmtId="4" fontId="9" fillId="11" borderId="62" xfId="1080" applyNumberFormat="1" applyFont="1" applyFill="1" applyBorder="1">
      <alignment horizontal="right" vertical="center" wrapText="1"/>
      <protection locked="0"/>
    </xf>
    <xf numFmtId="49" fontId="18" fillId="0" borderId="16" xfId="1082" applyNumberFormat="1" applyFont="1" applyBorder="1">
      <alignment horizontal="left" vertical="center" wrapText="1"/>
    </xf>
    <xf numFmtId="4" fontId="9" fillId="0" borderId="43" xfId="1084" applyNumberFormat="1" applyFont="1" applyBorder="1">
      <alignment horizontal="center" vertical="center" wrapText="1"/>
    </xf>
    <xf numFmtId="4" fontId="9" fillId="0" borderId="40" xfId="1087" applyNumberFormat="1" applyFont="1" applyBorder="1">
      <alignment horizontal="center" vertical="center" wrapText="1"/>
    </xf>
    <xf numFmtId="49" fontId="9" fillId="0" borderId="44" xfId="1088" applyNumberFormat="1" applyFont="1" applyBorder="1">
      <alignment horizontal="center" vertical="center" wrapText="1"/>
    </xf>
    <xf numFmtId="4" fontId="9" fillId="0" borderId="62" xfId="1090" applyNumberFormat="1" applyFont="1" applyBorder="1">
      <alignment horizontal="center" vertical="center" wrapText="1"/>
    </xf>
    <xf numFmtId="49" fontId="18" fillId="0" borderId="24" xfId="1091" applyNumberFormat="1" applyFont="1" applyBorder="1">
      <alignment horizontal="left" vertical="center" wrapText="1"/>
    </xf>
    <xf numFmtId="49" fontId="9" fillId="0" borderId="45" xfId="1092" applyNumberFormat="1" applyFont="1" applyBorder="1">
      <alignment horizontal="center" vertical="center" wrapText="1"/>
    </xf>
    <xf numFmtId="4" fontId="9" fillId="11" borderId="12" xfId="1093" applyNumberFormat="1" applyFont="1" applyFill="1" applyBorder="1">
      <alignment horizontal="right" vertical="center" wrapText="1"/>
      <protection locked="0"/>
    </xf>
    <xf numFmtId="4" fontId="9" fillId="0" borderId="45" xfId="1094" applyNumberFormat="1" applyFont="1" applyBorder="1">
      <alignment horizontal="center" vertical="center" wrapText="1"/>
    </xf>
    <xf numFmtId="4" fontId="9" fillId="11" borderId="44" xfId="1095" applyNumberFormat="1" applyFont="1" applyFill="1" applyBorder="1">
      <alignment horizontal="right" vertical="center" wrapText="1"/>
      <protection locked="0"/>
    </xf>
    <xf numFmtId="49" fontId="19" fillId="0" borderId="0" xfId="1096" applyNumberFormat="1" applyFont="1">
      <alignment horizontal="center" vertical="center" wrapText="1"/>
    </xf>
    <xf numFmtId="49" fontId="5" fillId="4" borderId="14" xfId="1099" applyNumberFormat="1" applyFont="1" applyFill="1" applyBorder="1">
      <alignment horizontal="center" vertical="center" wrapText="1"/>
    </xf>
    <xf numFmtId="49" fontId="72" fillId="0" borderId="23" xfId="1100" applyNumberFormat="1" applyFont="1" applyBorder="1">
      <alignment horizontal="center" vertical="center" wrapText="1"/>
    </xf>
    <xf numFmtId="49" fontId="72" fillId="0" borderId="14" xfId="1101" applyNumberFormat="1" applyFont="1" applyBorder="1">
      <alignment horizontal="center" vertical="center" wrapText="1"/>
    </xf>
    <xf numFmtId="4" fontId="9" fillId="11" borderId="24" xfId="1103" applyNumberFormat="1" applyFont="1" applyFill="1" applyBorder="1">
      <alignment horizontal="right" vertical="center" wrapText="1"/>
      <protection locked="0"/>
    </xf>
    <xf numFmtId="0" fontId="19" fillId="14" borderId="16" xfId="1104" applyFont="1" applyFill="1" applyBorder="1">
      <alignment vertical="center" wrapText="1"/>
    </xf>
    <xf numFmtId="3" fontId="9" fillId="11" borderId="12" xfId="1105" applyNumberFormat="1" applyFont="1" applyFill="1" applyBorder="1">
      <alignment horizontal="right" vertical="center" wrapText="1"/>
      <protection locked="0"/>
    </xf>
    <xf numFmtId="49" fontId="38" fillId="0" borderId="10" xfId="1111" applyNumberFormat="1" applyFont="1" applyBorder="1">
      <alignment vertical="top"/>
    </xf>
    <xf numFmtId="0" fontId="9" fillId="12" borderId="17" xfId="1117" applyFont="1" applyFill="1" applyBorder="1">
      <alignment vertical="center" wrapText="1"/>
    </xf>
    <xf numFmtId="0" fontId="25" fillId="0" borderId="10" xfId="1118" applyFont="1" applyBorder="1">
      <alignment vertical="center" wrapText="1"/>
    </xf>
    <xf numFmtId="0" fontId="9" fillId="0" borderId="35" xfId="1120" applyFont="1" applyBorder="1">
      <alignment horizontal="center" vertical="center"/>
    </xf>
    <xf numFmtId="49" fontId="9" fillId="0" borderId="19" xfId="1123" applyNumberFormat="1" applyFont="1" applyBorder="1">
      <alignment vertical="top"/>
    </xf>
    <xf numFmtId="49" fontId="5" fillId="10" borderId="14" xfId="1126" applyNumberFormat="1" applyFont="1" applyFill="1" applyBorder="1">
      <alignment horizontal="center" vertical="center"/>
    </xf>
    <xf numFmtId="4" fontId="5" fillId="8" borderId="14" xfId="1127" applyNumberFormat="1" applyFont="1" applyFill="1" applyBorder="1">
      <alignment horizontal="right" vertical="center" wrapText="1"/>
      <protection locked="0"/>
    </xf>
    <xf numFmtId="49" fontId="5" fillId="0" borderId="14" xfId="1128" applyNumberFormat="1" applyFont="1" applyBorder="1">
      <alignment horizontal="left" vertical="center" wrapText="1" indent="3"/>
    </xf>
    <xf numFmtId="49" fontId="30" fillId="0" borderId="0" xfId="1129" applyNumberFormat="1" applyFont="1">
      <alignment vertical="center"/>
    </xf>
    <xf numFmtId="49" fontId="30" fillId="0" borderId="0" xfId="1130" applyNumberFormat="1" applyFont="1">
      <alignment vertical="center" wrapText="1"/>
    </xf>
    <xf numFmtId="49" fontId="9" fillId="12" borderId="0" xfId="1131" applyNumberFormat="1" applyFont="1" applyFill="1">
      <alignment horizontal="center" vertical="top" wrapText="1"/>
    </xf>
    <xf numFmtId="49" fontId="9" fillId="0" borderId="0" xfId="1133" applyNumberFormat="1" applyFont="1">
      <alignment horizontal="center" vertical="top" wrapText="1"/>
    </xf>
    <xf numFmtId="49" fontId="9" fillId="0" borderId="0" xfId="1134" applyNumberFormat="1" applyFont="1">
      <alignment horizontal="center" vertical="center" wrapText="1"/>
    </xf>
    <xf numFmtId="49" fontId="30" fillId="0" borderId="0" xfId="1135" applyNumberFormat="1" applyFont="1">
      <alignment horizontal="center" vertical="center" wrapText="1"/>
    </xf>
    <xf numFmtId="49" fontId="30" fillId="12" borderId="0" xfId="1150" applyNumberFormat="1" applyFont="1" applyFill="1">
      <alignment vertical="center" wrapText="1"/>
    </xf>
    <xf numFmtId="49" fontId="28" fillId="0" borderId="14" xfId="1156" applyNumberFormat="1" applyFont="1" applyBorder="1">
      <alignment horizontal="center" vertical="center"/>
    </xf>
    <xf numFmtId="49" fontId="28" fillId="16" borderId="14" xfId="1157" applyNumberFormat="1" applyFont="1" applyFill="1" applyBorder="1">
      <alignment horizontal="center" vertical="center"/>
    </xf>
    <xf numFmtId="49" fontId="28" fillId="0" borderId="21" xfId="1159" applyNumberFormat="1" applyFont="1" applyBorder="1">
      <alignment horizontal="center" vertical="center"/>
    </xf>
    <xf numFmtId="49" fontId="19" fillId="0" borderId="23" xfId="1160" applyNumberFormat="1" applyFont="1" applyBorder="1">
      <alignment horizontal="center" vertical="center"/>
    </xf>
    <xf numFmtId="4" fontId="30" fillId="12" borderId="0" xfId="1163" applyNumberFormat="1" applyFont="1" applyFill="1">
      <alignment vertical="center"/>
    </xf>
    <xf numFmtId="49" fontId="73" fillId="0" borderId="0" xfId="1164" applyNumberFormat="1" applyFont="1">
      <alignment vertical="center" wrapText="1"/>
    </xf>
    <xf numFmtId="49" fontId="31" fillId="0" borderId="0" xfId="1168" applyNumberFormat="1" applyFont="1">
      <alignment horizontal="center" vertical="center"/>
    </xf>
    <xf numFmtId="49" fontId="29" fillId="14" borderId="11" xfId="1172" applyNumberFormat="1" applyFont="1" applyFill="1" applyBorder="1">
      <alignment horizontal="left" vertical="center"/>
    </xf>
    <xf numFmtId="49" fontId="9" fillId="12" borderId="14" xfId="1174" applyNumberFormat="1" applyFont="1" applyFill="1" applyBorder="1">
      <alignment horizontal="center" vertical="center"/>
    </xf>
    <xf numFmtId="49" fontId="18" fillId="8" borderId="21" xfId="1186" applyNumberFormat="1" applyFont="1" applyFill="1" applyBorder="1">
      <alignment horizontal="left" vertical="center" wrapText="1"/>
      <protection locked="0"/>
    </xf>
    <xf numFmtId="14" fontId="9" fillId="11" borderId="12" xfId="1188" applyNumberFormat="1" applyFont="1" applyFill="1" applyBorder="1">
      <alignment horizontal="left" vertical="center" wrapText="1" indent="1"/>
      <protection locked="0"/>
    </xf>
    <xf numFmtId="165" fontId="9" fillId="0" borderId="24" xfId="1190" applyNumberFormat="1" applyFont="1" applyBorder="1">
      <alignment horizontal="center" vertical="center" wrapText="1"/>
    </xf>
    <xf numFmtId="165" fontId="9" fillId="0" borderId="23" xfId="1191" applyNumberFormat="1" applyFont="1" applyBorder="1">
      <alignment horizontal="center" vertical="center" wrapText="1"/>
    </xf>
    <xf numFmtId="14" fontId="9" fillId="13" borderId="14" xfId="1193" applyNumberFormat="1" applyFont="1" applyFill="1" applyBorder="1">
      <alignment horizontal="left" vertical="center" wrapText="1"/>
    </xf>
    <xf numFmtId="14" fontId="9" fillId="11" borderId="14" xfId="1194" applyNumberFormat="1" applyFont="1" applyFill="1" applyBorder="1">
      <alignment horizontal="left" vertical="center" wrapText="1" indent="1"/>
      <protection locked="0"/>
    </xf>
    <xf numFmtId="49" fontId="13" fillId="14" borderId="26" xfId="1195" applyNumberFormat="1" applyFont="1" applyFill="1" applyBorder="1">
      <alignment horizontal="right" vertical="center" wrapText="1"/>
    </xf>
    <xf numFmtId="49" fontId="5" fillId="14" borderId="36" xfId="1196" applyNumberFormat="1" applyFont="1" applyFill="1" applyBorder="1">
      <alignment horizontal="right" vertical="center" wrapText="1"/>
    </xf>
    <xf numFmtId="49" fontId="5" fillId="14" borderId="25" xfId="1197" applyNumberFormat="1" applyFont="1" applyFill="1" applyBorder="1">
      <alignment horizontal="right" vertical="center" wrapText="1"/>
    </xf>
    <xf numFmtId="164" fontId="5" fillId="11" borderId="16" xfId="1198" applyNumberFormat="1" applyFont="1" applyFill="1" applyBorder="1">
      <alignment horizontal="left" vertical="center" wrapText="1" indent="1"/>
      <protection locked="0"/>
    </xf>
    <xf numFmtId="168" fontId="9" fillId="11" borderId="14" xfId="1199" applyNumberFormat="1" applyFont="1" applyFill="1" applyBorder="1">
      <alignment horizontal="left" vertical="center" wrapText="1" indent="1"/>
      <protection locked="0"/>
    </xf>
    <xf numFmtId="164" fontId="25" fillId="0" borderId="0" xfId="1201" applyNumberFormat="1" applyFont="1">
      <alignment horizontal="center" vertical="center" wrapText="1"/>
    </xf>
    <xf numFmtId="165" fontId="9" fillId="0" borderId="21" xfId="1205" applyNumberFormat="1" applyFont="1" applyBorder="1">
      <alignment horizontal="center" vertical="center" wrapText="1"/>
    </xf>
    <xf numFmtId="14" fontId="9" fillId="11" borderId="21" xfId="1207" applyNumberFormat="1" applyFont="1" applyFill="1" applyBorder="1">
      <alignment horizontal="left" vertical="center" wrapText="1" indent="1"/>
      <protection locked="0"/>
    </xf>
    <xf numFmtId="14" fontId="9" fillId="0" borderId="21" xfId="1209" applyNumberFormat="1" applyFont="1" applyBorder="1">
      <alignment horizontal="left" vertical="center" wrapText="1" indent="1"/>
    </xf>
    <xf numFmtId="49" fontId="18" fillId="14" borderId="36" xfId="1210" applyNumberFormat="1" applyFont="1" applyFill="1" applyBorder="1">
      <alignment horizontal="left" vertical="center" wrapText="1"/>
    </xf>
    <xf numFmtId="49" fontId="18" fillId="14" borderId="25" xfId="1211" applyNumberFormat="1" applyFont="1" applyFill="1" applyBorder="1">
      <alignment horizontal="left" vertical="center" wrapText="1"/>
    </xf>
    <xf numFmtId="165" fontId="30" fillId="0" borderId="17" xfId="1216" applyNumberFormat="1" applyFont="1" applyBorder="1">
      <alignment horizontal="center" vertical="center" wrapText="1"/>
    </xf>
    <xf numFmtId="165" fontId="30" fillId="0" borderId="18" xfId="1217" applyNumberFormat="1" applyFont="1" applyBorder="1">
      <alignment horizontal="center" vertical="center" wrapText="1"/>
    </xf>
    <xf numFmtId="49" fontId="9" fillId="11" borderId="36" xfId="1222" applyNumberFormat="1" applyFont="1" applyFill="1" applyBorder="1">
      <alignment horizontal="left" vertical="center" wrapText="1"/>
      <protection locked="0"/>
    </xf>
    <xf numFmtId="49" fontId="9" fillId="11" borderId="26" xfId="1223" applyNumberFormat="1" applyFont="1" applyFill="1" applyBorder="1">
      <alignment horizontal="left" vertical="center" wrapText="1"/>
      <protection locked="0"/>
    </xf>
    <xf numFmtId="49" fontId="5" fillId="0" borderId="12" xfId="1227" applyNumberFormat="1" applyFont="1" applyBorder="1">
      <alignment horizontal="center" vertical="top"/>
    </xf>
    <xf numFmtId="49" fontId="5" fillId="27" borderId="23" xfId="1228" applyNumberFormat="1" applyFont="1" applyFill="1" applyBorder="1">
      <alignment vertical="top"/>
    </xf>
    <xf numFmtId="49" fontId="5" fillId="28" borderId="14" xfId="1229" applyNumberFormat="1" applyFont="1" applyFill="1" applyBorder="1">
      <alignment vertical="top"/>
    </xf>
    <xf numFmtId="49" fontId="5" fillId="0" borderId="16" xfId="1230" applyNumberFormat="1" applyFont="1" applyBorder="1">
      <alignment horizontal="center" vertical="top"/>
    </xf>
    <xf numFmtId="49" fontId="5" fillId="2" borderId="14" xfId="1231" applyNumberFormat="1" applyFont="1" applyFill="1" applyBorder="1">
      <alignment vertical="top"/>
    </xf>
    <xf numFmtId="49" fontId="5" fillId="29" borderId="14" xfId="1232" applyNumberFormat="1" applyFont="1" applyFill="1" applyBorder="1">
      <alignment vertical="top"/>
    </xf>
    <xf numFmtId="49" fontId="5" fillId="5" borderId="23" xfId="1233" applyNumberFormat="1" applyFont="1" applyFill="1" applyBorder="1">
      <alignment vertical="top"/>
    </xf>
    <xf numFmtId="49" fontId="5" fillId="3" borderId="12" xfId="1234" applyNumberFormat="1" applyFont="1" applyFill="1" applyBorder="1">
      <alignment vertical="top"/>
    </xf>
    <xf numFmtId="49" fontId="5" fillId="3" borderId="14" xfId="1235" applyNumberFormat="1" applyFont="1" applyFill="1" applyBorder="1">
      <alignment vertical="top"/>
    </xf>
    <xf numFmtId="49" fontId="5" fillId="5" borderId="14" xfId="1236" applyNumberFormat="1" applyFont="1" applyFill="1" applyBorder="1">
      <alignment vertical="top"/>
    </xf>
    <xf numFmtId="49" fontId="5" fillId="12" borderId="0" xfId="1237" applyNumberFormat="1" applyFont="1" applyFill="1">
      <alignment vertical="top"/>
    </xf>
    <xf numFmtId="49" fontId="9" fillId="10" borderId="41" xfId="1238" applyNumberFormat="1" applyFont="1" applyFill="1" applyBorder="1">
      <alignment horizontal="center" vertical="top"/>
    </xf>
    <xf numFmtId="49" fontId="5" fillId="0" borderId="64" xfId="1240" applyNumberFormat="1" applyFont="1" applyBorder="1">
      <alignment horizontal="center" vertical="center"/>
    </xf>
    <xf numFmtId="49" fontId="78" fillId="0" borderId="15" xfId="1242" applyNumberFormat="1" applyFont="1" applyBorder="1">
      <alignment vertical="top" wrapText="1"/>
    </xf>
    <xf numFmtId="49" fontId="5" fillId="0" borderId="23" xfId="1246" applyNumberFormat="1" applyFont="1" applyBorder="1">
      <alignment vertical="top"/>
    </xf>
    <xf numFmtId="0" fontId="4" fillId="0" borderId="4" xfId="9" applyFont="1" applyBorder="1">
      <alignment wrapText="1"/>
    </xf>
    <xf numFmtId="0" fontId="5" fillId="8" borderId="6" xfId="10" applyFont="1" applyFill="1" applyBorder="1">
      <alignment horizontal="center" vertical="center" wrapText="1"/>
    </xf>
    <xf numFmtId="0" fontId="5" fillId="9" borderId="6" xfId="12" applyFont="1" applyFill="1" applyBorder="1">
      <alignment horizontal="center" vertical="center" wrapText="1"/>
    </xf>
    <xf numFmtId="0" fontId="5" fillId="10" borderId="6" xfId="14" applyFont="1" applyFill="1" applyBorder="1">
      <alignment horizontal="center" vertical="center" wrapText="1"/>
    </xf>
    <xf numFmtId="0" fontId="5" fillId="11" borderId="6" xfId="15" applyFont="1" applyFill="1" applyBorder="1">
      <alignment horizontal="center" vertical="center" wrapText="1"/>
    </xf>
    <xf numFmtId="0" fontId="7" fillId="0" borderId="4" xfId="17" applyFont="1" applyBorder="1">
      <alignment horizontal="left" vertical="center" wrapText="1"/>
    </xf>
    <xf numFmtId="0" fontId="7" fillId="0" borderId="7" xfId="18" applyFont="1" applyBorder="1">
      <alignment horizontal="left" vertical="center" wrapText="1"/>
    </xf>
    <xf numFmtId="0" fontId="6" fillId="0" borderId="4" xfId="21" applyFont="1" applyBorder="1">
      <alignment wrapText="1"/>
    </xf>
    <xf numFmtId="0" fontId="4" fillId="0" borderId="9" xfId="26" applyFont="1" applyBorder="1">
      <alignment wrapText="1"/>
    </xf>
    <xf numFmtId="0" fontId="4" fillId="0" borderId="10" xfId="27" applyFont="1" applyBorder="1">
      <alignment wrapText="1"/>
    </xf>
    <xf numFmtId="0" fontId="4" fillId="0" borderId="10" xfId="28" applyFont="1" applyBorder="1">
      <alignment vertical="center" wrapText="1"/>
    </xf>
    <xf numFmtId="0" fontId="8" fillId="0" borderId="0" xfId="29" applyFont="1">
      <alignment vertical="center" wrapText="1"/>
    </xf>
    <xf numFmtId="0" fontId="9" fillId="0" borderId="0" xfId="30" applyFont="1">
      <alignment horizontal="left" vertical="top" indent="1"/>
    </xf>
    <xf numFmtId="0" fontId="10" fillId="0" borderId="0" xfId="31" applyFont="1">
      <alignment vertical="center" wrapText="1"/>
    </xf>
    <xf numFmtId="0" fontId="5" fillId="0" borderId="0" xfId="32" applyFont="1">
      <alignment horizontal="left" vertical="center" indent="1"/>
    </xf>
    <xf numFmtId="0" fontId="9" fillId="0" borderId="0" xfId="33" applyFont="1">
      <alignment vertical="center" wrapText="1"/>
    </xf>
    <xf numFmtId="0" fontId="11" fillId="12" borderId="0" xfId="34" applyFont="1" applyFill="1">
      <alignment vertical="center" wrapText="1"/>
    </xf>
    <xf numFmtId="0" fontId="11" fillId="0" borderId="0" xfId="35" applyFont="1">
      <alignment vertical="center" wrapText="1"/>
    </xf>
    <xf numFmtId="0" fontId="12" fillId="12" borderId="0" xfId="36" applyFont="1" applyFill="1">
      <alignment vertical="center" wrapText="1"/>
    </xf>
    <xf numFmtId="0" fontId="9" fillId="0" borderId="11" xfId="37" applyFont="1" applyBorder="1">
      <alignment horizontal="center" vertical="center" wrapText="1"/>
    </xf>
    <xf numFmtId="0" fontId="9" fillId="0" borderId="12" xfId="38" applyFont="1" applyBorder="1">
      <alignment horizontal="center" vertical="center" wrapText="1"/>
    </xf>
    <xf numFmtId="0" fontId="13" fillId="12" borderId="0" xfId="39" applyFont="1" applyFill="1">
      <alignment vertical="center" wrapText="1"/>
    </xf>
    <xf numFmtId="0" fontId="11" fillId="12" borderId="0" xfId="40" applyFont="1" applyFill="1">
      <alignment horizontal="right" vertical="center" wrapText="1" indent="1"/>
    </xf>
    <xf numFmtId="0" fontId="14" fillId="12" borderId="0" xfId="41" applyFont="1" applyFill="1">
      <alignment horizontal="center" vertical="center" wrapText="1"/>
    </xf>
    <xf numFmtId="0" fontId="9" fillId="12" borderId="13" xfId="42" applyFont="1" applyFill="1" applyBorder="1">
      <alignment horizontal="right" vertical="center" wrapText="1" indent="1"/>
    </xf>
    <xf numFmtId="0" fontId="5" fillId="10" borderId="14" xfId="43" applyFont="1" applyFill="1" applyBorder="1">
      <alignment horizontal="left" vertical="center" wrapText="1" indent="1"/>
    </xf>
    <xf numFmtId="0" fontId="16" fillId="12" borderId="0" xfId="45" applyFont="1" applyFill="1">
      <alignment horizontal="center" vertical="center" wrapText="1"/>
    </xf>
    <xf numFmtId="0" fontId="11" fillId="12" borderId="0" xfId="46" applyFont="1" applyFill="1">
      <alignment horizontal="left" vertical="center" wrapText="1" indent="1"/>
    </xf>
    <xf numFmtId="0" fontId="9" fillId="12" borderId="0" xfId="47" applyFont="1" applyFill="1">
      <alignment horizontal="center" vertical="center" wrapText="1"/>
    </xf>
    <xf numFmtId="0" fontId="9" fillId="11" borderId="14" xfId="48" applyFont="1" applyFill="1" applyBorder="1">
      <alignment horizontal="left" vertical="top" wrapText="1" indent="1"/>
      <protection locked="0"/>
    </xf>
    <xf numFmtId="0" fontId="9" fillId="0" borderId="0" xfId="49" applyFont="1">
      <alignment horizontal="left" vertical="center" wrapText="1"/>
    </xf>
    <xf numFmtId="0" fontId="18" fillId="0" borderId="0" xfId="53" applyFont="1">
      <alignment horizontal="left" vertical="center" indent="1"/>
    </xf>
    <xf numFmtId="0" fontId="19" fillId="0" borderId="0" xfId="54" applyFont="1">
      <alignment vertical="center" wrapText="1"/>
    </xf>
    <xf numFmtId="0" fontId="9" fillId="12" borderId="0" xfId="55" applyFont="1" applyFill="1">
      <alignment vertical="center" wrapText="1"/>
    </xf>
    <xf numFmtId="0" fontId="5" fillId="11" borderId="14" xfId="59" applyFont="1" applyFill="1" applyBorder="1">
      <alignment horizontal="left" vertical="center" wrapText="1" indent="1"/>
      <protection locked="0"/>
    </xf>
    <xf numFmtId="0" fontId="5" fillId="12" borderId="0" xfId="62" applyFont="1" applyFill="1">
      <alignment horizontal="right" vertical="center" wrapText="1" indent="1"/>
    </xf>
    <xf numFmtId="0" fontId="9" fillId="12" borderId="0" xfId="64" applyFont="1" applyFill="1">
      <alignment horizontal="right" vertical="center" wrapText="1" indent="1"/>
    </xf>
    <xf numFmtId="0" fontId="9" fillId="0" borderId="0" xfId="65" applyFont="1">
      <alignment horizontal="center" vertical="center" wrapText="1"/>
    </xf>
    <xf numFmtId="0" fontId="20" fillId="0" borderId="0" xfId="66" applyFont="1">
      <alignment vertical="center" wrapText="1"/>
    </xf>
    <xf numFmtId="0" fontId="5" fillId="12" borderId="0" xfId="67" applyFont="1" applyFill="1">
      <alignment horizontal="left" vertical="center" wrapText="1" indent="1"/>
    </xf>
    <xf numFmtId="0" fontId="21" fillId="12" borderId="0" xfId="69" applyFont="1" applyFill="1">
      <alignment horizontal="center" vertical="center" wrapText="1"/>
    </xf>
    <xf numFmtId="0" fontId="5" fillId="12" borderId="13" xfId="72" applyFont="1" applyFill="1" applyBorder="1">
      <alignment horizontal="right" vertical="center" wrapText="1" indent="1"/>
    </xf>
    <xf numFmtId="0" fontId="9" fillId="11" borderId="14" xfId="74" applyFont="1" applyFill="1" applyBorder="1">
      <alignment horizontal="left" vertical="center" wrapText="1" indent="1"/>
      <protection locked="0"/>
    </xf>
    <xf numFmtId="0" fontId="22" fillId="12" borderId="0" xfId="75" applyFont="1" applyFill="1">
      <alignment horizontal="right" vertical="center" wrapText="1" indent="1"/>
    </xf>
    <xf numFmtId="0" fontId="22" fillId="12" borderId="0" xfId="76" applyFont="1" applyFill="1">
      <alignment horizontal="left" vertical="center" wrapText="1" indent="1"/>
    </xf>
    <xf numFmtId="0" fontId="9" fillId="13" borderId="14" xfId="78" applyFont="1" applyFill="1" applyBorder="1">
      <alignment horizontal="left" vertical="center" wrapText="1" indent="1"/>
    </xf>
    <xf numFmtId="0" fontId="9" fillId="0" borderId="0" xfId="81" applyFont="1">
      <alignment horizontal="left" vertical="center" wrapText="1" indent="4"/>
    </xf>
    <xf numFmtId="0" fontId="15" fillId="0" borderId="0" xfId="84" applyFont="1">
      <alignment horizontal="left" vertical="center" wrapText="1"/>
    </xf>
    <xf numFmtId="0" fontId="10" fillId="0" borderId="0" xfId="85" applyFont="1">
      <alignment horizontal="left" vertical="center" wrapText="1"/>
    </xf>
    <xf numFmtId="0" fontId="24" fillId="0" borderId="0" xfId="86" applyFont="1">
      <alignment vertical="center" wrapText="1"/>
    </xf>
    <xf numFmtId="0" fontId="10" fillId="0" borderId="0" xfId="87" applyFont="1">
      <alignment horizontal="center" vertical="center" wrapText="1"/>
    </xf>
    <xf numFmtId="0" fontId="25" fillId="0" borderId="0" xfId="88" applyFont="1">
      <alignment horizontal="left" vertical="center" indent="1"/>
    </xf>
    <xf numFmtId="0" fontId="25" fillId="0" borderId="0" xfId="89" applyFont="1">
      <alignment horizontal="center" vertical="center" wrapText="1"/>
    </xf>
    <xf numFmtId="0" fontId="25" fillId="0" borderId="0" xfId="90" applyFont="1">
      <alignment horizontal="left" vertical="center" wrapText="1" indent="1"/>
    </xf>
    <xf numFmtId="0" fontId="25" fillId="0" borderId="0" xfId="91" applyFont="1">
      <alignment vertical="center" wrapText="1"/>
    </xf>
    <xf numFmtId="0" fontId="26" fillId="0" borderId="0" xfId="92" applyFont="1">
      <alignment vertical="center" wrapText="1"/>
    </xf>
    <xf numFmtId="0" fontId="27" fillId="0" borderId="0" xfId="93" applyFont="1">
      <alignment vertical="center" wrapText="1"/>
    </xf>
    <xf numFmtId="0" fontId="9" fillId="0" borderId="16" xfId="95" applyFont="1" applyBorder="1">
      <alignment horizontal="center" vertical="center" wrapText="1"/>
    </xf>
    <xf numFmtId="0" fontId="25" fillId="0" borderId="19" xfId="103" applyFont="1" applyBorder="1">
      <alignment vertical="center"/>
    </xf>
    <xf numFmtId="0" fontId="25" fillId="0" borderId="0" xfId="104" applyFont="1">
      <alignment vertical="center"/>
    </xf>
    <xf numFmtId="0" fontId="9" fillId="0" borderId="14" xfId="105" applyFont="1" applyBorder="1">
      <alignment horizontal="center" vertical="center" wrapText="1"/>
    </xf>
    <xf numFmtId="0" fontId="25" fillId="0" borderId="14" xfId="106" applyFont="1" applyBorder="1">
      <alignment horizontal="center" vertical="center" wrapText="1"/>
    </xf>
    <xf numFmtId="0" fontId="28" fillId="0" borderId="20" xfId="109" applyFont="1" applyBorder="1">
      <alignment vertical="top" wrapText="1"/>
    </xf>
    <xf numFmtId="0" fontId="9" fillId="0" borderId="21" xfId="110" applyFont="1" applyBorder="1">
      <alignment horizontal="center" vertical="center" wrapText="1"/>
    </xf>
    <xf numFmtId="0" fontId="25" fillId="0" borderId="21" xfId="111" applyFont="1" applyBorder="1">
      <alignment horizontal="center" vertical="center" wrapText="1"/>
    </xf>
    <xf numFmtId="0" fontId="9" fillId="0" borderId="22" xfId="124" applyFont="1" applyBorder="1">
      <alignment vertical="center" wrapText="1"/>
    </xf>
    <xf numFmtId="0" fontId="30" fillId="0" borderId="0" xfId="125" applyFont="1">
      <alignment vertical="center" wrapText="1"/>
    </xf>
    <xf numFmtId="0" fontId="31" fillId="0" borderId="0" xfId="126" applyFont="1">
      <alignment horizontal="center" vertical="center" wrapText="1"/>
    </xf>
    <xf numFmtId="0" fontId="32" fillId="0" borderId="0" xfId="127" applyFont="1">
      <alignment vertical="center"/>
    </xf>
    <xf numFmtId="0" fontId="5" fillId="0" borderId="0" xfId="128" applyFont="1">
      <alignment vertical="center"/>
    </xf>
    <xf numFmtId="0" fontId="9" fillId="0" borderId="23" xfId="130" applyFont="1" applyBorder="1">
      <alignment horizontal="left" vertical="center" wrapText="1" indent="1"/>
    </xf>
    <xf numFmtId="0" fontId="33" fillId="0" borderId="0" xfId="135" applyFont="1">
      <alignment vertical="center"/>
    </xf>
    <xf numFmtId="0" fontId="19" fillId="0" borderId="19" xfId="143" applyFont="1" applyBorder="1">
      <alignment vertical="center"/>
    </xf>
    <xf numFmtId="0" fontId="9" fillId="14" borderId="12" xfId="149" applyFont="1" applyFill="1" applyBorder="1">
      <alignment horizontal="center" vertical="center" wrapText="1"/>
    </xf>
    <xf numFmtId="0" fontId="5" fillId="14" borderId="11" xfId="153" applyFont="1" applyFill="1" applyBorder="1">
      <alignment vertical="center"/>
    </xf>
    <xf numFmtId="0" fontId="19" fillId="0" borderId="0" xfId="163" applyFont="1">
      <alignment vertical="center"/>
    </xf>
    <xf numFmtId="0" fontId="34" fillId="15" borderId="0" xfId="171" applyFont="1" applyFill="1">
      <alignment vertical="top"/>
    </xf>
    <xf numFmtId="0" fontId="9" fillId="0" borderId="0" xfId="173" applyFont="1">
      <alignment vertical="center"/>
    </xf>
    <xf numFmtId="0" fontId="37" fillId="0" borderId="0" xfId="181" applyFont="1">
      <alignment vertical="center"/>
    </xf>
    <xf numFmtId="0" fontId="5" fillId="0" borderId="14" xfId="182" applyFont="1" applyBorder="1">
      <alignment horizontal="center" vertical="center" wrapText="1"/>
    </xf>
    <xf numFmtId="0" fontId="25" fillId="0" borderId="14" xfId="185" applyFont="1" applyBorder="1">
      <alignment horizontal="center" vertical="center"/>
    </xf>
    <xf numFmtId="0" fontId="5" fillId="0" borderId="14" xfId="186" applyFont="1" applyBorder="1">
      <alignment horizontal="center" vertical="center"/>
    </xf>
    <xf numFmtId="0" fontId="9" fillId="0" borderId="14" xfId="190" applyFont="1" applyBorder="1">
      <alignment horizontal="left" vertical="top" wrapText="1"/>
    </xf>
    <xf numFmtId="0" fontId="9" fillId="0" borderId="0" xfId="199" applyFont="1">
      <alignment horizontal="left" vertical="center" indent="1"/>
    </xf>
    <xf numFmtId="0" fontId="9" fillId="13" borderId="33" xfId="200" applyFont="1" applyFill="1" applyBorder="1">
      <alignment horizontal="center" vertical="top" wrapText="1"/>
    </xf>
    <xf numFmtId="0" fontId="29" fillId="0" borderId="20" xfId="202" applyFont="1" applyBorder="1">
      <alignment horizontal="left" vertical="center"/>
    </xf>
    <xf numFmtId="0" fontId="29" fillId="0" borderId="26" xfId="206" applyFont="1" applyBorder="1">
      <alignment horizontal="left" vertical="center"/>
    </xf>
    <xf numFmtId="0" fontId="29" fillId="0" borderId="36" xfId="207" applyFont="1" applyBorder="1">
      <alignment horizontal="left" vertical="center"/>
    </xf>
    <xf numFmtId="0" fontId="5" fillId="0" borderId="36" xfId="208" applyFont="1" applyBorder="1">
      <alignment vertical="center"/>
    </xf>
    <xf numFmtId="0" fontId="29" fillId="0" borderId="25" xfId="209" applyFont="1" applyBorder="1">
      <alignment horizontal="left" vertical="center"/>
    </xf>
    <xf numFmtId="0" fontId="9" fillId="0" borderId="33" xfId="216" applyFont="1" applyBorder="1">
      <alignment horizontal="left" vertical="top" wrapText="1"/>
    </xf>
    <xf numFmtId="0" fontId="9" fillId="0" borderId="24" xfId="226" applyFont="1" applyBorder="1">
      <alignment horizontal="center" vertical="center" wrapText="1"/>
    </xf>
    <xf numFmtId="0" fontId="9" fillId="0" borderId="18" xfId="227" applyFont="1" applyBorder="1">
      <alignment horizontal="center" vertical="center" wrapText="1"/>
    </xf>
    <xf numFmtId="0" fontId="9" fillId="0" borderId="33" xfId="228" applyFont="1" applyBorder="1">
      <alignment horizontal="center" vertical="center" wrapText="1"/>
    </xf>
    <xf numFmtId="0" fontId="9" fillId="0" borderId="23" xfId="229" applyFont="1" applyBorder="1">
      <alignment horizontal="center" vertical="center" wrapText="1"/>
    </xf>
    <xf numFmtId="0" fontId="9" fillId="0" borderId="19" xfId="230" applyFont="1" applyBorder="1">
      <alignment horizontal="center" vertical="center" wrapText="1"/>
    </xf>
    <xf numFmtId="0" fontId="9" fillId="0" borderId="14" xfId="236" applyFont="1" applyBorder="1">
      <alignment horizontal="left" vertical="center" wrapText="1"/>
    </xf>
    <xf numFmtId="0" fontId="9" fillId="0" borderId="17" xfId="242" applyFont="1" applyBorder="1">
      <alignment horizontal="left" vertical="center" wrapText="1"/>
    </xf>
    <xf numFmtId="0" fontId="29" fillId="0" borderId="19" xfId="245" applyFont="1" applyBorder="1">
      <alignment horizontal="left" vertical="center"/>
    </xf>
    <xf numFmtId="0" fontId="9" fillId="0" borderId="23" xfId="247" applyFont="1" applyBorder="1">
      <alignment horizontal="left" vertical="center" wrapText="1"/>
    </xf>
    <xf numFmtId="0" fontId="9" fillId="0" borderId="12" xfId="252" applyFont="1" applyBorder="1">
      <alignment horizontal="left" vertical="center" wrapText="1"/>
    </xf>
    <xf numFmtId="0" fontId="9" fillId="12" borderId="0" xfId="253" applyFont="1" applyFill="1"/>
    <xf numFmtId="0" fontId="5" fillId="12" borderId="0" xfId="254" applyFont="1" applyFill="1"/>
    <xf numFmtId="0" fontId="25" fillId="12" borderId="0" xfId="255" applyFont="1" applyFill="1"/>
    <xf numFmtId="0" fontId="22" fillId="12" borderId="0" xfId="256" applyFont="1" applyFill="1">
      <alignment horizontal="center"/>
    </xf>
    <xf numFmtId="0" fontId="22" fillId="12" borderId="0" xfId="257" applyFont="1" applyFill="1"/>
    <xf numFmtId="0" fontId="38" fillId="12" borderId="0" xfId="258" applyFont="1" applyFill="1">
      <alignment horizontal="right" vertical="center"/>
    </xf>
    <xf numFmtId="0" fontId="25" fillId="12" borderId="0" xfId="259" applyFont="1" applyFill="1">
      <alignment vertical="center" wrapText="1"/>
    </xf>
    <xf numFmtId="0" fontId="5" fillId="12" borderId="14" xfId="263" applyFont="1" applyFill="1" applyBorder="1">
      <alignment horizontal="center" vertical="center" wrapText="1"/>
    </xf>
    <xf numFmtId="0" fontId="9" fillId="12" borderId="14" xfId="264" applyFont="1" applyFill="1" applyBorder="1">
      <alignment horizontal="center" vertical="center" wrapText="1"/>
    </xf>
    <xf numFmtId="0" fontId="28" fillId="12" borderId="0" xfId="265" applyFont="1" applyFill="1">
      <alignment horizontal="center" vertical="center"/>
    </xf>
    <xf numFmtId="0" fontId="25" fillId="0" borderId="14" xfId="267" applyFont="1" applyBorder="1">
      <alignment vertical="center" wrapText="1"/>
    </xf>
    <xf numFmtId="0" fontId="25" fillId="0" borderId="14" xfId="268" applyFont="1" applyBorder="1">
      <alignment horizontal="left" vertical="center" wrapText="1"/>
    </xf>
    <xf numFmtId="0" fontId="39" fillId="12" borderId="0" xfId="269" applyFont="1" applyFill="1"/>
    <xf numFmtId="0" fontId="5" fillId="12" borderId="14" xfId="271" applyFont="1" applyFill="1" applyBorder="1">
      <alignment vertical="center" wrapText="1"/>
    </xf>
    <xf numFmtId="0" fontId="9" fillId="12" borderId="14" xfId="272" applyFont="1" applyFill="1" applyBorder="1">
      <alignment vertical="center" wrapText="1"/>
    </xf>
    <xf numFmtId="0" fontId="5" fillId="12" borderId="14" xfId="273" applyFont="1" applyFill="1" applyBorder="1">
      <alignment horizontal="left" vertical="center" wrapText="1" indent="1"/>
    </xf>
    <xf numFmtId="0" fontId="25" fillId="0" borderId="14" xfId="275" applyFont="1" applyBorder="1">
      <alignment horizontal="left" vertical="center" wrapText="1" indent="1"/>
    </xf>
    <xf numFmtId="0" fontId="9" fillId="12" borderId="20" xfId="277" applyFont="1" applyFill="1" applyBorder="1">
      <alignment horizontal="center" vertical="center" wrapText="1"/>
    </xf>
    <xf numFmtId="0" fontId="5" fillId="12" borderId="14" xfId="278" applyFont="1" applyFill="1" applyBorder="1">
      <alignment horizontal="center" vertical="center"/>
    </xf>
    <xf numFmtId="0" fontId="5" fillId="12" borderId="14" xfId="279" applyFont="1" applyFill="1" applyBorder="1">
      <alignment horizontal="left" vertical="center" wrapText="1" indent="2"/>
    </xf>
    <xf numFmtId="0" fontId="9" fillId="12" borderId="20" xfId="282" applyFont="1" applyFill="1" applyBorder="1">
      <alignment vertical="center" wrapText="1"/>
    </xf>
    <xf numFmtId="0" fontId="9" fillId="14" borderId="12" xfId="283" applyFont="1" applyFill="1" applyBorder="1">
      <alignment horizontal="center"/>
    </xf>
    <xf numFmtId="0" fontId="38" fillId="14" borderId="16" xfId="284" applyFont="1" applyFill="1" applyBorder="1">
      <alignment horizontal="left" vertical="center"/>
    </xf>
    <xf numFmtId="0" fontId="38" fillId="14" borderId="11" xfId="285" applyFont="1" applyFill="1" applyBorder="1">
      <alignment horizontal="left" vertical="center"/>
    </xf>
    <xf numFmtId="0" fontId="25" fillId="12" borderId="14" xfId="287" applyFont="1" applyFill="1" applyBorder="1">
      <alignment vertical="center" wrapText="1"/>
    </xf>
    <xf numFmtId="0" fontId="25" fillId="12" borderId="14" xfId="288" applyFont="1" applyFill="1" applyBorder="1">
      <alignment horizontal="left" vertical="center" wrapText="1" indent="1"/>
    </xf>
    <xf numFmtId="0" fontId="25" fillId="12" borderId="14" xfId="289" applyFont="1" applyFill="1" applyBorder="1">
      <alignment horizontal="left" vertical="center" wrapText="1" indent="2"/>
    </xf>
    <xf numFmtId="0" fontId="5" fillId="12" borderId="14" xfId="291" applyFont="1" applyFill="1" applyBorder="1">
      <alignment horizontal="left" vertical="center" wrapText="1"/>
    </xf>
    <xf numFmtId="0" fontId="5" fillId="12" borderId="23" xfId="293" applyFont="1" applyFill="1" applyBorder="1">
      <alignment horizontal="left" vertical="center" wrapText="1"/>
    </xf>
    <xf numFmtId="0" fontId="31" fillId="12" borderId="0" xfId="297" applyFont="1" applyFill="1">
      <alignment horizontal="center" vertical="center" wrapText="1"/>
    </xf>
    <xf numFmtId="0" fontId="40" fillId="12" borderId="0" xfId="301" applyFont="1" applyFill="1"/>
    <xf numFmtId="0" fontId="5" fillId="12" borderId="12" xfId="305" applyFont="1" applyFill="1" applyBorder="1">
      <alignment horizontal="left" vertical="center" wrapText="1" indent="1"/>
    </xf>
    <xf numFmtId="0" fontId="5" fillId="12" borderId="14" xfId="307" applyFont="1" applyFill="1" applyBorder="1">
      <alignment vertical="top" wrapText="1"/>
    </xf>
    <xf numFmtId="0" fontId="5" fillId="12" borderId="12" xfId="308" applyFont="1" applyFill="1" applyBorder="1">
      <alignment horizontal="left" vertical="center" wrapText="1"/>
    </xf>
    <xf numFmtId="0" fontId="5" fillId="12" borderId="21" xfId="309" applyFont="1" applyFill="1" applyBorder="1">
      <alignment vertical="center" wrapText="1"/>
    </xf>
    <xf numFmtId="0" fontId="41" fillId="12" borderId="0" xfId="311" applyFont="1" applyFill="1"/>
    <xf numFmtId="0" fontId="34" fillId="12" borderId="0" xfId="312" applyFont="1" applyFill="1">
      <alignment horizontal="center"/>
    </xf>
    <xf numFmtId="0" fontId="34" fillId="12" borderId="0" xfId="313" applyFont="1" applyFill="1"/>
    <xf numFmtId="0" fontId="42" fillId="12" borderId="0" xfId="314" applyFont="1" applyFill="1">
      <alignment horizontal="right" vertical="center"/>
    </xf>
    <xf numFmtId="0" fontId="43" fillId="12" borderId="0" xfId="315" applyFont="1" applyFill="1">
      <alignment vertical="center"/>
    </xf>
    <xf numFmtId="0" fontId="42" fillId="12" borderId="0" xfId="316" applyFont="1" applyFill="1">
      <alignment horizontal="right" vertical="top"/>
    </xf>
    <xf numFmtId="0" fontId="43" fillId="12" borderId="0" xfId="317" applyFont="1" applyFill="1">
      <alignment vertical="center" wrapText="1"/>
    </xf>
    <xf numFmtId="0" fontId="5" fillId="12" borderId="0" xfId="318" applyFont="1" applyFill="1">
      <alignment horizontal="center"/>
    </xf>
    <xf numFmtId="0" fontId="19" fillId="0" borderId="0" xfId="319" applyFont="1">
      <alignment horizontal="center" vertical="center" wrapText="1"/>
    </xf>
    <xf numFmtId="0" fontId="44" fillId="12" borderId="0" xfId="320" applyFont="1" applyFill="1">
      <alignment horizontal="center" vertical="center" wrapText="1"/>
    </xf>
    <xf numFmtId="0" fontId="44" fillId="12" borderId="0" xfId="321" applyFont="1" applyFill="1">
      <alignment horizontal="right" vertical="center" wrapText="1"/>
    </xf>
    <xf numFmtId="0" fontId="44" fillId="0" borderId="0" xfId="322" applyFont="1">
      <alignment vertical="center" wrapText="1"/>
    </xf>
    <xf numFmtId="0" fontId="9" fillId="0" borderId="21" xfId="324" applyFont="1" applyBorder="1">
      <alignment horizontal="left" vertical="center" wrapText="1" indent="1"/>
    </xf>
    <xf numFmtId="0" fontId="45" fillId="12" borderId="0" xfId="326" applyFont="1" applyFill="1">
      <alignment horizontal="center" vertical="center" wrapText="1"/>
    </xf>
    <xf numFmtId="0" fontId="5" fillId="0" borderId="12" xfId="327" applyFont="1" applyBorder="1">
      <alignment horizontal="center" vertical="center" wrapText="1"/>
    </xf>
    <xf numFmtId="0" fontId="5" fillId="0" borderId="11" xfId="329" applyFont="1" applyBorder="1">
      <alignment horizontal="center" vertical="center" wrapText="1"/>
    </xf>
    <xf numFmtId="0" fontId="5" fillId="0" borderId="23" xfId="330" applyFont="1" applyBorder="1">
      <alignment horizontal="center" vertical="center" wrapText="1"/>
    </xf>
    <xf numFmtId="0" fontId="5" fillId="0" borderId="18" xfId="332" applyFont="1" applyBorder="1">
      <alignment horizontal="center" vertical="center" wrapText="1"/>
    </xf>
    <xf numFmtId="0" fontId="5" fillId="0" borderId="21" xfId="333" applyFont="1" applyBorder="1">
      <alignment horizontal="center" vertical="center" wrapText="1"/>
    </xf>
    <xf numFmtId="0" fontId="5" fillId="0" borderId="25" xfId="335" applyFont="1" applyBorder="1">
      <alignment horizontal="center" vertical="center" wrapText="1"/>
    </xf>
    <xf numFmtId="0" fontId="28" fillId="12" borderId="0" xfId="336" applyFont="1" applyFill="1">
      <alignment horizontal="center" vertical="center" wrapText="1"/>
    </xf>
    <xf numFmtId="0" fontId="46" fillId="12" borderId="0" xfId="338" applyFont="1" applyFill="1">
      <alignment horizontal="center" vertical="center" wrapText="1"/>
    </xf>
    <xf numFmtId="0" fontId="36" fillId="0" borderId="0" xfId="342" applyFont="1">
      <alignment vertical="center" wrapText="1"/>
    </xf>
    <xf numFmtId="0" fontId="9" fillId="13" borderId="12" xfId="344" applyFont="1" applyFill="1" applyBorder="1">
      <alignment horizontal="left" vertical="center" wrapText="1"/>
    </xf>
    <xf numFmtId="0" fontId="5" fillId="8" borderId="14" xfId="349" applyFont="1" applyFill="1" applyBorder="1">
      <alignment horizontal="right" vertical="center" wrapText="1"/>
      <protection locked="0"/>
    </xf>
    <xf numFmtId="0" fontId="29" fillId="14" borderId="16" xfId="353" applyFont="1" applyFill="1" applyBorder="1">
      <alignment vertical="center"/>
    </xf>
    <xf numFmtId="0" fontId="31" fillId="12" borderId="14" xfId="360" applyFont="1" applyFill="1" applyBorder="1">
      <alignment horizontal="center" vertical="center" wrapText="1"/>
    </xf>
    <xf numFmtId="0" fontId="11" fillId="12" borderId="0" xfId="366" applyFont="1" applyFill="1">
      <alignment horizontal="right" vertical="center"/>
    </xf>
    <xf numFmtId="0" fontId="11" fillId="12" borderId="0" xfId="367" applyFont="1" applyFill="1">
      <alignment horizontal="right" vertical="center" wrapText="1"/>
    </xf>
    <xf numFmtId="0" fontId="31" fillId="12" borderId="20" xfId="370" applyFont="1" applyFill="1" applyBorder="1">
      <alignment vertical="top" wrapText="1"/>
    </xf>
    <xf numFmtId="0" fontId="31" fillId="12" borderId="0" xfId="375" applyFont="1" applyFill="1">
      <alignment vertical="top" wrapText="1"/>
    </xf>
    <xf numFmtId="0" fontId="25" fillId="12" borderId="21" xfId="376" applyFont="1" applyFill="1" applyBorder="1">
      <alignment horizontal="center" vertical="center" wrapText="1"/>
    </xf>
    <xf numFmtId="0" fontId="25" fillId="0" borderId="0" xfId="380" applyFont="1">
      <alignment horizontal="left" vertical="center" wrapText="1"/>
    </xf>
    <xf numFmtId="0" fontId="30" fillId="0" borderId="0" xfId="385" applyFont="1">
      <alignment vertical="top"/>
    </xf>
    <xf numFmtId="0" fontId="15" fillId="0" borderId="14" xfId="390" applyFont="1" applyBorder="1">
      <alignment vertical="top" wrapText="1"/>
    </xf>
    <xf numFmtId="0" fontId="47" fillId="0" borderId="14" xfId="393" applyFont="1" applyBorder="1">
      <alignment vertical="top" wrapText="1"/>
    </xf>
    <xf numFmtId="0" fontId="15" fillId="16" borderId="14" xfId="398" applyFont="1" applyFill="1" applyBorder="1">
      <alignment horizontal="center" vertical="top" wrapText="1"/>
    </xf>
    <xf numFmtId="0" fontId="47" fillId="16" borderId="14" xfId="399" applyFont="1" applyFill="1" applyBorder="1">
      <alignment horizontal="right" vertical="center" wrapText="1"/>
    </xf>
    <xf numFmtId="0" fontId="47" fillId="0" borderId="14" xfId="403" applyFont="1" applyBorder="1">
      <alignment horizontal="left" vertical="top" wrapText="1"/>
    </xf>
    <xf numFmtId="0" fontId="47" fillId="16" borderId="14" xfId="405" applyFont="1" applyFill="1" applyBorder="1">
      <alignment horizontal="center" vertical="center" wrapText="1"/>
    </xf>
    <xf numFmtId="0" fontId="47" fillId="0" borderId="23" xfId="408" applyFont="1" applyBorder="1">
      <alignment horizontal="left" vertical="top" wrapText="1"/>
    </xf>
    <xf numFmtId="0" fontId="47" fillId="0" borderId="11" xfId="410" applyFont="1" applyBorder="1">
      <alignment horizontal="left" vertical="top" wrapText="1"/>
    </xf>
    <xf numFmtId="0" fontId="47" fillId="0" borderId="23" xfId="414" applyFont="1" applyBorder="1">
      <alignment vertical="top" wrapText="1"/>
    </xf>
    <xf numFmtId="0" fontId="15" fillId="0" borderId="12" xfId="416" applyFont="1" applyBorder="1">
      <alignment horizontal="center" vertical="center" wrapText="1"/>
    </xf>
    <xf numFmtId="0" fontId="15" fillId="0" borderId="12" xfId="417" applyFont="1" applyBorder="1">
      <alignment horizontal="center" vertical="center"/>
    </xf>
    <xf numFmtId="0" fontId="15" fillId="0" borderId="14" xfId="419" applyFont="1" applyBorder="1">
      <alignment vertical="center" wrapText="1"/>
    </xf>
    <xf numFmtId="0" fontId="15" fillId="0" borderId="14" xfId="421" applyFont="1" applyBorder="1">
      <alignment horizontal="center" vertical="center" wrapText="1"/>
    </xf>
    <xf numFmtId="0" fontId="15" fillId="0" borderId="23" xfId="422" applyFont="1" applyBorder="1">
      <alignment vertical="center" wrapText="1"/>
    </xf>
    <xf numFmtId="0" fontId="15" fillId="0" borderId="21" xfId="423" applyFont="1" applyBorder="1">
      <alignment vertical="center" wrapText="1"/>
    </xf>
    <xf numFmtId="0" fontId="15" fillId="0" borderId="23" xfId="428" applyFont="1" applyBorder="1">
      <alignment horizontal="center" vertical="center" wrapText="1"/>
    </xf>
    <xf numFmtId="0" fontId="47" fillId="0" borderId="33" xfId="430" applyFont="1" applyBorder="1">
      <alignment horizontal="left" vertical="top" wrapText="1"/>
    </xf>
    <xf numFmtId="0" fontId="5" fillId="18" borderId="14" xfId="434" applyFont="1" applyFill="1" applyBorder="1">
      <alignment horizontal="center" vertical="center"/>
    </xf>
    <xf numFmtId="0" fontId="9" fillId="0" borderId="14" xfId="438" applyFont="1" applyBorder="1">
      <alignment vertical="center"/>
    </xf>
    <xf numFmtId="0" fontId="5" fillId="0" borderId="14" xfId="439" applyFont="1" applyBorder="1">
      <alignment vertical="center"/>
    </xf>
    <xf numFmtId="0" fontId="5" fillId="0" borderId="12" xfId="440" applyFont="1" applyBorder="1">
      <alignment vertical="center"/>
    </xf>
    <xf numFmtId="0" fontId="9" fillId="0" borderId="12" xfId="441" applyFont="1" applyBorder="1">
      <alignment horizontal="left" vertical="center"/>
    </xf>
    <xf numFmtId="0" fontId="5" fillId="0" borderId="11" xfId="445" applyFont="1" applyBorder="1">
      <alignment vertical="center"/>
    </xf>
    <xf numFmtId="0" fontId="5" fillId="0" borderId="14" xfId="446" applyFont="1" applyBorder="1">
      <alignment horizontal="right" vertical="top"/>
    </xf>
    <xf numFmtId="0" fontId="5" fillId="0" borderId="14" xfId="447" applyFont="1" applyBorder="1">
      <alignment vertical="top"/>
    </xf>
    <xf numFmtId="0" fontId="9" fillId="0" borderId="11" xfId="448" applyFont="1" applyBorder="1">
      <alignment vertical="center"/>
    </xf>
    <xf numFmtId="0" fontId="5" fillId="0" borderId="0" xfId="450" applyFont="1">
      <alignment vertical="top"/>
    </xf>
    <xf numFmtId="0" fontId="9" fillId="0" borderId="14" xfId="451" applyFont="1" applyBorder="1">
      <alignment vertical="top"/>
    </xf>
    <xf numFmtId="0" fontId="5" fillId="21" borderId="0" xfId="452" applyFont="1" applyFill="1">
      <alignment horizontal="right" vertical="center"/>
    </xf>
    <xf numFmtId="0" fontId="5" fillId="21" borderId="0" xfId="453" applyFont="1" applyFill="1">
      <alignment horizontal="left" vertical="center"/>
    </xf>
    <xf numFmtId="0" fontId="5" fillId="0" borderId="0" xfId="454" applyFont="1">
      <alignment horizontal="right" vertical="top"/>
    </xf>
    <xf numFmtId="0" fontId="48" fillId="21" borderId="0" xfId="456" applyFont="1" applyFill="1">
      <alignment horizontal="left" vertical="center"/>
    </xf>
    <xf numFmtId="0" fontId="5" fillId="0" borderId="12" xfId="459" applyFont="1" applyBorder="1">
      <alignment horizontal="left" vertical="center"/>
    </xf>
    <xf numFmtId="0" fontId="5" fillId="0" borderId="23" xfId="461" applyFont="1" applyBorder="1">
      <alignment vertical="top"/>
    </xf>
    <xf numFmtId="0" fontId="9" fillId="0" borderId="23" xfId="462" applyFont="1" applyBorder="1">
      <alignment vertical="center"/>
    </xf>
    <xf numFmtId="0" fontId="9" fillId="21" borderId="0" xfId="466" applyFont="1" applyFill="1">
      <alignment horizontal="left" vertical="center"/>
    </xf>
    <xf numFmtId="0" fontId="5" fillId="21" borderId="41" xfId="467" applyFont="1" applyFill="1" applyBorder="1">
      <alignment horizontal="center"/>
    </xf>
    <xf numFmtId="0" fontId="5" fillId="0" borderId="41" xfId="470" applyFont="1" applyBorder="1">
      <alignment horizontal="center"/>
    </xf>
    <xf numFmtId="0" fontId="28" fillId="0" borderId="0" xfId="473" applyFont="1">
      <alignment horizontal="center" vertical="center" wrapText="1"/>
    </xf>
    <xf numFmtId="0" fontId="5" fillId="10" borderId="40" xfId="476" applyFont="1" applyFill="1" applyBorder="1">
      <alignment horizontal="center" vertical="center"/>
    </xf>
    <xf numFmtId="0" fontId="2" fillId="0" borderId="42" xfId="478" applyFont="1" applyBorder="1">
      <alignment horizontal="center" vertical="center"/>
    </xf>
    <xf numFmtId="0" fontId="5" fillId="0" borderId="42" xfId="479" applyFont="1" applyBorder="1">
      <alignment horizontal="center" vertical="center"/>
    </xf>
    <xf numFmtId="0" fontId="5" fillId="16" borderId="14" xfId="482" applyFont="1" applyFill="1" applyBorder="1">
      <alignment horizontal="right" vertical="center"/>
    </xf>
    <xf numFmtId="0" fontId="9" fillId="0" borderId="0" xfId="485" applyFont="1">
      <alignment vertical="top"/>
    </xf>
    <xf numFmtId="0" fontId="9" fillId="10" borderId="26" xfId="488" applyFont="1" applyFill="1" applyBorder="1">
      <alignment horizontal="center" vertical="top"/>
    </xf>
    <xf numFmtId="0" fontId="9" fillId="10" borderId="26" xfId="489" applyFont="1" applyFill="1" applyBorder="1">
      <alignment horizontal="left" vertical="top"/>
    </xf>
    <xf numFmtId="0" fontId="5" fillId="0" borderId="43" xfId="490" applyFont="1" applyBorder="1">
      <alignment horizontal="center" vertical="center"/>
    </xf>
    <xf numFmtId="0" fontId="5" fillId="0" borderId="44" xfId="491" applyFont="1" applyBorder="1">
      <alignment horizontal="center" vertical="center"/>
    </xf>
    <xf numFmtId="0" fontId="9" fillId="0" borderId="14" xfId="492" applyFont="1" applyBorder="1">
      <alignment horizontal="left" vertical="top"/>
    </xf>
    <xf numFmtId="0" fontId="5" fillId="0" borderId="45" xfId="493" applyFont="1" applyBorder="1">
      <alignment horizontal="center" vertical="center"/>
    </xf>
    <xf numFmtId="0" fontId="5" fillId="21" borderId="0" xfId="496" applyFont="1" applyFill="1">
      <alignment horizontal="right" vertical="top" wrapText="1"/>
    </xf>
    <xf numFmtId="0" fontId="9" fillId="0" borderId="0" xfId="497" applyFont="1">
      <alignment horizontal="left" vertical="top" wrapText="1"/>
    </xf>
    <xf numFmtId="0" fontId="9" fillId="12" borderId="14" xfId="499" applyFont="1" applyFill="1" applyBorder="1">
      <alignment horizontal="center" vertical="center"/>
    </xf>
    <xf numFmtId="0" fontId="31" fillId="12" borderId="0" xfId="500" applyFont="1" applyFill="1">
      <alignment horizontal="center"/>
    </xf>
    <xf numFmtId="0" fontId="28" fillId="0" borderId="0" xfId="501" applyFont="1">
      <alignment vertical="top" wrapText="1"/>
    </xf>
    <xf numFmtId="0" fontId="19" fillId="0" borderId="21" xfId="502" applyFont="1" applyBorder="1">
      <alignment horizontal="center" vertical="center" wrapText="1"/>
    </xf>
    <xf numFmtId="0" fontId="19" fillId="0" borderId="14" xfId="503" applyFont="1" applyBorder="1">
      <alignment horizontal="center" vertical="center" wrapText="1"/>
    </xf>
    <xf numFmtId="0" fontId="28" fillId="0" borderId="20" xfId="507" applyFont="1" applyBorder="1">
      <alignment horizontal="center" vertical="center" wrapText="1"/>
    </xf>
    <xf numFmtId="0" fontId="35" fillId="0" borderId="23" xfId="510" applyFont="1" applyBorder="1">
      <alignment horizontal="center" vertical="center" wrapText="1"/>
    </xf>
    <xf numFmtId="0" fontId="28" fillId="0" borderId="14" xfId="513" applyFont="1" applyBorder="1">
      <alignment horizontal="center" vertical="center" wrapText="1"/>
    </xf>
    <xf numFmtId="0" fontId="9" fillId="12" borderId="0" xfId="516" applyFont="1" applyFill="1">
      <alignment horizontal="center" vertical="top" wrapText="1"/>
    </xf>
    <xf numFmtId="0" fontId="9" fillId="12" borderId="12" xfId="517" applyFont="1" applyFill="1" applyBorder="1">
      <alignment horizontal="center" vertical="center" wrapText="1"/>
    </xf>
    <xf numFmtId="0" fontId="25" fillId="12" borderId="14" xfId="518" applyFont="1" applyFill="1" applyBorder="1">
      <alignment horizontal="center" vertical="center" wrapText="1"/>
    </xf>
    <xf numFmtId="0" fontId="51" fillId="12" borderId="0" xfId="524" applyFont="1" applyFill="1">
      <alignment vertical="center" wrapText="1"/>
    </xf>
    <xf numFmtId="0" fontId="5" fillId="11" borderId="12" xfId="525" applyFont="1" applyFill="1" applyBorder="1">
      <alignment horizontal="left" vertical="center" wrapText="1" indent="2"/>
      <protection locked="0"/>
    </xf>
    <xf numFmtId="0" fontId="31" fillId="0" borderId="20" xfId="526" applyFont="1" applyBorder="1">
      <alignment horizontal="center" vertical="center" wrapText="1"/>
    </xf>
    <xf numFmtId="0" fontId="9" fillId="0" borderId="20" xfId="539" applyFont="1" applyBorder="1">
      <alignment vertical="top" wrapText="1"/>
    </xf>
    <xf numFmtId="0" fontId="9" fillId="14" borderId="12" xfId="544" applyFont="1" applyFill="1" applyBorder="1">
      <alignment vertical="center" wrapText="1"/>
    </xf>
    <xf numFmtId="0" fontId="9" fillId="14" borderId="16" xfId="545" applyFont="1" applyFill="1" applyBorder="1">
      <alignment vertical="center" wrapText="1"/>
    </xf>
    <xf numFmtId="0" fontId="5" fillId="10" borderId="33" xfId="547" applyFont="1" applyFill="1" applyBorder="1">
      <alignment horizontal="left" vertical="top" wrapText="1" indent="1"/>
    </xf>
    <xf numFmtId="0" fontId="9" fillId="10" borderId="33" xfId="554" applyFont="1" applyFill="1" applyBorder="1">
      <alignment horizontal="center" vertical="top" wrapText="1"/>
    </xf>
    <xf numFmtId="0" fontId="9" fillId="8" borderId="33" xfId="555" applyFont="1" applyFill="1" applyBorder="1">
      <alignment horizontal="left" vertical="top" wrapText="1"/>
      <protection locked="0"/>
    </xf>
    <xf numFmtId="0" fontId="52" fillId="0" borderId="46" xfId="556" applyFont="1" applyBorder="1">
      <alignment horizontal="left" vertical="center" indent="1"/>
    </xf>
    <xf numFmtId="0" fontId="52" fillId="0" borderId="47" xfId="557" applyFont="1" applyBorder="1">
      <alignment horizontal="left" vertical="center" indent="1"/>
    </xf>
    <xf numFmtId="0" fontId="5" fillId="0" borderId="47" xfId="558" applyFont="1" applyBorder="1">
      <alignment horizontal="left" vertical="center" wrapText="1"/>
    </xf>
    <xf numFmtId="0" fontId="9" fillId="0" borderId="47" xfId="559" applyFont="1" applyBorder="1">
      <alignment vertical="center" wrapText="1"/>
    </xf>
    <xf numFmtId="0" fontId="9" fillId="0" borderId="48" xfId="560" applyFont="1" applyBorder="1">
      <alignment vertical="center" wrapText="1"/>
    </xf>
    <xf numFmtId="0" fontId="9" fillId="0" borderId="49" xfId="561" applyFont="1" applyBorder="1">
      <alignment vertical="center" wrapText="1"/>
    </xf>
    <xf numFmtId="0" fontId="9" fillId="0" borderId="19" xfId="562" applyFont="1" applyBorder="1">
      <alignment vertical="center" wrapText="1"/>
    </xf>
    <xf numFmtId="0" fontId="53" fillId="0" borderId="14" xfId="571" applyFont="1" applyBorder="1">
      <alignment horizontal="center" vertical="center"/>
    </xf>
    <xf numFmtId="0" fontId="53" fillId="0" borderId="14" xfId="578" applyFont="1" applyBorder="1">
      <alignment horizontal="left" vertical="center" wrapText="1" indent="1"/>
    </xf>
    <xf numFmtId="0" fontId="5" fillId="14" borderId="52" xfId="585" applyFont="1" applyFill="1" applyBorder="1">
      <alignment horizontal="left" vertical="center"/>
    </xf>
    <xf numFmtId="0" fontId="9" fillId="14" borderId="52" xfId="587" applyFont="1" applyFill="1" applyBorder="1">
      <alignment vertical="center" wrapText="1"/>
    </xf>
    <xf numFmtId="0" fontId="9" fillId="14" borderId="53" xfId="588" applyFont="1" applyFill="1" applyBorder="1">
      <alignment vertical="center" wrapText="1"/>
    </xf>
    <xf numFmtId="0" fontId="30" fillId="0" borderId="14" xfId="594" applyFont="1" applyBorder="1">
      <alignment horizontal="center" vertical="center"/>
    </xf>
    <xf numFmtId="0" fontId="30" fillId="13" borderId="14" xfId="605" applyFont="1" applyFill="1" applyBorder="1">
      <alignment horizontal="left" vertical="center" wrapText="1" indent="1"/>
    </xf>
    <xf numFmtId="0" fontId="30" fillId="0" borderId="11" xfId="612" applyFont="1" applyBorder="1">
      <alignment horizontal="center" vertical="center"/>
    </xf>
    <xf numFmtId="0" fontId="52" fillId="0" borderId="54" xfId="623" applyFont="1" applyBorder="1">
      <alignment horizontal="left" vertical="center" indent="1"/>
    </xf>
    <xf numFmtId="0" fontId="9" fillId="0" borderId="55" xfId="625" applyFont="1" applyBorder="1">
      <alignment horizontal="right" vertical="center"/>
    </xf>
    <xf numFmtId="0" fontId="9" fillId="0" borderId="55" xfId="626" applyFont="1" applyBorder="1">
      <alignment horizontal="center" vertical="center"/>
    </xf>
    <xf numFmtId="0" fontId="9" fillId="0" borderId="16" xfId="627" applyFont="1" applyBorder="1">
      <alignment horizontal="right" vertical="center"/>
    </xf>
    <xf numFmtId="0" fontId="9" fillId="0" borderId="11" xfId="628" applyFont="1" applyBorder="1">
      <alignment horizontal="right" vertical="center"/>
    </xf>
    <xf numFmtId="0" fontId="9" fillId="0" borderId="14" xfId="629" applyFont="1" applyBorder="1">
      <alignment horizontal="right" vertical="center"/>
    </xf>
    <xf numFmtId="0" fontId="9" fillId="16" borderId="14" xfId="631" applyFont="1" applyFill="1" applyBorder="1">
      <alignment horizontal="right" vertical="center"/>
    </xf>
    <xf numFmtId="0" fontId="9" fillId="0" borderId="11" xfId="638" applyFont="1" applyBorder="1">
      <alignment horizontal="left" vertical="center" wrapText="1" indent="1"/>
    </xf>
    <xf numFmtId="0" fontId="57" fillId="0" borderId="0" xfId="640" applyFont="1">
      <alignment vertical="top"/>
    </xf>
    <xf numFmtId="0" fontId="58" fillId="0" borderId="0" xfId="641" applyFont="1">
      <alignment vertical="top"/>
    </xf>
    <xf numFmtId="0" fontId="9" fillId="0" borderId="21" xfId="643" applyFont="1" applyBorder="1">
      <alignment horizontal="left" vertical="center" wrapText="1"/>
    </xf>
    <xf numFmtId="0" fontId="25" fillId="0" borderId="19" xfId="646" applyFont="1" applyBorder="1">
      <alignment vertical="center" wrapText="1"/>
    </xf>
    <xf numFmtId="0" fontId="29" fillId="0" borderId="14" xfId="648" applyFont="1" applyBorder="1">
      <alignment horizontal="left" vertical="center" indent="1"/>
    </xf>
    <xf numFmtId="0" fontId="25" fillId="0" borderId="21" xfId="650" applyFont="1" applyBorder="1">
      <alignment vertical="center" wrapText="1"/>
    </xf>
    <xf numFmtId="0" fontId="25" fillId="0" borderId="14" xfId="657" applyFont="1" applyBorder="1">
      <alignment horizontal="left" vertical="center" indent="1"/>
    </xf>
    <xf numFmtId="0" fontId="9" fillId="0" borderId="14" xfId="661" applyFont="1" applyBorder="1">
      <alignment vertical="center" wrapText="1"/>
    </xf>
    <xf numFmtId="0" fontId="5" fillId="0" borderId="14" xfId="663" applyFont="1" applyBorder="1">
      <alignment horizontal="left" vertical="center" wrapText="1"/>
    </xf>
    <xf numFmtId="0" fontId="5" fillId="11" borderId="14" xfId="665" applyFont="1" applyFill="1" applyBorder="1">
      <alignment horizontal="left" vertical="center" wrapText="1"/>
      <protection locked="0"/>
    </xf>
    <xf numFmtId="0" fontId="5" fillId="0" borderId="14" xfId="667" applyFont="1" applyBorder="1">
      <alignment vertical="center" wrapText="1"/>
    </xf>
    <xf numFmtId="0" fontId="29" fillId="14" borderId="12" xfId="677" applyFont="1" applyFill="1" applyBorder="1">
      <alignment horizontal="left" vertical="center"/>
    </xf>
    <xf numFmtId="0" fontId="29" fillId="14" borderId="16" xfId="678" applyFont="1" applyFill="1" applyBorder="1">
      <alignment horizontal="left" vertical="center"/>
    </xf>
    <xf numFmtId="0" fontId="29" fillId="14" borderId="11" xfId="679" applyFont="1" applyFill="1" applyBorder="1">
      <alignment horizontal="left" vertical="center"/>
    </xf>
    <xf numFmtId="0" fontId="5" fillId="14" borderId="16" xfId="683" applyFont="1" applyFill="1" applyBorder="1">
      <alignment vertical="center"/>
    </xf>
    <xf numFmtId="0" fontId="29" fillId="0" borderId="33" xfId="688" applyFont="1" applyBorder="1">
      <alignment horizontal="left" vertical="center"/>
    </xf>
    <xf numFmtId="0" fontId="29" fillId="8" borderId="33" xfId="690" applyFont="1" applyFill="1" applyBorder="1">
      <alignment horizontal="left" vertical="center"/>
      <protection locked="0"/>
    </xf>
    <xf numFmtId="0" fontId="29" fillId="11" borderId="33" xfId="691" applyFont="1" applyFill="1" applyBorder="1">
      <alignment horizontal="left" vertical="center"/>
      <protection locked="0"/>
    </xf>
    <xf numFmtId="0" fontId="25" fillId="0" borderId="12" xfId="694" applyFont="1" applyBorder="1">
      <alignment horizontal="left" vertical="center"/>
    </xf>
    <xf numFmtId="0" fontId="25" fillId="0" borderId="16" xfId="695" applyFont="1" applyBorder="1">
      <alignment horizontal="left" vertical="center"/>
    </xf>
    <xf numFmtId="0" fontId="29" fillId="14" borderId="25" xfId="696" applyFont="1" applyFill="1" applyBorder="1">
      <alignment horizontal="left" vertical="center"/>
    </xf>
    <xf numFmtId="0" fontId="9" fillId="0" borderId="33" xfId="705" applyFont="1" applyBorder="1">
      <alignment horizontal="left" vertical="center" wrapText="1"/>
    </xf>
    <xf numFmtId="0" fontId="29" fillId="0" borderId="21" xfId="709" applyFont="1" applyBorder="1">
      <alignment horizontal="left" vertical="center"/>
    </xf>
    <xf numFmtId="0" fontId="29" fillId="14" borderId="24" xfId="710" applyFont="1" applyFill="1" applyBorder="1">
      <alignment horizontal="left" vertical="center"/>
    </xf>
    <xf numFmtId="0" fontId="29" fillId="14" borderId="24" xfId="715" applyFont="1" applyFill="1" applyBorder="1">
      <alignment vertical="center"/>
    </xf>
    <xf numFmtId="0" fontId="9" fillId="12" borderId="0" xfId="719" applyFont="1" applyFill="1">
      <alignment horizontal="right" vertical="center" wrapText="1"/>
    </xf>
    <xf numFmtId="0" fontId="9" fillId="12" borderId="0" xfId="720" applyFont="1" applyFill="1">
      <alignment horizontal="right" vertical="center"/>
    </xf>
    <xf numFmtId="0" fontId="5" fillId="0" borderId="14" xfId="721" applyFont="1" applyBorder="1">
      <alignment horizontal="left" vertical="center" wrapText="1" indent="1"/>
    </xf>
    <xf numFmtId="0" fontId="5" fillId="11" borderId="14" xfId="722" applyFont="1" applyFill="1" applyBorder="1">
      <alignment horizontal="left" vertical="center" wrapText="1" indent="2"/>
      <protection locked="0"/>
    </xf>
    <xf numFmtId="0" fontId="9" fillId="0" borderId="23" xfId="724" applyFont="1" applyBorder="1">
      <alignment vertical="center" wrapText="1"/>
    </xf>
    <xf numFmtId="0" fontId="37" fillId="0" borderId="14" xfId="728" applyFont="1" applyBorder="1">
      <alignment horizontal="left" vertical="center" wrapText="1" indent="2"/>
    </xf>
    <xf numFmtId="0" fontId="9" fillId="0" borderId="23" xfId="730" applyFont="1" applyBorder="1">
      <alignment vertical="top" wrapText="1"/>
    </xf>
    <xf numFmtId="0" fontId="9" fillId="0" borderId="21" xfId="731" applyFont="1" applyBorder="1">
      <alignment vertical="top" wrapText="1"/>
    </xf>
    <xf numFmtId="0" fontId="51" fillId="0" borderId="0" xfId="733" applyFont="1">
      <alignment vertical="center" wrapText="1"/>
    </xf>
    <xf numFmtId="0" fontId="9" fillId="0" borderId="33" xfId="734" applyFont="1" applyBorder="1">
      <alignment vertical="center" wrapText="1"/>
    </xf>
    <xf numFmtId="0" fontId="9" fillId="13" borderId="14" xfId="738" applyFont="1" applyFill="1" applyBorder="1">
      <alignment horizontal="left" vertical="center" wrapText="1"/>
    </xf>
    <xf numFmtId="0" fontId="5" fillId="0" borderId="33" xfId="739" applyFont="1" applyBorder="1">
      <alignment horizontal="center" vertical="center" wrapText="1"/>
    </xf>
    <xf numFmtId="0" fontId="9" fillId="0" borderId="0" xfId="740" applyFont="1">
      <alignment vertical="top" wrapText="1"/>
    </xf>
    <xf numFmtId="0" fontId="13" fillId="12" borderId="0" xfId="743" applyFont="1" applyFill="1">
      <alignment horizontal="center" vertical="center" wrapText="1"/>
    </xf>
    <xf numFmtId="0" fontId="5" fillId="12" borderId="12" xfId="744" applyFont="1" applyFill="1" applyBorder="1">
      <alignment horizontal="right" vertical="center" wrapText="1" indent="1"/>
    </xf>
    <xf numFmtId="0" fontId="9" fillId="10" borderId="14" xfId="746" applyFont="1" applyFill="1" applyBorder="1">
      <alignment horizontal="left" vertical="center" wrapText="1" indent="1"/>
    </xf>
    <xf numFmtId="0" fontId="9" fillId="12" borderId="23" xfId="747" applyFont="1" applyFill="1" applyBorder="1">
      <alignment horizontal="center" vertical="center" wrapText="1"/>
    </xf>
    <xf numFmtId="0" fontId="9" fillId="12" borderId="21" xfId="750" applyFont="1" applyFill="1" applyBorder="1">
      <alignment horizontal="center" vertical="center" wrapText="1"/>
    </xf>
    <xf numFmtId="0" fontId="9" fillId="0" borderId="14" xfId="760" applyFont="1" applyBorder="1">
      <alignment vertical="top" wrapText="1"/>
    </xf>
    <xf numFmtId="0" fontId="9" fillId="12" borderId="14" xfId="767" applyFont="1" applyFill="1" applyBorder="1">
      <alignment horizontal="left" vertical="center" wrapText="1"/>
    </xf>
    <xf numFmtId="0" fontId="9" fillId="0" borderId="14" xfId="768" applyFont="1" applyBorder="1">
      <alignment horizontal="left" vertical="center" wrapText="1" indent="6"/>
    </xf>
    <xf numFmtId="0" fontId="9" fillId="10" borderId="16" xfId="770" applyFont="1" applyFill="1" applyBorder="1">
      <alignment horizontal="left" vertical="center" wrapText="1"/>
    </xf>
    <xf numFmtId="0" fontId="30" fillId="0" borderId="14" xfId="772" applyFont="1" applyBorder="1">
      <alignment vertical="top" wrapText="1"/>
    </xf>
    <xf numFmtId="0" fontId="27" fillId="12" borderId="0" xfId="774" applyFont="1" applyFill="1">
      <alignment horizontal="center" vertical="center" wrapText="1"/>
    </xf>
    <xf numFmtId="0" fontId="9" fillId="0" borderId="20" xfId="775" applyFont="1" applyBorder="1">
      <alignment vertical="center" wrapText="1"/>
    </xf>
    <xf numFmtId="0" fontId="9" fillId="12" borderId="14" xfId="776" applyFont="1" applyFill="1" applyBorder="1">
      <alignment horizontal="left" vertical="center" wrapText="1" indent="1"/>
    </xf>
    <xf numFmtId="0" fontId="9" fillId="12" borderId="14" xfId="777" applyFont="1" applyFill="1" applyBorder="1">
      <alignment horizontal="left" vertical="center" wrapText="1" indent="2"/>
    </xf>
    <xf numFmtId="0" fontId="9" fillId="12" borderId="14" xfId="778" applyFont="1" applyFill="1" applyBorder="1">
      <alignment horizontal="left" vertical="center" wrapText="1" indent="3"/>
    </xf>
    <xf numFmtId="0" fontId="19" fillId="0" borderId="0" xfId="779" applyFont="1">
      <alignment horizontal="center" vertical="center"/>
    </xf>
    <xf numFmtId="0" fontId="25" fillId="0" borderId="20" xfId="780" applyFont="1" applyBorder="1">
      <alignment horizontal="center" vertical="center" wrapText="1"/>
    </xf>
    <xf numFmtId="0" fontId="9" fillId="12" borderId="14" xfId="781" applyFont="1" applyFill="1" applyBorder="1">
      <alignment horizontal="left" vertical="center" wrapText="1" indent="4"/>
    </xf>
    <xf numFmtId="0" fontId="25" fillId="0" borderId="20" xfId="785" applyFont="1" applyBorder="1">
      <alignment vertical="center" wrapText="1"/>
    </xf>
    <xf numFmtId="0" fontId="9" fillId="12" borderId="14" xfId="786" applyFont="1" applyFill="1" applyBorder="1">
      <alignment horizontal="left" vertical="center" wrapText="1" indent="5"/>
    </xf>
    <xf numFmtId="0" fontId="9" fillId="13" borderId="14" xfId="787" applyFont="1" applyFill="1" applyBorder="1">
      <alignment horizontal="left" vertical="center" wrapText="1" indent="6"/>
    </xf>
    <xf numFmtId="0" fontId="9" fillId="12" borderId="0" xfId="810" applyFont="1" applyFill="1">
      <alignment horizontal="left" vertical="center" wrapText="1"/>
    </xf>
    <xf numFmtId="0" fontId="5" fillId="12" borderId="14" xfId="811" applyFont="1" applyFill="1" applyBorder="1">
      <alignment horizontal="right" vertical="center" wrapText="1" indent="1"/>
    </xf>
    <xf numFmtId="0" fontId="5" fillId="0" borderId="16" xfId="812" applyFont="1" applyBorder="1">
      <alignment vertical="center"/>
    </xf>
    <xf numFmtId="0" fontId="9" fillId="12" borderId="36" xfId="813" applyFont="1" applyFill="1" applyBorder="1">
      <alignment vertical="center" wrapText="1"/>
    </xf>
    <xf numFmtId="0" fontId="31" fillId="0" borderId="36" xfId="814" applyFont="1" applyBorder="1">
      <alignment horizontal="center" vertical="center" wrapText="1"/>
    </xf>
    <xf numFmtId="0" fontId="9" fillId="0" borderId="21" xfId="822" applyFont="1" applyBorder="1">
      <alignment vertical="center" wrapText="1"/>
    </xf>
    <xf numFmtId="0" fontId="62" fillId="12" borderId="0" xfId="824" applyFont="1" applyFill="1">
      <alignment vertical="center" wrapText="1"/>
    </xf>
    <xf numFmtId="0" fontId="63" fillId="12" borderId="0" xfId="825" applyFont="1" applyFill="1">
      <alignment vertical="center" wrapText="1"/>
    </xf>
    <xf numFmtId="0" fontId="25" fillId="12" borderId="17" xfId="828" applyFont="1" applyFill="1" applyBorder="1">
      <alignment horizontal="center" vertical="center" wrapText="1"/>
    </xf>
    <xf numFmtId="0" fontId="46" fillId="12" borderId="17" xfId="829" applyFont="1" applyFill="1" applyBorder="1">
      <alignment horizontal="center" vertical="center" wrapText="1"/>
    </xf>
    <xf numFmtId="0" fontId="19" fillId="0" borderId="0" xfId="830" applyFont="1">
      <alignment horizontal="left" vertical="center" indent="1"/>
    </xf>
    <xf numFmtId="0" fontId="25" fillId="0" borderId="23" xfId="837" applyFont="1" applyBorder="1">
      <alignment horizontal="center" vertical="center" wrapText="1"/>
    </xf>
    <xf numFmtId="0" fontId="25" fillId="0" borderId="14" xfId="838" applyFont="1" applyBorder="1">
      <alignment horizontal="left" vertical="center" wrapText="1" indent="4"/>
    </xf>
    <xf numFmtId="0" fontId="25" fillId="0" borderId="14" xfId="839" applyFont="1" applyBorder="1">
      <alignment horizontal="left" vertical="center" wrapText="1" indent="6"/>
    </xf>
    <xf numFmtId="0" fontId="25" fillId="0" borderId="16" xfId="841" applyFont="1" applyBorder="1">
      <alignment horizontal="left" vertical="center" wrapText="1"/>
    </xf>
    <xf numFmtId="0" fontId="25" fillId="0" borderId="14" xfId="843" applyFont="1" applyBorder="1">
      <alignment vertical="top" wrapText="1"/>
    </xf>
    <xf numFmtId="0" fontId="25" fillId="0" borderId="0" xfId="848" applyFont="1">
      <alignment horizontal="center" vertical="center"/>
    </xf>
    <xf numFmtId="0" fontId="9" fillId="12" borderId="23" xfId="849" applyFont="1" applyFill="1" applyBorder="1">
      <alignment horizontal="left" vertical="center" wrapText="1"/>
    </xf>
    <xf numFmtId="0" fontId="9" fillId="12" borderId="23" xfId="850" applyFont="1" applyFill="1" applyBorder="1">
      <alignment horizontal="left" vertical="center" wrapText="1" indent="2"/>
    </xf>
    <xf numFmtId="0" fontId="9" fillId="0" borderId="23" xfId="851" applyFont="1" applyBorder="1">
      <alignment horizontal="left" vertical="center" wrapText="1" indent="6"/>
    </xf>
    <xf numFmtId="0" fontId="9" fillId="10" borderId="14" xfId="855" applyFont="1" applyFill="1" applyBorder="1">
      <alignment horizontal="left" vertical="center" wrapText="1"/>
    </xf>
    <xf numFmtId="0" fontId="30" fillId="0" borderId="11" xfId="856" applyFont="1" applyBorder="1">
      <alignment vertical="top" wrapText="1"/>
    </xf>
    <xf numFmtId="0" fontId="25" fillId="0" borderId="11" xfId="857" applyFont="1" applyBorder="1">
      <alignment vertical="top" wrapText="1"/>
    </xf>
    <xf numFmtId="0" fontId="9" fillId="12" borderId="21" xfId="858" applyFont="1" applyFill="1" applyBorder="1">
      <alignment horizontal="left" vertical="center" wrapText="1"/>
    </xf>
    <xf numFmtId="0" fontId="9" fillId="13" borderId="21" xfId="859" applyFont="1" applyFill="1" applyBorder="1">
      <alignment horizontal="left" vertical="center" wrapText="1" indent="6"/>
    </xf>
    <xf numFmtId="0" fontId="9" fillId="0" borderId="21" xfId="860" applyFont="1" applyBorder="1">
      <alignment horizontal="left" vertical="center" wrapText="1" indent="6"/>
    </xf>
    <xf numFmtId="0" fontId="9" fillId="0" borderId="0" xfId="866" applyFont="1">
      <alignment horizontal="center" vertical="center"/>
    </xf>
    <xf numFmtId="0" fontId="30" fillId="0" borderId="23" xfId="870" applyFont="1" applyBorder="1">
      <alignment vertical="top" wrapText="1"/>
    </xf>
    <xf numFmtId="0" fontId="9" fillId="8" borderId="14" xfId="871" applyFont="1" applyFill="1" applyBorder="1">
      <alignment horizontal="left" vertical="center" wrapText="1" indent="7"/>
      <protection locked="0"/>
    </xf>
    <xf numFmtId="0" fontId="9" fillId="14" borderId="16" xfId="874" applyFont="1" applyFill="1" applyBorder="1">
      <alignment horizontal="left" vertical="center" wrapText="1" indent="6"/>
    </xf>
    <xf numFmtId="0" fontId="36" fillId="0" borderId="0" xfId="882" applyFont="1">
      <alignment horizontal="left" vertical="center" indent="1"/>
    </xf>
    <xf numFmtId="0" fontId="36" fillId="0" borderId="0" xfId="883" applyFont="1">
      <alignment horizontal="center" vertical="center"/>
    </xf>
    <xf numFmtId="0" fontId="26" fillId="12" borderId="0" xfId="884" applyFont="1" applyFill="1">
      <alignment horizontal="center" vertical="center" wrapText="1"/>
    </xf>
    <xf numFmtId="0" fontId="25" fillId="0" borderId="14" xfId="885" applyFont="1" applyBorder="1">
      <alignment horizontal="left" vertical="center" wrapText="1" indent="5"/>
    </xf>
    <xf numFmtId="0" fontId="25" fillId="0" borderId="20" xfId="886" applyFont="1" applyBorder="1">
      <alignment horizontal="center" vertical="top" wrapText="1"/>
    </xf>
    <xf numFmtId="0" fontId="9" fillId="0" borderId="14" xfId="889" applyFont="1" applyBorder="1">
      <alignment horizontal="left" vertical="center" wrapText="1" indent="4"/>
    </xf>
    <xf numFmtId="0" fontId="25" fillId="0" borderId="20" xfId="902" applyFont="1" applyBorder="1">
      <alignment horizontal="left" vertical="center" wrapText="1" indent="1"/>
    </xf>
    <xf numFmtId="0" fontId="19" fillId="0" borderId="0" xfId="905" applyFont="1">
      <alignment horizontal="left" vertical="center"/>
    </xf>
    <xf numFmtId="0" fontId="64" fillId="12" borderId="0" xfId="906" applyFont="1" applyFill="1">
      <alignment vertical="center" wrapText="1"/>
    </xf>
    <xf numFmtId="0" fontId="5" fillId="12" borderId="24" xfId="908" applyFont="1" applyFill="1" applyBorder="1">
      <alignment horizontal="center" vertical="center" wrapText="1"/>
    </xf>
    <xf numFmtId="0" fontId="9" fillId="11" borderId="14" xfId="915" applyFont="1" applyFill="1" applyBorder="1">
      <alignment horizontal="center" vertical="center" wrapText="1"/>
      <protection locked="0"/>
    </xf>
    <xf numFmtId="0" fontId="9" fillId="0" borderId="14" xfId="920" applyFont="1" applyBorder="1">
      <alignment horizontal="left" vertical="center" wrapText="1" indent="1"/>
    </xf>
    <xf numFmtId="0" fontId="64" fillId="0" borderId="0" xfId="923" applyFont="1">
      <alignment vertical="center" wrapText="1"/>
    </xf>
    <xf numFmtId="0" fontId="9" fillId="0" borderId="0" xfId="938" applyFont="1">
      <alignment horizontal="left" vertical="center"/>
    </xf>
    <xf numFmtId="0" fontId="9" fillId="12" borderId="25" xfId="940" applyFont="1" applyFill="1" applyBorder="1">
      <alignment horizontal="center" vertical="center" wrapText="1"/>
    </xf>
    <xf numFmtId="0" fontId="5" fillId="0" borderId="14" xfId="942" applyFont="1" applyBorder="1">
      <alignment horizontal="left" vertical="center" wrapText="1" indent="2"/>
    </xf>
    <xf numFmtId="0" fontId="9" fillId="0" borderId="0" xfId="945" applyFont="1">
      <alignment horizontal="right" vertical="top" wrapText="1"/>
    </xf>
    <xf numFmtId="0" fontId="5" fillId="0" borderId="14" xfId="946" applyFont="1" applyBorder="1">
      <alignment horizontal="left" vertical="top" wrapText="1"/>
    </xf>
    <xf numFmtId="0" fontId="9" fillId="0" borderId="17" xfId="947" applyFont="1" applyBorder="1">
      <alignment vertical="center" wrapText="1"/>
    </xf>
    <xf numFmtId="0" fontId="9" fillId="0" borderId="17" xfId="951" applyFont="1" applyBorder="1">
      <alignment horizontal="left" vertical="top" wrapText="1"/>
    </xf>
    <xf numFmtId="0" fontId="9" fillId="0" borderId="12" xfId="952" applyFont="1" applyBorder="1">
      <alignment vertical="center" wrapText="1"/>
    </xf>
    <xf numFmtId="0" fontId="9" fillId="0" borderId="16" xfId="953" applyFont="1" applyBorder="1">
      <alignment horizontal="right" vertical="center" wrapText="1" indent="1"/>
    </xf>
    <xf numFmtId="0" fontId="9" fillId="0" borderId="11" xfId="954" applyFont="1" applyBorder="1">
      <alignment horizontal="right" vertical="center" wrapText="1" indent="1"/>
    </xf>
    <xf numFmtId="0" fontId="9" fillId="10" borderId="12" xfId="955" applyFont="1" applyFill="1" applyBorder="1">
      <alignment horizontal="left" vertical="top" wrapText="1" indent="1"/>
    </xf>
    <xf numFmtId="0" fontId="9" fillId="0" borderId="11" xfId="962" applyFont="1" applyBorder="1">
      <alignment vertical="center" wrapText="1"/>
    </xf>
    <xf numFmtId="0" fontId="68" fillId="0" borderId="0" xfId="966" applyFont="1">
      <alignment vertical="center" wrapText="1"/>
    </xf>
    <xf numFmtId="0" fontId="19" fillId="0" borderId="14" xfId="970" applyFont="1" applyBorder="1">
      <alignment vertical="top" wrapText="1"/>
    </xf>
    <xf numFmtId="0" fontId="5" fillId="0" borderId="12" xfId="971" applyFont="1" applyBorder="1">
      <alignment horizontal="center" vertical="center"/>
    </xf>
    <xf numFmtId="0" fontId="19" fillId="14" borderId="11" xfId="975" applyFont="1" applyFill="1" applyBorder="1">
      <alignment vertical="center" wrapText="1"/>
    </xf>
    <xf numFmtId="0" fontId="9" fillId="14" borderId="17" xfId="976" applyFont="1" applyFill="1" applyBorder="1">
      <alignment vertical="center" wrapText="1"/>
    </xf>
    <xf numFmtId="0" fontId="9" fillId="14" borderId="36" xfId="977" applyFont="1" applyFill="1" applyBorder="1">
      <alignment vertical="center" wrapText="1"/>
    </xf>
    <xf numFmtId="0" fontId="69" fillId="12" borderId="0" xfId="987" applyFont="1" applyFill="1">
      <alignment horizontal="center" vertical="center" wrapText="1"/>
    </xf>
    <xf numFmtId="0" fontId="25" fillId="12" borderId="14" xfId="988" applyFont="1" applyFill="1" applyBorder="1">
      <alignment horizontal="left" vertical="center" wrapText="1" indent="3"/>
    </xf>
    <xf numFmtId="0" fontId="9" fillId="0" borderId="57" xfId="995" applyFont="1" applyBorder="1">
      <alignment horizontal="center" vertical="center" wrapText="1"/>
    </xf>
    <xf numFmtId="0" fontId="9" fillId="11" borderId="14" xfId="996" applyFont="1" applyFill="1" applyBorder="1">
      <alignment horizontal="left" vertical="center" wrapText="1" indent="2"/>
      <protection locked="0"/>
    </xf>
    <xf numFmtId="0" fontId="25" fillId="0" borderId="57" xfId="997" applyFont="1" applyBorder="1">
      <alignment horizontal="center" vertical="center" wrapText="1"/>
    </xf>
    <xf numFmtId="0" fontId="25" fillId="0" borderId="14" xfId="998" applyFont="1" applyBorder="1">
      <alignment horizontal="left" vertical="center" wrapText="1" indent="2"/>
    </xf>
    <xf numFmtId="0" fontId="9" fillId="0" borderId="14" xfId="999" applyFont="1" applyBorder="1">
      <alignment horizontal="left" vertical="center" wrapText="1" indent="3"/>
    </xf>
    <xf numFmtId="0" fontId="9" fillId="8" borderId="14" xfId="1001" applyFont="1" applyFill="1" applyBorder="1">
      <alignment horizontal="left" vertical="center" wrapText="1"/>
      <protection locked="0"/>
    </xf>
    <xf numFmtId="0" fontId="9" fillId="0" borderId="11" xfId="1002" applyFont="1" applyBorder="1">
      <alignment vertical="top" wrapText="1"/>
    </xf>
    <xf numFmtId="0" fontId="9" fillId="0" borderId="18" xfId="1004" applyFont="1" applyBorder="1">
      <alignment vertical="center" wrapText="1"/>
    </xf>
    <xf numFmtId="0" fontId="61" fillId="12" borderId="0" xfId="1005" applyFont="1" applyFill="1">
      <alignment horizontal="right" vertical="center"/>
    </xf>
    <xf numFmtId="0" fontId="9" fillId="10" borderId="12" xfId="1006" applyFont="1" applyFill="1" applyBorder="1">
      <alignment horizontal="left" vertical="top" wrapText="1"/>
    </xf>
    <xf numFmtId="0" fontId="36" fillId="0" borderId="14" xfId="1011" applyFont="1" applyBorder="1">
      <alignment horizontal="left" vertical="center" wrapText="1" indent="2"/>
    </xf>
    <xf numFmtId="0" fontId="36" fillId="0" borderId="14" xfId="1012" applyFont="1" applyBorder="1">
      <alignment horizontal="center" vertical="center" wrapText="1"/>
    </xf>
    <xf numFmtId="0" fontId="36" fillId="0" borderId="14" xfId="1013" applyFont="1" applyBorder="1">
      <alignment vertical="center" wrapText="1"/>
    </xf>
    <xf numFmtId="0" fontId="36" fillId="0" borderId="57" xfId="1014" applyFont="1" applyBorder="1">
      <alignment horizontal="center" vertical="center" wrapText="1"/>
    </xf>
    <xf numFmtId="0" fontId="36" fillId="0" borderId="14" xfId="1015" applyFont="1" applyBorder="1">
      <alignment horizontal="left" vertical="center" wrapText="1" indent="3"/>
    </xf>
    <xf numFmtId="0" fontId="9" fillId="0" borderId="14" xfId="1018" applyFont="1" applyBorder="1">
      <alignment horizontal="left" vertical="center" wrapText="1" indent="2"/>
    </xf>
    <xf numFmtId="0" fontId="19" fillId="0" borderId="0" xfId="1021" applyFont="1">
      <alignment horizontal="left" vertical="center" wrapText="1"/>
    </xf>
    <xf numFmtId="0" fontId="25" fillId="0" borderId="14" xfId="1023" applyFont="1" applyBorder="1">
      <alignment horizontal="left" vertical="center" wrapText="1" indent="3"/>
    </xf>
    <xf numFmtId="0" fontId="25" fillId="0" borderId="23" xfId="1025" applyFont="1" applyBorder="1">
      <alignment vertical="top" wrapText="1"/>
    </xf>
    <xf numFmtId="0" fontId="9" fillId="0" borderId="12" xfId="1026" applyFont="1" applyBorder="1">
      <alignment horizontal="left" vertical="center" wrapText="1" indent="2"/>
    </xf>
    <xf numFmtId="0" fontId="9" fillId="0" borderId="12" xfId="1028" applyFont="1" applyBorder="1">
      <alignment horizontal="left" vertical="center" wrapText="1" indent="1"/>
    </xf>
    <xf numFmtId="0" fontId="25" fillId="0" borderId="33" xfId="1035" applyFont="1" applyBorder="1">
      <alignment horizontal="left" vertical="center" wrapText="1" indent="1"/>
    </xf>
    <xf numFmtId="0" fontId="25" fillId="0" borderId="33" xfId="1036" applyFont="1" applyBorder="1">
      <alignment horizontal="center" vertical="center" wrapText="1"/>
    </xf>
    <xf numFmtId="0" fontId="25" fillId="0" borderId="23" xfId="1037" applyFont="1" applyBorder="1">
      <alignment vertical="center" wrapText="1"/>
    </xf>
    <xf numFmtId="0" fontId="25" fillId="0" borderId="21" xfId="1041" applyFont="1" applyBorder="1">
      <alignment horizontal="left" vertical="center" wrapText="1" indent="1"/>
    </xf>
    <xf numFmtId="0" fontId="25" fillId="0" borderId="23" xfId="1042" applyFont="1" applyBorder="1">
      <alignment horizontal="left" vertical="center" wrapText="1" indent="1"/>
    </xf>
    <xf numFmtId="0" fontId="48" fillId="0" borderId="0" xfId="1044" applyFont="1">
      <alignment vertical="center" wrapText="1"/>
    </xf>
    <xf numFmtId="0" fontId="9" fillId="0" borderId="36" xfId="1045" applyFont="1" applyBorder="1">
      <alignment vertical="center" wrapText="1"/>
    </xf>
    <xf numFmtId="0" fontId="65" fillId="12" borderId="0" xfId="1046" applyFont="1" applyFill="1">
      <alignment horizontal="right" vertical="center"/>
    </xf>
    <xf numFmtId="0" fontId="25" fillId="0" borderId="12" xfId="1052" applyFont="1" applyBorder="1">
      <alignment vertical="center" wrapText="1"/>
    </xf>
    <xf numFmtId="0" fontId="25" fillId="0" borderId="12" xfId="1055" applyFont="1" applyBorder="1">
      <alignment horizontal="left" vertical="top" wrapText="1"/>
    </xf>
    <xf numFmtId="0" fontId="70" fillId="0" borderId="0" xfId="1057" applyFont="1">
      <alignment vertical="center" wrapText="1"/>
    </xf>
    <xf numFmtId="0" fontId="25" fillId="0" borderId="36" xfId="1064" applyFont="1" applyBorder="1">
      <alignment vertical="center" wrapText="1"/>
    </xf>
    <xf numFmtId="0" fontId="71" fillId="0" borderId="19" xfId="1068" applyFont="1" applyBorder="1">
      <alignment vertical="center" wrapText="1"/>
    </xf>
    <xf numFmtId="0" fontId="9" fillId="0" borderId="43" xfId="1073" applyFont="1" applyBorder="1">
      <alignment horizontal="left" vertical="center" wrapText="1"/>
    </xf>
    <xf numFmtId="0" fontId="9" fillId="0" borderId="45" xfId="1077" applyFont="1" applyBorder="1">
      <alignment horizontal="left" vertical="center" wrapText="1" indent="1"/>
    </xf>
    <xf numFmtId="0" fontId="9" fillId="0" borderId="45" xfId="1081" applyFont="1" applyBorder="1">
      <alignment horizontal="left" vertical="center" wrapText="1"/>
    </xf>
    <xf numFmtId="0" fontId="9" fillId="0" borderId="40" xfId="1083" applyFont="1" applyBorder="1">
      <alignment horizontal="left" vertical="center" wrapText="1" indent="1"/>
    </xf>
    <xf numFmtId="0" fontId="9" fillId="0" borderId="40" xfId="1085" applyFont="1" applyBorder="1">
      <alignment horizontal="left" vertical="center" wrapText="1"/>
    </xf>
    <xf numFmtId="0" fontId="9" fillId="0" borderId="40" xfId="1086" applyFont="1" applyBorder="1">
      <alignment horizontal="left" vertical="center" wrapText="1" indent="2"/>
    </xf>
    <xf numFmtId="0" fontId="9" fillId="0" borderId="62" xfId="1089" applyFont="1" applyBorder="1">
      <alignment horizontal="left" vertical="center" wrapText="1"/>
    </xf>
    <xf numFmtId="0" fontId="19" fillId="26" borderId="14" xfId="1097" applyFont="1" applyFill="1" applyBorder="1">
      <alignment horizontal="left" vertical="center" wrapText="1"/>
    </xf>
    <xf numFmtId="0" fontId="9" fillId="22" borderId="14" xfId="1098" applyFont="1" applyFill="1" applyBorder="1">
      <alignment vertical="center"/>
    </xf>
    <xf numFmtId="0" fontId="9" fillId="0" borderId="17" xfId="1102" applyFont="1" applyBorder="1">
      <alignment horizontal="right" vertical="center" wrapText="1" indent="1"/>
    </xf>
    <xf numFmtId="0" fontId="19" fillId="14" borderId="16" xfId="1104" applyFont="1" applyFill="1" applyBorder="1">
      <alignment vertical="center" wrapText="1"/>
    </xf>
    <xf numFmtId="0" fontId="5" fillId="12" borderId="23" xfId="1107" applyFont="1" applyFill="1" applyBorder="1">
      <alignment horizontal="center" vertical="center" wrapText="1"/>
    </xf>
    <xf numFmtId="0" fontId="9" fillId="14" borderId="25" xfId="1109" applyFont="1" applyFill="1" applyBorder="1">
      <alignment vertical="center" wrapText="1"/>
    </xf>
    <xf numFmtId="0" fontId="9" fillId="12" borderId="10" xfId="1110" applyFont="1" applyFill="1" applyBorder="1">
      <alignment vertical="center" wrapText="1"/>
    </xf>
    <xf numFmtId="0" fontId="13" fillId="12" borderId="10" xfId="1112" applyFont="1" applyFill="1" applyBorder="1">
      <alignment horizontal="center" wrapText="1"/>
    </xf>
    <xf numFmtId="0" fontId="9" fillId="0" borderId="4" xfId="1116" applyFont="1" applyBorder="1">
      <alignment vertical="center" wrapText="1"/>
    </xf>
    <xf numFmtId="0" fontId="9" fillId="12" borderId="17" xfId="1117" applyFont="1" applyFill="1" applyBorder="1">
      <alignment vertical="center" wrapText="1"/>
    </xf>
    <xf numFmtId="0" fontId="25" fillId="0" borderId="10" xfId="1118" applyFont="1" applyBorder="1">
      <alignment vertical="center" wrapText="1"/>
    </xf>
    <xf numFmtId="0" fontId="9" fillId="0" borderId="4" xfId="1121" applyFont="1" applyBorder="1">
      <alignment vertical="center"/>
    </xf>
    <xf numFmtId="0" fontId="28" fillId="0" borderId="14" xfId="1158" applyFont="1" applyBorder="1">
      <alignment horizontal="center" vertical="center"/>
    </xf>
    <xf numFmtId="0" fontId="9" fillId="0" borderId="23" xfId="1161" applyFont="1" applyBorder="1">
      <alignment horizontal="right" vertical="center"/>
    </xf>
    <xf numFmtId="0" fontId="9" fillId="0" borderId="23" xfId="1162" applyFont="1" applyBorder="1">
      <alignment horizontal="center" vertical="center"/>
    </xf>
    <xf numFmtId="0" fontId="74" fillId="12" borderId="0" xfId="1165" applyFont="1" applyFill="1">
      <alignment horizontal="center" vertical="center" wrapText="1"/>
    </xf>
    <xf numFmtId="0" fontId="10" fillId="12" borderId="0" xfId="1166" applyFont="1" applyFill="1"/>
    <xf numFmtId="0" fontId="9" fillId="0" borderId="0" xfId="1169" applyFont="1"/>
    <xf numFmtId="0" fontId="31" fillId="12" borderId="0" xfId="1170" applyFont="1" applyFill="1">
      <alignment horizontal="center" vertical="center"/>
    </xf>
    <xf numFmtId="0" fontId="9" fillId="12" borderId="23" xfId="1171" applyFont="1" applyFill="1" applyBorder="1">
      <alignment horizontal="center" vertical="center"/>
    </xf>
    <xf numFmtId="0" fontId="31" fillId="0" borderId="0" xfId="1173" applyFont="1">
      <alignment horizontal="center" vertical="center"/>
    </xf>
    <xf numFmtId="0" fontId="19" fillId="12" borderId="0" xfId="1175" applyFont="1" applyFill="1"/>
    <xf numFmtId="0" fontId="75" fillId="12" borderId="0" xfId="1176" applyFont="1" applyFill="1"/>
    <xf numFmtId="0" fontId="25" fillId="12" borderId="0" xfId="1177" applyFont="1" applyFill="1">
      <alignment horizontal="center" vertical="center" wrapText="1"/>
    </xf>
    <xf numFmtId="0" fontId="36" fillId="12" borderId="0" xfId="1179" applyFont="1" applyFill="1">
      <alignment vertical="center" wrapText="1"/>
    </xf>
    <xf numFmtId="0" fontId="25" fillId="12" borderId="14" xfId="1180" applyFont="1" applyFill="1" applyBorder="1">
      <alignment horizontal="center" vertical="center"/>
    </xf>
    <xf numFmtId="0" fontId="37" fillId="12" borderId="0" xfId="1182" applyFont="1" applyFill="1"/>
    <xf numFmtId="0" fontId="70" fillId="12" borderId="0" xfId="1184" applyFont="1" applyFill="1"/>
    <xf numFmtId="0" fontId="9" fillId="12" borderId="14" xfId="1185" applyFont="1" applyFill="1" applyBorder="1">
      <alignment horizontal="left" vertical="top" wrapText="1"/>
    </xf>
    <xf numFmtId="0" fontId="9" fillId="12" borderId="14" xfId="1187" applyFont="1" applyFill="1" applyBorder="1">
      <alignment vertical="top" wrapText="1"/>
    </xf>
    <xf numFmtId="0" fontId="19" fillId="0" borderId="33" xfId="1189" applyFont="1" applyBorder="1">
      <alignment horizontal="left" vertical="center" wrapText="1" indent="1"/>
    </xf>
    <xf numFmtId="0" fontId="76" fillId="0" borderId="0" xfId="1200" applyFont="1">
      <alignment vertical="center"/>
    </xf>
    <xf numFmtId="0" fontId="9" fillId="10" borderId="21" xfId="1206" applyFont="1" applyFill="1" applyBorder="1">
      <alignment horizontal="left" vertical="center" wrapText="1" indent="1"/>
    </xf>
    <xf numFmtId="0" fontId="9" fillId="12" borderId="33" xfId="1212" applyFont="1" applyFill="1" applyBorder="1">
      <alignment vertical="center" wrapText="1"/>
    </xf>
    <xf numFmtId="0" fontId="25" fillId="0" borderId="36" xfId="1213" applyFont="1" applyBorder="1">
      <alignment horizontal="center" vertical="center" wrapText="1"/>
    </xf>
    <xf numFmtId="0" fontId="9" fillId="12" borderId="19" xfId="1214" applyFont="1" applyFill="1" applyBorder="1">
      <alignment vertical="center" wrapText="1"/>
    </xf>
    <xf numFmtId="0" fontId="27" fillId="0" borderId="0" xfId="1218" applyFont="1">
      <alignment horizontal="center" vertical="center" wrapText="1"/>
    </xf>
    <xf numFmtId="0" fontId="5" fillId="0" borderId="0" xfId="1241" applyFont="1"/>
    <xf numFmtId="0" fontId="5" fillId="0" borderId="15" xfId="1243" applyFont="1" applyBorder="1">
      <alignment vertical="top" wrapText="1"/>
    </xf>
    <xf numFmtId="0" fontId="3" fillId="0" borderId="65" xfId="1244" applyFont="1" applyBorder="1">
      <alignment vertical="top" wrapText="1"/>
    </xf>
    <xf numFmtId="0" fontId="5" fillId="0" borderId="14" xfId="1245" applyFont="1" applyBorder="1">
      <alignment vertical="top" wrapText="1"/>
    </xf>
    <xf numFmtId="0" fontId="13" fillId="0" borderId="15" xfId="1247" applyFont="1" applyBorder="1">
      <alignment vertical="center" wrapText="1"/>
    </xf>
    <xf numFmtId="0" fontId="3" fillId="0" borderId="0" xfId="1248" applyFont="1">
      <alignment vertical="top" wrapText="1"/>
    </xf>
    <xf numFmtId="0" fontId="9" fillId="0" borderId="15" xfId="1249" applyFont="1" applyBorder="1">
      <alignment vertical="center" wrapText="1"/>
    </xf>
    <xf numFmtId="164" fontId="5" fillId="11" borderId="15" xfId="0" applyNumberFormat="1" applyFont="1" applyFill="1" applyBorder="1" applyAlignment="1" applyProtection="1">
      <alignment horizontal="left" vertical="center" wrapText="1" indent="1"/>
      <protection locked="0"/>
    </xf>
    <xf numFmtId="49" fontId="18" fillId="11" borderId="11" xfId="0" applyNumberFormat="1" applyFont="1" applyFill="1" applyBorder="1" applyAlignment="1" applyProtection="1">
      <alignment horizontal="left" vertical="center" wrapText="1"/>
      <protection locked="0"/>
    </xf>
    <xf numFmtId="49" fontId="18" fillId="11" borderId="14" xfId="0" applyNumberFormat="1" applyFont="1" applyFill="1" applyBorder="1" applyAlignment="1" applyProtection="1">
      <alignment horizontal="left" vertical="center" wrapText="1"/>
      <protection locked="0"/>
    </xf>
    <xf numFmtId="49" fontId="18" fillId="11" borderId="12" xfId="0" applyNumberFormat="1" applyFont="1" applyFill="1" applyBorder="1" applyAlignment="1" applyProtection="1">
      <alignment horizontal="left" vertical="center" wrapText="1"/>
      <protection locked="0"/>
    </xf>
    <xf numFmtId="49" fontId="34" fillId="11" borderId="14" xfId="0" applyNumberFormat="1" applyFont="1" applyFill="1" applyBorder="1" applyAlignment="1" applyProtection="1">
      <alignment horizontal="left" vertical="center" wrapText="1" indent="1"/>
      <protection locked="0"/>
    </xf>
    <xf numFmtId="0" fontId="5" fillId="11" borderId="14" xfId="0" applyFont="1" applyFill="1" applyBorder="1" applyAlignment="1" applyProtection="1">
      <alignment horizontal="left" vertical="center"/>
      <protection locked="0"/>
    </xf>
    <xf numFmtId="49" fontId="79" fillId="11" borderId="14" xfId="379" applyNumberFormat="1" applyFont="1" applyFill="1" applyBorder="1">
      <alignment horizontal="left" vertical="center" wrapText="1"/>
      <protection locked="0"/>
    </xf>
    <xf numFmtId="49" fontId="79" fillId="11" borderId="14" xfId="0" applyNumberFormat="1" applyFont="1" applyFill="1" applyBorder="1" applyAlignment="1" applyProtection="1">
      <alignment horizontal="left" vertical="center" wrapText="1"/>
      <protection locked="0"/>
    </xf>
    <xf numFmtId="49" fontId="79" fillId="11" borderId="11" xfId="0" applyNumberFormat="1" applyFont="1" applyFill="1" applyBorder="1" applyAlignment="1" applyProtection="1">
      <alignment horizontal="left" vertical="center" wrapText="1"/>
      <protection locked="0"/>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2" fillId="0" borderId="0" xfId="2" applyFont="1">
      <alignment vertical="center" wrapText="1"/>
    </xf>
    <xf numFmtId="0" fontId="0" fillId="0" borderId="0" xfId="0" applyFont="1">
      <alignment vertical="top"/>
    </xf>
    <xf numFmtId="0" fontId="2" fillId="0" borderId="0" xfId="3" applyFont="1">
      <alignment vertical="center"/>
    </xf>
    <xf numFmtId="0" fontId="3" fillId="6" borderId="1" xfId="4" applyFont="1" applyFill="1" applyBorder="1">
      <alignment horizontal="center" vertical="center" wrapText="1"/>
    </xf>
    <xf numFmtId="0" fontId="3" fillId="6" borderId="2" xfId="5" applyFont="1" applyFill="1" applyBorder="1">
      <alignment horizontal="center" vertical="center" wrapText="1"/>
    </xf>
    <xf numFmtId="0" fontId="3" fillId="6" borderId="3" xfId="6" applyFont="1" applyFill="1" applyBorder="1">
      <alignment horizontal="center" vertical="center" wrapText="1"/>
    </xf>
    <xf numFmtId="0" fontId="3" fillId="7" borderId="4" xfId="7" applyFont="1" applyFill="1" applyBorder="1">
      <alignment horizontal="right" vertical="center" wrapText="1" indent="1"/>
    </xf>
    <xf numFmtId="0" fontId="3" fillId="7" borderId="5" xfId="8" applyFont="1" applyFill="1" applyBorder="1">
      <alignment horizontal="right" vertical="center" wrapText="1" indent="1"/>
    </xf>
    <xf numFmtId="0" fontId="3" fillId="7" borderId="0" xfId="16" applyFont="1" applyFill="1">
      <alignment horizontal="right" vertical="center" wrapText="1" indent="1"/>
    </xf>
    <xf numFmtId="0" fontId="6" fillId="0" borderId="4" xfId="11" applyFont="1" applyBorder="1">
      <alignment vertical="center" wrapText="1"/>
    </xf>
    <xf numFmtId="0" fontId="6" fillId="0" borderId="4" xfId="13" applyFont="1" applyBorder="1">
      <alignment horizontal="left" vertical="center" wrapText="1"/>
    </xf>
    <xf numFmtId="0" fontId="3" fillId="7" borderId="6" xfId="19" applyFont="1" applyFill="1" applyBorder="1">
      <alignment horizontal="right" vertical="center" wrapText="1" indent="1"/>
    </xf>
    <xf numFmtId="0" fontId="3" fillId="7" borderId="8" xfId="20" applyFont="1" applyFill="1" applyBorder="1">
      <alignment horizontal="right" vertical="center" wrapText="1" indent="1"/>
    </xf>
    <xf numFmtId="0" fontId="6" fillId="0" borderId="0" xfId="22" applyFont="1">
      <alignment vertical="center" wrapText="1"/>
    </xf>
    <xf numFmtId="0" fontId="3" fillId="7" borderId="9" xfId="24" applyFont="1" applyFill="1" applyBorder="1">
      <alignment horizontal="right" vertical="center" wrapText="1" indent="1"/>
    </xf>
    <xf numFmtId="0" fontId="3" fillId="7" borderId="10" xfId="25" applyFont="1" applyFill="1" applyBorder="1">
      <alignment horizontal="right" vertical="center" wrapText="1" indent="1"/>
    </xf>
    <xf numFmtId="0" fontId="6" fillId="0" borderId="0" xfId="23" applyFont="1">
      <alignment vertical="top" wrapText="1"/>
    </xf>
    <xf numFmtId="0" fontId="9" fillId="0" borderId="11" xfId="37" applyFont="1" applyBorder="1">
      <alignment horizontal="center" vertical="center" wrapText="1"/>
    </xf>
    <xf numFmtId="0" fontId="9" fillId="0" borderId="12" xfId="38" applyFont="1" applyBorder="1">
      <alignment horizontal="center" vertical="center" wrapText="1"/>
    </xf>
    <xf numFmtId="0" fontId="20" fillId="0" borderId="0" xfId="63" applyFont="1">
      <alignment horizontal="left" vertical="center" wrapText="1"/>
    </xf>
    <xf numFmtId="14" fontId="17" fillId="0" borderId="14" xfId="51" applyNumberFormat="1" applyFont="1" applyBorder="1">
      <alignment horizontal="center" vertical="center" wrapText="1"/>
    </xf>
    <xf numFmtId="0" fontId="9" fillId="0" borderId="0" xfId="65" applyFont="1">
      <alignment horizontal="center" vertical="center" wrapText="1"/>
    </xf>
    <xf numFmtId="0" fontId="9" fillId="0" borderId="16" xfId="94" applyFont="1" applyBorder="1">
      <alignment horizontal="left" vertical="center" wrapText="1" indent="1"/>
    </xf>
    <xf numFmtId="0" fontId="9" fillId="0" borderId="16" xfId="95" applyFont="1" applyBorder="1">
      <alignment horizontal="center" vertical="center" wrapText="1"/>
    </xf>
    <xf numFmtId="4" fontId="9" fillId="0" borderId="14" xfId="96" applyNumberFormat="1" applyFont="1" applyBorder="1">
      <alignment horizontal="center" vertical="center" wrapText="1"/>
    </xf>
    <xf numFmtId="0" fontId="19" fillId="0" borderId="0" xfId="319" applyFont="1">
      <alignment horizontal="center" vertical="center" wrapText="1"/>
    </xf>
    <xf numFmtId="0" fontId="34" fillId="13" borderId="14" xfId="0" applyFont="1" applyFill="1" applyBorder="1" applyAlignment="1" applyProtection="1">
      <alignment horizontal="left" vertical="center" wrapText="1" indent="1"/>
      <protection locked="0"/>
    </xf>
    <xf numFmtId="0" fontId="34" fillId="13" borderId="14" xfId="0" applyFont="1" applyFill="1" applyBorder="1" applyAlignment="1" applyProtection="1">
      <alignment horizontal="left" vertical="top" indent="1"/>
      <protection locked="0"/>
    </xf>
    <xf numFmtId="49" fontId="9" fillId="13" borderId="14" xfId="160" applyNumberFormat="1" applyFont="1" applyFill="1" applyBorder="1">
      <alignment horizontal="center" vertical="center" wrapText="1"/>
    </xf>
    <xf numFmtId="0" fontId="28" fillId="0" borderId="20" xfId="507" applyFont="1" applyBorder="1">
      <alignment horizontal="center" vertical="center" wrapText="1"/>
    </xf>
    <xf numFmtId="49" fontId="9" fillId="0" borderId="14" xfId="154" applyNumberFormat="1" applyFont="1" applyBorder="1">
      <alignment horizontal="center" vertical="center" wrapText="1"/>
    </xf>
    <xf numFmtId="0" fontId="9" fillId="13" borderId="23" xfId="155" applyFont="1" applyFill="1" applyBorder="1">
      <alignment horizontal="left" vertical="center" wrapText="1" indent="2"/>
    </xf>
    <xf numFmtId="0" fontId="9" fillId="13" borderId="33" xfId="164" applyFont="1" applyFill="1" applyBorder="1">
      <alignment horizontal="left" vertical="center" wrapText="1" indent="2"/>
    </xf>
    <xf numFmtId="0" fontId="9" fillId="13" borderId="21" xfId="167" applyFont="1" applyFill="1" applyBorder="1">
      <alignment horizontal="left" vertical="center" wrapText="1" indent="2"/>
    </xf>
    <xf numFmtId="14" fontId="35" fillId="0" borderId="23" xfId="508" applyNumberFormat="1" applyFont="1" applyBorder="1">
      <alignment horizontal="center" vertical="center" wrapText="1"/>
    </xf>
    <xf numFmtId="14" fontId="35" fillId="0" borderId="33" xfId="511" applyNumberFormat="1" applyFont="1" applyBorder="1">
      <alignment horizontal="center" vertical="center" wrapText="1"/>
    </xf>
    <xf numFmtId="0" fontId="9" fillId="0" borderId="14" xfId="105" applyFont="1" applyBorder="1">
      <alignment horizontal="center" vertical="center" wrapText="1"/>
    </xf>
    <xf numFmtId="0" fontId="34" fillId="0" borderId="14" xfId="509" applyFont="1" applyBorder="1">
      <alignment horizontal="left" vertical="center" wrapText="1" indent="1"/>
    </xf>
    <xf numFmtId="0" fontId="34" fillId="0" borderId="14" xfId="512" applyFont="1" applyBorder="1">
      <alignment horizontal="left" vertical="top" indent="1"/>
    </xf>
    <xf numFmtId="0" fontId="9" fillId="13" borderId="23" xfId="159" applyFont="1" applyFill="1" applyBorder="1">
      <alignment horizontal="left" vertical="center" wrapText="1" indent="1"/>
    </xf>
    <xf numFmtId="0" fontId="9" fillId="13" borderId="21" xfId="165" applyFont="1" applyFill="1" applyBorder="1">
      <alignment horizontal="left" vertical="center" wrapText="1" indent="1"/>
    </xf>
    <xf numFmtId="49" fontId="5" fillId="0" borderId="14" xfId="203" applyNumberFormat="1" applyFont="1" applyBorder="1">
      <alignment vertical="top"/>
    </xf>
    <xf numFmtId="49" fontId="9" fillId="13" borderId="21" xfId="156" applyNumberFormat="1" applyFont="1" applyFill="1" applyBorder="1">
      <alignment horizontal="center" vertical="center" wrapText="1"/>
    </xf>
    <xf numFmtId="14" fontId="35" fillId="0" borderId="32" xfId="157" applyNumberFormat="1" applyFont="1" applyBorder="1">
      <alignment horizontal="center" vertical="center" wrapText="1"/>
    </xf>
    <xf numFmtId="0" fontId="9" fillId="0" borderId="32" xfId="158" applyFont="1" applyBorder="1">
      <alignment horizontal="center" vertical="center" wrapText="1"/>
    </xf>
    <xf numFmtId="0" fontId="28" fillId="0" borderId="14" xfId="513" applyFont="1" applyBorder="1">
      <alignment horizontal="center" vertical="center" wrapText="1"/>
    </xf>
    <xf numFmtId="0" fontId="9" fillId="13" borderId="14" xfId="78" applyFont="1" applyFill="1" applyBorder="1">
      <alignment horizontal="left" vertical="center" wrapText="1" indent="1"/>
    </xf>
    <xf numFmtId="49" fontId="28" fillId="0" borderId="29" xfId="145" applyNumberFormat="1" applyFont="1" applyBorder="1">
      <alignment horizontal="center" vertical="center" wrapText="1"/>
    </xf>
    <xf numFmtId="49" fontId="28" fillId="0" borderId="30" xfId="146" applyNumberFormat="1" applyFont="1" applyBorder="1">
      <alignment horizontal="center" vertical="center" wrapText="1"/>
    </xf>
    <xf numFmtId="49" fontId="28" fillId="0" borderId="12" xfId="147" applyNumberFormat="1" applyFont="1" applyBorder="1">
      <alignment horizontal="center" vertical="center" wrapText="1"/>
    </xf>
    <xf numFmtId="49" fontId="28" fillId="0" borderId="11" xfId="148" applyNumberFormat="1" applyFont="1" applyBorder="1">
      <alignment horizontal="center" vertical="center" wrapText="1"/>
    </xf>
    <xf numFmtId="0" fontId="9" fillId="0" borderId="18" xfId="129" applyFont="1" applyBorder="1">
      <alignment horizontal="left" vertical="center" wrapText="1" indent="1"/>
    </xf>
    <xf numFmtId="0" fontId="9" fillId="0" borderId="23" xfId="130" applyFont="1" applyBorder="1">
      <alignment horizontal="left" vertical="center" wrapText="1" indent="1"/>
    </xf>
    <xf numFmtId="0" fontId="9" fillId="0" borderId="24" xfId="131" applyFont="1" applyBorder="1">
      <alignment horizontal="left" vertical="center" wrapText="1" indent="1"/>
    </xf>
    <xf numFmtId="0" fontId="9" fillId="0" borderId="25" xfId="132" applyFont="1" applyBorder="1">
      <alignment horizontal="left" vertical="center" indent="1"/>
    </xf>
    <xf numFmtId="0" fontId="9" fillId="0" borderId="21" xfId="133" applyFont="1" applyBorder="1">
      <alignment horizontal="left" vertical="center" indent="1"/>
    </xf>
    <xf numFmtId="0" fontId="9" fillId="0" borderId="26" xfId="134" applyFont="1" applyBorder="1">
      <alignment horizontal="left" vertical="center" indent="1"/>
    </xf>
    <xf numFmtId="0" fontId="9" fillId="15" borderId="0" xfId="137" applyFont="1" applyFill="1">
      <alignment horizontal="center" vertical="center" wrapText="1"/>
    </xf>
    <xf numFmtId="0" fontId="34" fillId="0" borderId="24" xfId="138" applyFont="1" applyBorder="1">
      <alignment horizontal="center" vertical="center" wrapText="1"/>
    </xf>
    <xf numFmtId="0" fontId="34" fillId="0" borderId="17" xfId="139" applyFont="1" applyBorder="1">
      <alignment horizontal="center" vertical="center" wrapText="1"/>
    </xf>
    <xf numFmtId="0" fontId="5" fillId="0" borderId="0" xfId="136" applyFont="1">
      <alignment horizontal="left" vertical="center" wrapText="1" indent="2"/>
    </xf>
    <xf numFmtId="0" fontId="34" fillId="0" borderId="14" xfId="140" applyFont="1" applyBorder="1">
      <alignment horizontal="center" vertical="center" wrapText="1"/>
    </xf>
    <xf numFmtId="0" fontId="9" fillId="0" borderId="27" xfId="141" applyFont="1" applyBorder="1">
      <alignment horizontal="center" vertical="center" wrapText="1"/>
    </xf>
    <xf numFmtId="0" fontId="9" fillId="0" borderId="28" xfId="142" applyFont="1" applyBorder="1">
      <alignment horizontal="center" vertical="center" wrapText="1"/>
    </xf>
    <xf numFmtId="0" fontId="5" fillId="0" borderId="14" xfId="189" applyFont="1" applyBorder="1">
      <alignment horizontal="center" vertical="top"/>
    </xf>
    <xf numFmtId="49" fontId="9" fillId="0" borderId="17" xfId="195" applyNumberFormat="1" applyFont="1" applyBorder="1">
      <alignment horizontal="center" vertical="center" wrapText="1"/>
    </xf>
    <xf numFmtId="0" fontId="5" fillId="0" borderId="17" xfId="196" applyFont="1" applyBorder="1">
      <alignment horizontal="left" vertical="center" wrapText="1"/>
    </xf>
    <xf numFmtId="49" fontId="5" fillId="0" borderId="17" xfId="197" applyNumberFormat="1" applyFont="1" applyBorder="1">
      <alignment horizontal="left" vertical="center" wrapText="1"/>
    </xf>
    <xf numFmtId="0" fontId="9" fillId="0" borderId="14" xfId="190" applyFont="1" applyBorder="1">
      <alignment horizontal="left" vertical="top" wrapText="1"/>
    </xf>
    <xf numFmtId="49" fontId="5" fillId="0" borderId="14" xfId="204" applyNumberFormat="1" applyFont="1" applyBorder="1">
      <alignment horizontal="left" vertical="top"/>
    </xf>
    <xf numFmtId="0" fontId="9" fillId="13" borderId="23" xfId="191" applyFont="1" applyFill="1" applyBorder="1">
      <alignment horizontal="center" vertical="top" wrapText="1"/>
    </xf>
    <xf numFmtId="0" fontId="9" fillId="13" borderId="33" xfId="200" applyFont="1" applyFill="1" applyBorder="1">
      <alignment horizontal="center" vertical="top" wrapText="1"/>
    </xf>
    <xf numFmtId="0" fontId="9" fillId="13" borderId="21" xfId="205" applyFont="1" applyFill="1" applyBorder="1">
      <alignment horizontal="center" vertical="top" wrapText="1"/>
    </xf>
    <xf numFmtId="0" fontId="5" fillId="0" borderId="24" xfId="192" applyFont="1" applyBorder="1">
      <alignment horizontal="center" vertical="center"/>
    </xf>
    <xf numFmtId="0" fontId="5" fillId="0" borderId="19" xfId="201" applyFont="1" applyBorder="1">
      <alignment horizontal="center" vertical="center"/>
    </xf>
    <xf numFmtId="0" fontId="5" fillId="0" borderId="17" xfId="193" applyFont="1" applyBorder="1">
      <alignment horizontal="center" vertical="center"/>
    </xf>
    <xf numFmtId="49" fontId="9" fillId="0" borderId="17" xfId="194" applyNumberFormat="1" applyFont="1" applyBorder="1">
      <alignment horizontal="left" vertical="center" wrapText="1"/>
    </xf>
    <xf numFmtId="0" fontId="5" fillId="0" borderId="14" xfId="182" applyFont="1" applyBorder="1">
      <alignment horizontal="center" vertical="center" wrapText="1"/>
    </xf>
    <xf numFmtId="49" fontId="25" fillId="12" borderId="36" xfId="184" applyNumberFormat="1" applyFont="1" applyFill="1" applyBorder="1">
      <alignment horizontal="center" vertical="center" wrapText="1"/>
    </xf>
    <xf numFmtId="0" fontId="9" fillId="0" borderId="18" xfId="174" applyFont="1" applyBorder="1">
      <alignment horizontal="left" vertical="top" wrapText="1" indent="1"/>
    </xf>
    <xf numFmtId="0" fontId="9" fillId="0" borderId="23" xfId="175" applyFont="1" applyBorder="1">
      <alignment horizontal="left" vertical="top" wrapText="1" indent="1"/>
    </xf>
    <xf numFmtId="0" fontId="9" fillId="0" borderId="24" xfId="176" applyFont="1" applyBorder="1">
      <alignment horizontal="left" vertical="top" wrapText="1" indent="1"/>
    </xf>
    <xf numFmtId="0" fontId="36" fillId="0" borderId="20" xfId="178" applyFont="1" applyBorder="1">
      <alignment horizontal="left" vertical="center" wrapText="1" indent="1"/>
    </xf>
    <xf numFmtId="0" fontId="36" fillId="0" borderId="33" xfId="179" applyFont="1" applyBorder="1">
      <alignment horizontal="left" vertical="center" wrapText="1" indent="1"/>
    </xf>
    <xf numFmtId="0" fontId="36" fillId="0" borderId="19" xfId="180" applyFont="1" applyBorder="1">
      <alignment horizontal="left" vertical="center" wrapText="1" indent="1"/>
    </xf>
    <xf numFmtId="0" fontId="9" fillId="0" borderId="36" xfId="177" applyFont="1" applyBorder="1">
      <alignment horizontal="left" vertical="center" indent="1"/>
    </xf>
    <xf numFmtId="0" fontId="9" fillId="11" borderId="14" xfId="210" applyFont="1" applyFill="1" applyBorder="1">
      <alignment horizontal="left" vertical="top" wrapText="1"/>
      <protection locked="0"/>
    </xf>
    <xf numFmtId="0" fontId="5" fillId="11" borderId="14" xfId="212" applyFont="1" applyFill="1" applyBorder="1">
      <alignment horizontal="left" vertical="top"/>
      <protection locked="0"/>
    </xf>
    <xf numFmtId="0" fontId="5" fillId="0" borderId="23" xfId="213" applyFont="1" applyBorder="1">
      <alignment horizontal="center" vertical="top"/>
    </xf>
    <xf numFmtId="0" fontId="5" fillId="0" borderId="33" xfId="215" applyFont="1" applyBorder="1">
      <alignment horizontal="center" vertical="top"/>
    </xf>
    <xf numFmtId="0" fontId="5" fillId="0" borderId="21" xfId="217" applyFont="1" applyBorder="1">
      <alignment horizontal="center" vertical="top"/>
    </xf>
    <xf numFmtId="0" fontId="9" fillId="0" borderId="23" xfId="214" applyFont="1" applyBorder="1">
      <alignment horizontal="left" vertical="top" wrapText="1"/>
    </xf>
    <xf numFmtId="0" fontId="9" fillId="0" borderId="33" xfId="216" applyFont="1" applyBorder="1">
      <alignment horizontal="left" vertical="top" wrapText="1"/>
    </xf>
    <xf numFmtId="0" fontId="9" fillId="0" borderId="21" xfId="218" applyFont="1" applyBorder="1">
      <alignment horizontal="left" vertical="top" wrapText="1"/>
    </xf>
    <xf numFmtId="0" fontId="5" fillId="0" borderId="0" xfId="220" quotePrefix="1" applyFont="1">
      <alignment horizontal="left" vertical="top" wrapText="1" indent="1"/>
    </xf>
    <xf numFmtId="0" fontId="5" fillId="0" borderId="0" xfId="219" applyFont="1">
      <alignment horizontal="left" vertical="top" wrapText="1"/>
    </xf>
    <xf numFmtId="0" fontId="9" fillId="0" borderId="23" xfId="229" applyFont="1" applyBorder="1">
      <alignment horizontal="center" vertical="center" wrapText="1"/>
    </xf>
    <xf numFmtId="0" fontId="9" fillId="0" borderId="36" xfId="225" applyFont="1" applyBorder="1">
      <alignment horizontal="left" vertical="center" wrapText="1" indent="1"/>
    </xf>
    <xf numFmtId="0" fontId="29" fillId="0" borderId="20" xfId="202" applyFont="1" applyBorder="1">
      <alignment horizontal="left" vertical="center"/>
    </xf>
    <xf numFmtId="0" fontId="9" fillId="0" borderId="14" xfId="236" applyFont="1" applyBorder="1">
      <alignment horizontal="left" vertical="center" wrapText="1"/>
    </xf>
    <xf numFmtId="0" fontId="9" fillId="0" borderId="24" xfId="248" applyFont="1" applyBorder="1">
      <alignment horizontal="left" vertical="center" wrapText="1"/>
    </xf>
    <xf numFmtId="0" fontId="9" fillId="0" borderId="17" xfId="239" applyFont="1" applyBorder="1">
      <alignment horizontal="center" vertical="center"/>
    </xf>
    <xf numFmtId="49" fontId="9" fillId="0" borderId="14" xfId="235" applyNumberFormat="1" applyFont="1" applyBorder="1">
      <alignment horizontal="center" vertical="center"/>
    </xf>
    <xf numFmtId="0" fontId="9" fillId="0" borderId="12" xfId="252" applyFont="1" applyBorder="1">
      <alignment horizontal="left" vertical="center" wrapText="1"/>
    </xf>
    <xf numFmtId="49" fontId="9" fillId="13" borderId="23" xfId="237" applyNumberFormat="1" applyFont="1" applyFill="1" applyBorder="1">
      <alignment horizontal="center" vertical="center" wrapText="1"/>
    </xf>
    <xf numFmtId="49" fontId="9" fillId="13" borderId="33" xfId="243" applyNumberFormat="1" applyFont="1" applyFill="1" applyBorder="1">
      <alignment horizontal="center" vertical="center" wrapText="1"/>
    </xf>
    <xf numFmtId="0" fontId="29" fillId="0" borderId="36" xfId="207" applyFont="1" applyBorder="1">
      <alignment horizontal="left" vertical="center"/>
    </xf>
    <xf numFmtId="0" fontId="29" fillId="0" borderId="25" xfId="209" applyFont="1" applyBorder="1">
      <alignment horizontal="left" vertical="center"/>
    </xf>
    <xf numFmtId="49" fontId="9" fillId="0" borderId="23" xfId="246" applyNumberFormat="1" applyFont="1" applyBorder="1">
      <alignment horizontal="center" vertical="center"/>
    </xf>
    <xf numFmtId="0" fontId="9" fillId="0" borderId="23" xfId="247" applyFont="1" applyBorder="1">
      <alignment horizontal="left" vertical="center" wrapText="1"/>
    </xf>
    <xf numFmtId="0" fontId="9" fillId="0" borderId="17" xfId="224" applyFont="1" applyBorder="1">
      <alignment horizontal="left" vertical="center" wrapText="1" indent="1"/>
    </xf>
    <xf numFmtId="0" fontId="9" fillId="0" borderId="24" xfId="226" applyFont="1" applyBorder="1">
      <alignment horizontal="center" vertical="center" wrapText="1"/>
    </xf>
    <xf numFmtId="0" fontId="9" fillId="0" borderId="18" xfId="227" applyFont="1" applyBorder="1">
      <alignment horizontal="center" vertical="center" wrapText="1"/>
    </xf>
    <xf numFmtId="0" fontId="9" fillId="0" borderId="19" xfId="230" applyFont="1" applyBorder="1">
      <alignment horizontal="center" vertical="center" wrapText="1"/>
    </xf>
    <xf numFmtId="0" fontId="9" fillId="0" borderId="20" xfId="231" applyFont="1" applyBorder="1">
      <alignment horizontal="center" vertical="center" wrapText="1"/>
    </xf>
    <xf numFmtId="0" fontId="9" fillId="0" borderId="33" xfId="228" applyFont="1" applyBorder="1">
      <alignment horizontal="center" vertical="center" wrapText="1"/>
    </xf>
    <xf numFmtId="0" fontId="9" fillId="0" borderId="26" xfId="232" applyFont="1" applyBorder="1">
      <alignment horizontal="center" vertical="center" wrapText="1"/>
    </xf>
    <xf numFmtId="0" fontId="9" fillId="0" borderId="25" xfId="233" applyFont="1" applyBorder="1">
      <alignment horizontal="center" vertical="center" wrapText="1"/>
    </xf>
    <xf numFmtId="49" fontId="9" fillId="12" borderId="0" xfId="276" applyNumberFormat="1" applyFont="1" applyFill="1">
      <alignment horizontal="center" vertical="center" wrapText="1"/>
    </xf>
    <xf numFmtId="49" fontId="5" fillId="12" borderId="14" xfId="261" applyNumberFormat="1" applyFont="1" applyFill="1" applyBorder="1">
      <alignment horizontal="center" vertical="center" wrapText="1"/>
    </xf>
    <xf numFmtId="49" fontId="9" fillId="12" borderId="14" xfId="262" applyNumberFormat="1" applyFont="1" applyFill="1" applyBorder="1">
      <alignment horizontal="center" vertical="center" wrapText="1"/>
    </xf>
    <xf numFmtId="0" fontId="30" fillId="0" borderId="0" xfId="310" applyFont="1">
      <alignment horizontal="left" vertical="top" wrapText="1" indent="1"/>
    </xf>
    <xf numFmtId="0" fontId="17" fillId="12" borderId="0" xfId="260" applyFont="1" applyFill="1">
      <alignment horizontal="left" vertical="center" wrapText="1"/>
    </xf>
    <xf numFmtId="0" fontId="5" fillId="12" borderId="14" xfId="263" applyFont="1" applyFill="1" applyBorder="1">
      <alignment horizontal="center" vertical="center" wrapText="1"/>
    </xf>
    <xf numFmtId="0" fontId="9" fillId="12" borderId="14" xfId="264" applyFont="1" applyFill="1" applyBorder="1">
      <alignment horizontal="center" vertical="center" wrapText="1"/>
    </xf>
    <xf numFmtId="0" fontId="9" fillId="12" borderId="23" xfId="294" applyFont="1" applyFill="1" applyBorder="1">
      <alignment horizontal="left" vertical="top" wrapText="1"/>
    </xf>
    <xf numFmtId="0" fontId="9" fillId="12" borderId="33" xfId="296" applyFont="1" applyFill="1" applyBorder="1">
      <alignment horizontal="left" vertical="top" wrapText="1"/>
    </xf>
    <xf numFmtId="0" fontId="9" fillId="12" borderId="21" xfId="300" applyFont="1" applyFill="1" applyBorder="1">
      <alignment horizontal="left" vertical="top" wrapText="1"/>
    </xf>
    <xf numFmtId="0" fontId="9" fillId="12" borderId="20" xfId="277" applyFont="1" applyFill="1" applyBorder="1">
      <alignment horizontal="center" vertical="center" wrapText="1"/>
    </xf>
    <xf numFmtId="0" fontId="9" fillId="0" borderId="25" xfId="323" applyFont="1" applyBorder="1">
      <alignment horizontal="left" vertical="center" wrapText="1" indent="1"/>
    </xf>
    <xf numFmtId="0" fontId="9" fillId="0" borderId="21" xfId="324" applyFont="1" applyBorder="1">
      <alignment horizontal="left" vertical="center" wrapText="1" indent="1"/>
    </xf>
    <xf numFmtId="0" fontId="9" fillId="0" borderId="26" xfId="325" applyFont="1" applyBorder="1">
      <alignment horizontal="left" vertical="center" wrapText="1" indent="1"/>
    </xf>
    <xf numFmtId="0" fontId="5" fillId="0" borderId="12" xfId="327" applyFont="1" applyBorder="1">
      <alignment horizontal="center" vertical="center" wrapText="1"/>
    </xf>
    <xf numFmtId="0" fontId="5" fillId="0" borderId="16" xfId="328" applyFont="1" applyBorder="1">
      <alignment horizontal="center" vertical="center" wrapText="1"/>
    </xf>
    <xf numFmtId="0" fontId="5" fillId="0" borderId="11" xfId="329" applyFont="1" applyBorder="1">
      <alignment horizontal="center" vertical="center" wrapText="1"/>
    </xf>
    <xf numFmtId="0" fontId="5" fillId="0" borderId="23" xfId="351" applyFont="1" applyBorder="1">
      <alignment horizontal="left" vertical="top" wrapText="1"/>
    </xf>
    <xf numFmtId="0" fontId="5" fillId="0" borderId="21" xfId="357" applyFont="1" applyBorder="1">
      <alignment horizontal="left" vertical="top" wrapText="1"/>
    </xf>
    <xf numFmtId="0" fontId="5" fillId="0" borderId="23" xfId="330" applyFont="1" applyBorder="1">
      <alignment horizontal="center" vertical="center" wrapText="1"/>
    </xf>
    <xf numFmtId="0" fontId="5" fillId="0" borderId="21" xfId="333" applyFont="1" applyBorder="1">
      <alignment horizontal="center" vertical="center" wrapText="1"/>
    </xf>
    <xf numFmtId="0" fontId="5" fillId="0" borderId="24" xfId="331" applyFont="1" applyBorder="1">
      <alignment horizontal="center" vertical="center" wrapText="1"/>
    </xf>
    <xf numFmtId="0" fontId="5" fillId="0" borderId="26" xfId="334" applyFont="1" applyBorder="1">
      <alignment horizontal="center" vertical="center" wrapText="1"/>
    </xf>
    <xf numFmtId="0" fontId="5" fillId="0" borderId="18" xfId="332" applyFont="1" applyBorder="1">
      <alignment horizontal="center" vertical="center" wrapText="1"/>
    </xf>
    <xf numFmtId="0" fontId="5" fillId="0" borderId="25" xfId="335" applyFont="1" applyBorder="1">
      <alignment horizontal="center" vertical="center" wrapText="1"/>
    </xf>
    <xf numFmtId="0" fontId="9" fillId="0" borderId="21" xfId="110" applyFont="1" applyBorder="1">
      <alignment horizontal="center" vertical="center" wrapText="1"/>
    </xf>
    <xf numFmtId="49" fontId="5" fillId="0" borderId="24" xfId="358" applyNumberFormat="1" applyFont="1" applyBorder="1">
      <alignment horizontal="center" vertical="center" wrapText="1"/>
    </xf>
    <xf numFmtId="49" fontId="5" fillId="0" borderId="26" xfId="363" applyNumberFormat="1" applyFont="1" applyBorder="1">
      <alignment horizontal="center" vertical="center" wrapText="1"/>
    </xf>
    <xf numFmtId="0" fontId="9" fillId="13" borderId="17" xfId="359" applyFont="1" applyFill="1" applyBorder="1">
      <alignment horizontal="left" vertical="center" wrapText="1"/>
    </xf>
    <xf numFmtId="0" fontId="9" fillId="13" borderId="36" xfId="364" applyFont="1" applyFill="1" applyBorder="1">
      <alignment horizontal="left" vertical="center" wrapText="1"/>
    </xf>
    <xf numFmtId="0" fontId="9" fillId="0" borderId="17" xfId="365" applyFont="1" applyBorder="1">
      <alignment horizontal="left" vertical="top" wrapText="1" indent="1"/>
    </xf>
    <xf numFmtId="0" fontId="5" fillId="0" borderId="33" xfId="374" applyFont="1" applyBorder="1">
      <alignment horizontal="left" vertical="top" wrapText="1"/>
    </xf>
    <xf numFmtId="0" fontId="9" fillId="10" borderId="12" xfId="769" applyFont="1" applyFill="1" applyBorder="1">
      <alignment horizontal="left" vertical="center" wrapText="1"/>
    </xf>
    <xf numFmtId="0" fontId="9" fillId="10" borderId="16" xfId="770" applyFont="1" applyFill="1" applyBorder="1">
      <alignment horizontal="left" vertical="center" wrapText="1"/>
    </xf>
    <xf numFmtId="0" fontId="9" fillId="10" borderId="11" xfId="771" applyFont="1" applyFill="1" applyBorder="1">
      <alignment horizontal="left" vertical="center" wrapText="1"/>
    </xf>
    <xf numFmtId="0" fontId="9" fillId="13" borderId="12" xfId="344" applyFont="1" applyFill="1" applyBorder="1">
      <alignment horizontal="left" vertical="center" wrapText="1"/>
    </xf>
    <xf numFmtId="0" fontId="9" fillId="13" borderId="16" xfId="782" applyFont="1" applyFill="1" applyBorder="1">
      <alignment horizontal="left" vertical="center" wrapText="1"/>
    </xf>
    <xf numFmtId="0" fontId="9" fillId="13" borderId="11" xfId="783" applyFont="1" applyFill="1" applyBorder="1">
      <alignment horizontal="left" vertical="center" wrapText="1"/>
    </xf>
    <xf numFmtId="0" fontId="5" fillId="12" borderId="14" xfId="811" applyFont="1" applyFill="1" applyBorder="1">
      <alignment horizontal="right" vertical="center" wrapText="1" indent="1"/>
    </xf>
    <xf numFmtId="0" fontId="9" fillId="10" borderId="14" xfId="746" applyFont="1" applyFill="1" applyBorder="1">
      <alignment horizontal="left" vertical="center" wrapText="1" indent="1"/>
    </xf>
    <xf numFmtId="0" fontId="31" fillId="0" borderId="36" xfId="814" applyFont="1" applyBorder="1">
      <alignment horizontal="center" vertical="center" wrapText="1"/>
    </xf>
    <xf numFmtId="0" fontId="30" fillId="0" borderId="23" xfId="791" applyFont="1" applyBorder="1">
      <alignment horizontal="left" vertical="top" wrapText="1"/>
    </xf>
    <xf numFmtId="0" fontId="30" fillId="0" borderId="33" xfId="793" applyFont="1" applyBorder="1">
      <alignment horizontal="left" vertical="top" wrapText="1"/>
    </xf>
    <xf numFmtId="0" fontId="30" fillId="0" borderId="21" xfId="797" applyFont="1" applyBorder="1">
      <alignment horizontal="left" vertical="top" wrapText="1"/>
    </xf>
    <xf numFmtId="0" fontId="19" fillId="0" borderId="14" xfId="503" applyFont="1" applyBorder="1">
      <alignment horizontal="center" vertical="center" wrapText="1"/>
    </xf>
    <xf numFmtId="0" fontId="25" fillId="0" borderId="0" xfId="89" applyFont="1">
      <alignment horizontal="center" vertical="center" wrapText="1"/>
    </xf>
    <xf numFmtId="0" fontId="19" fillId="0" borderId="14" xfId="765" applyFont="1" applyBorder="1">
      <alignment horizontal="center" vertical="center"/>
    </xf>
    <xf numFmtId="0" fontId="19" fillId="0" borderId="12" xfId="773" applyFont="1" applyBorder="1">
      <alignment horizontal="center" vertical="center"/>
    </xf>
    <xf numFmtId="164" fontId="9" fillId="10" borderId="14" xfId="745" applyNumberFormat="1" applyFont="1" applyFill="1" applyBorder="1">
      <alignment horizontal="left" vertical="center" wrapText="1" indent="1"/>
    </xf>
    <xf numFmtId="164" fontId="5" fillId="11" borderId="14" xfId="522" applyNumberFormat="1" applyFont="1" applyFill="1" applyBorder="1">
      <alignment horizontal="center" vertical="center" wrapText="1"/>
      <protection locked="0"/>
    </xf>
    <xf numFmtId="49" fontId="5" fillId="11" borderId="14" xfId="523" applyNumberFormat="1" applyFont="1" applyFill="1" applyBorder="1">
      <alignment horizontal="center" vertical="center" wrapText="1"/>
      <protection locked="0"/>
    </xf>
    <xf numFmtId="164" fontId="19" fillId="0" borderId="14" xfId="808" applyNumberFormat="1" applyFont="1" applyBorder="1">
      <alignment horizontal="center" vertical="center" wrapText="1"/>
    </xf>
    <xf numFmtId="49" fontId="19" fillId="0" borderId="14" xfId="566" applyNumberFormat="1" applyFont="1" applyBorder="1">
      <alignment horizontal="center" vertical="center" wrapText="1"/>
    </xf>
    <xf numFmtId="0" fontId="46" fillId="12" borderId="17" xfId="829" applyFont="1" applyFill="1" applyBorder="1">
      <alignment horizontal="center" vertical="center" wrapText="1"/>
    </xf>
    <xf numFmtId="0" fontId="9" fillId="12" borderId="14" xfId="767" applyFont="1" applyFill="1" applyBorder="1">
      <alignment horizontal="left" vertical="center" wrapText="1"/>
    </xf>
    <xf numFmtId="0" fontId="5" fillId="12" borderId="12" xfId="815" applyFont="1" applyFill="1" applyBorder="1">
      <alignment horizontal="center" vertical="center" wrapText="1"/>
    </xf>
    <xf numFmtId="0" fontId="5" fillId="12" borderId="16" xfId="816" applyFont="1" applyFill="1" applyBorder="1">
      <alignment horizontal="center" vertical="center" wrapText="1"/>
    </xf>
    <xf numFmtId="0" fontId="5" fillId="12" borderId="11" xfId="817" applyFont="1" applyFill="1" applyBorder="1">
      <alignment horizontal="center" vertical="center" wrapText="1"/>
    </xf>
    <xf numFmtId="0" fontId="9" fillId="12" borderId="23" xfId="747" applyFont="1" applyFill="1" applyBorder="1">
      <alignment horizontal="center" vertical="center" wrapText="1"/>
    </xf>
    <xf numFmtId="0" fontId="9" fillId="12" borderId="33" xfId="820" applyFont="1" applyFill="1" applyBorder="1">
      <alignment horizontal="center" vertical="center" wrapText="1"/>
    </xf>
    <xf numFmtId="0" fontId="9" fillId="12" borderId="21" xfId="750" applyFont="1" applyFill="1" applyBorder="1">
      <alignment horizontal="center" vertical="center" wrapText="1"/>
    </xf>
    <xf numFmtId="49" fontId="29" fillId="14" borderId="23" xfId="818" applyNumberFormat="1" applyFont="1" applyFill="1" applyBorder="1">
      <alignment horizontal="center" vertical="center" textRotation="90" wrapText="1"/>
    </xf>
    <xf numFmtId="49" fontId="29" fillId="14" borderId="33" xfId="821" applyNumberFormat="1" applyFont="1" applyFill="1" applyBorder="1">
      <alignment horizontal="center" vertical="center" textRotation="90" wrapText="1"/>
    </xf>
    <xf numFmtId="49" fontId="29" fillId="14" borderId="21" xfId="823" applyNumberFormat="1" applyFont="1" applyFill="1" applyBorder="1">
      <alignment horizontal="center" vertical="center" textRotation="90" wrapText="1"/>
    </xf>
    <xf numFmtId="0" fontId="19" fillId="0" borderId="23" xfId="819" applyFont="1" applyBorder="1">
      <alignment horizontal="center" vertical="center" wrapText="1"/>
    </xf>
    <xf numFmtId="0" fontId="19" fillId="0" borderId="21" xfId="502" applyFont="1" applyBorder="1">
      <alignment horizontal="center" vertical="center" wrapText="1"/>
    </xf>
    <xf numFmtId="0" fontId="19" fillId="0" borderId="12" xfId="784" applyFont="1" applyBorder="1">
      <alignment horizontal="center" vertical="center" wrapText="1"/>
    </xf>
    <xf numFmtId="164" fontId="5" fillId="11" borderId="23" xfId="831" applyNumberFormat="1" applyFont="1" applyFill="1" applyBorder="1">
      <alignment horizontal="center" vertical="center" wrapText="1"/>
      <protection locked="0"/>
    </xf>
    <xf numFmtId="49" fontId="5" fillId="11" borderId="21" xfId="833" applyNumberFormat="1" applyFont="1" applyFill="1" applyBorder="1">
      <alignment horizontal="center" vertical="center" wrapText="1"/>
      <protection locked="0"/>
    </xf>
    <xf numFmtId="0" fontId="9" fillId="0" borderId="14" xfId="864" applyFont="1" applyBorder="1">
      <alignment horizontal="center" vertical="center"/>
    </xf>
    <xf numFmtId="0" fontId="9" fillId="0" borderId="12" xfId="865" applyFont="1" applyBorder="1">
      <alignment horizontal="center" vertical="center"/>
    </xf>
    <xf numFmtId="0" fontId="5" fillId="12" borderId="17" xfId="836" applyFont="1" applyFill="1" applyBorder="1">
      <alignment horizontal="center" vertical="center" wrapText="1"/>
    </xf>
    <xf numFmtId="0" fontId="25" fillId="0" borderId="23" xfId="837" applyFont="1" applyBorder="1">
      <alignment horizontal="center" vertical="center" wrapText="1"/>
    </xf>
    <xf numFmtId="0" fontId="25" fillId="0" borderId="21" xfId="111" applyFont="1" applyBorder="1">
      <alignment horizontal="center" vertical="center" wrapText="1"/>
    </xf>
    <xf numFmtId="0" fontId="25" fillId="0" borderId="12" xfId="840" applyFont="1" applyBorder="1">
      <alignment horizontal="left" vertical="center" wrapText="1"/>
    </xf>
    <xf numFmtId="0" fontId="25" fillId="0" borderId="16" xfId="841" applyFont="1" applyBorder="1">
      <alignment horizontal="left" vertical="center" wrapText="1"/>
    </xf>
    <xf numFmtId="0" fontId="25" fillId="0" borderId="11" xfId="842" applyFont="1" applyBorder="1">
      <alignment horizontal="left" vertical="center" wrapText="1"/>
    </xf>
    <xf numFmtId="0" fontId="9" fillId="10" borderId="24" xfId="852" applyFont="1" applyFill="1" applyBorder="1">
      <alignment horizontal="left" vertical="center" wrapText="1"/>
    </xf>
    <xf numFmtId="0" fontId="9" fillId="10" borderId="17" xfId="853" applyFont="1" applyFill="1" applyBorder="1">
      <alignment horizontal="left" vertical="center" wrapText="1"/>
    </xf>
    <xf numFmtId="0" fontId="9" fillId="10" borderId="18" xfId="854" applyFont="1" applyFill="1" applyBorder="1">
      <alignment horizontal="left" vertical="center" wrapText="1"/>
    </xf>
    <xf numFmtId="0" fontId="9" fillId="10" borderId="14" xfId="855" applyFont="1" applyFill="1" applyBorder="1">
      <alignment horizontal="left" vertical="center" wrapText="1"/>
    </xf>
    <xf numFmtId="0" fontId="25" fillId="0" borderId="14" xfId="268" applyFont="1" applyBorder="1">
      <alignment horizontal="left" vertical="center" wrapText="1"/>
    </xf>
    <xf numFmtId="0" fontId="9" fillId="13" borderId="14" xfId="738" applyFont="1" applyFill="1" applyBorder="1">
      <alignment horizontal="left" vertical="center" wrapText="1"/>
    </xf>
    <xf numFmtId="164" fontId="5" fillId="11" borderId="21" xfId="863" applyNumberFormat="1" applyFont="1" applyFill="1" applyBorder="1">
      <alignment horizontal="center" vertical="center" wrapText="1"/>
      <protection locked="0"/>
    </xf>
    <xf numFmtId="0" fontId="9" fillId="13" borderId="18" xfId="867" applyFont="1" applyFill="1" applyBorder="1">
      <alignment horizontal="left" vertical="center" wrapText="1"/>
    </xf>
    <xf numFmtId="0" fontId="9" fillId="0" borderId="17" xfId="880" applyFont="1" applyBorder="1">
      <alignment horizontal="center" vertical="center" wrapText="1"/>
    </xf>
    <xf numFmtId="0" fontId="9" fillId="0" borderId="36" xfId="881" applyFont="1" applyBorder="1">
      <alignment horizontal="center" vertical="center" wrapText="1"/>
    </xf>
    <xf numFmtId="0" fontId="5" fillId="0" borderId="33" xfId="739" applyFont="1" applyBorder="1">
      <alignment horizontal="center" vertical="center" wrapText="1"/>
    </xf>
    <xf numFmtId="0" fontId="31" fillId="0" borderId="14" xfId="888" applyFont="1" applyBorder="1">
      <alignment horizontal="center" vertical="center" wrapText="1"/>
    </xf>
    <xf numFmtId="49" fontId="9" fillId="13" borderId="14" xfId="50" applyNumberFormat="1" applyFont="1" applyFill="1" applyBorder="1">
      <alignment horizontal="left" vertical="center" wrapText="1" indent="1"/>
    </xf>
    <xf numFmtId="0" fontId="5" fillId="12" borderId="24" xfId="908" applyFont="1" applyFill="1" applyBorder="1">
      <alignment horizontal="center" vertical="center" wrapText="1"/>
    </xf>
    <xf numFmtId="0" fontId="5" fillId="12" borderId="18" xfId="909" applyFont="1" applyFill="1" applyBorder="1">
      <alignment horizontal="center" vertical="center" wrapText="1"/>
    </xf>
    <xf numFmtId="0" fontId="5" fillId="12" borderId="19" xfId="911" applyFont="1" applyFill="1" applyBorder="1">
      <alignment horizontal="center" vertical="center" wrapText="1"/>
    </xf>
    <xf numFmtId="0" fontId="5" fillId="12" borderId="0" xfId="912" applyFont="1" applyFill="1">
      <alignment horizontal="center" vertical="center" wrapText="1"/>
    </xf>
    <xf numFmtId="0" fontId="5" fillId="12" borderId="20" xfId="913" applyFont="1" applyFill="1" applyBorder="1">
      <alignment horizontal="center" vertical="center" wrapText="1"/>
    </xf>
    <xf numFmtId="0" fontId="5" fillId="12" borderId="26" xfId="917" applyFont="1" applyFill="1" applyBorder="1">
      <alignment horizontal="center" vertical="center" wrapText="1"/>
    </xf>
    <xf numFmtId="0" fontId="5" fillId="12" borderId="36" xfId="918" applyFont="1" applyFill="1" applyBorder="1">
      <alignment horizontal="center" vertical="center" wrapText="1"/>
    </xf>
    <xf numFmtId="0" fontId="5" fillId="12" borderId="25" xfId="919" applyFont="1" applyFill="1" applyBorder="1">
      <alignment horizontal="center" vertical="center" wrapText="1"/>
    </xf>
    <xf numFmtId="0" fontId="9" fillId="12" borderId="24" xfId="907" applyFont="1" applyFill="1" applyBorder="1">
      <alignment horizontal="center" vertical="center" wrapText="1"/>
    </xf>
    <xf numFmtId="0" fontId="9" fillId="12" borderId="19" xfId="910" applyFont="1" applyFill="1" applyBorder="1">
      <alignment horizontal="center" vertical="center" wrapText="1"/>
    </xf>
    <xf numFmtId="0" fontId="9" fillId="12" borderId="26" xfId="916" applyFont="1" applyFill="1" applyBorder="1">
      <alignment horizontal="center" vertical="center" wrapText="1"/>
    </xf>
    <xf numFmtId="0" fontId="9" fillId="11" borderId="14" xfId="915" applyFont="1" applyFill="1" applyBorder="1">
      <alignment horizontal="center" vertical="center" wrapText="1"/>
      <protection locked="0"/>
    </xf>
    <xf numFmtId="0" fontId="9" fillId="10" borderId="14" xfId="914" applyFont="1" applyFill="1" applyBorder="1">
      <alignment horizontal="center" vertical="center" wrapText="1"/>
    </xf>
    <xf numFmtId="0" fontId="9" fillId="12" borderId="23" xfId="849" applyFont="1" applyFill="1" applyBorder="1">
      <alignment horizontal="left" vertical="center" wrapText="1"/>
    </xf>
    <xf numFmtId="0" fontId="9" fillId="12" borderId="33" xfId="890" applyFont="1" applyFill="1" applyBorder="1">
      <alignment horizontal="left" vertical="center" wrapText="1"/>
    </xf>
    <xf numFmtId="0" fontId="9" fillId="12" borderId="21" xfId="858" applyFont="1" applyFill="1" applyBorder="1">
      <alignment horizontal="left" vertical="center" wrapText="1"/>
    </xf>
    <xf numFmtId="49" fontId="9" fillId="11" borderId="23" xfId="887" applyNumberFormat="1" applyFont="1" applyFill="1" applyBorder="1">
      <alignment horizontal="left" vertical="center" wrapText="1" indent="6"/>
      <protection locked="0"/>
    </xf>
    <xf numFmtId="49" fontId="9" fillId="11" borderId="33" xfId="891" applyNumberFormat="1" applyFont="1" applyFill="1" applyBorder="1">
      <alignment horizontal="left" vertical="center" wrapText="1" indent="6"/>
      <protection locked="0"/>
    </xf>
    <xf numFmtId="49" fontId="9" fillId="11" borderId="21" xfId="896" applyNumberFormat="1" applyFont="1" applyFill="1" applyBorder="1">
      <alignment horizontal="left" vertical="center" wrapText="1" indent="6"/>
      <protection locked="0"/>
    </xf>
    <xf numFmtId="0" fontId="25" fillId="0" borderId="20" xfId="886" applyFont="1" applyBorder="1">
      <alignment horizontal="center" vertical="top" wrapText="1"/>
    </xf>
    <xf numFmtId="49" fontId="9" fillId="0" borderId="14" xfId="68" applyNumberFormat="1" applyFont="1" applyBorder="1">
      <alignment horizontal="left" vertical="center" wrapText="1" indent="1"/>
    </xf>
    <xf numFmtId="0" fontId="30" fillId="0" borderId="14" xfId="985" applyFont="1" applyBorder="1">
      <alignment horizontal="left" vertical="top" wrapText="1"/>
    </xf>
    <xf numFmtId="0" fontId="9" fillId="8" borderId="12" xfId="978" applyFont="1" applyFill="1" applyBorder="1">
      <alignment horizontal="left" vertical="center" wrapText="1"/>
      <protection locked="0"/>
    </xf>
    <xf numFmtId="0" fontId="9" fillId="8" borderId="16" xfId="979" applyFont="1" applyFill="1" applyBorder="1">
      <alignment horizontal="left" vertical="center" wrapText="1"/>
      <protection locked="0"/>
    </xf>
    <xf numFmtId="0" fontId="9" fillId="8" borderId="11" xfId="980" applyFont="1" applyFill="1" applyBorder="1">
      <alignment horizontal="left" vertical="center" wrapText="1"/>
      <protection locked="0"/>
    </xf>
    <xf numFmtId="49" fontId="9" fillId="8" borderId="12" xfId="968" applyNumberFormat="1" applyFont="1" applyFill="1" applyBorder="1">
      <alignment horizontal="left" vertical="center" wrapText="1"/>
      <protection locked="0"/>
    </xf>
    <xf numFmtId="49" fontId="9" fillId="8" borderId="16" xfId="981" applyNumberFormat="1" applyFont="1" applyFill="1" applyBorder="1">
      <alignment horizontal="left" vertical="center" wrapText="1"/>
      <protection locked="0"/>
    </xf>
    <xf numFmtId="49" fontId="9" fillId="8" borderId="11" xfId="982" applyNumberFormat="1" applyFont="1" applyFill="1" applyBorder="1">
      <alignment horizontal="left" vertical="center" wrapText="1"/>
      <protection locked="0"/>
    </xf>
    <xf numFmtId="0" fontId="9" fillId="11" borderId="11" xfId="939" applyFont="1" applyFill="1" applyBorder="1">
      <alignment horizontal="center" vertical="center" wrapText="1"/>
      <protection locked="0"/>
    </xf>
    <xf numFmtId="4" fontId="9" fillId="11" borderId="14" xfId="989" applyNumberFormat="1" applyFont="1" applyFill="1" applyBorder="1">
      <alignment horizontal="center" vertical="center" wrapText="1"/>
      <protection locked="0"/>
    </xf>
    <xf numFmtId="49" fontId="9" fillId="13" borderId="18" xfId="990" applyNumberFormat="1" applyFont="1" applyFill="1" applyBorder="1">
      <alignment horizontal="center" vertical="center" wrapText="1"/>
    </xf>
    <xf numFmtId="49" fontId="9" fillId="13" borderId="25" xfId="992" applyNumberFormat="1" applyFont="1" applyFill="1" applyBorder="1">
      <alignment horizontal="center" vertical="center" wrapText="1"/>
    </xf>
    <xf numFmtId="49" fontId="9" fillId="8" borderId="23" xfId="936" applyNumberFormat="1" applyFont="1" applyFill="1" applyBorder="1">
      <alignment horizontal="left" vertical="center" wrapText="1" indent="6"/>
      <protection locked="0"/>
    </xf>
    <xf numFmtId="49" fontId="9" fillId="8" borderId="33" xfId="991" applyNumberFormat="1" applyFont="1" applyFill="1" applyBorder="1">
      <alignment horizontal="left" vertical="center" wrapText="1" indent="6"/>
      <protection locked="0"/>
    </xf>
    <xf numFmtId="49" fontId="9" fillId="8" borderId="21" xfId="993" applyNumberFormat="1" applyFont="1" applyFill="1" applyBorder="1">
      <alignment horizontal="left" vertical="center" wrapText="1" indent="6"/>
      <protection locked="0"/>
    </xf>
    <xf numFmtId="4" fontId="9" fillId="11" borderId="14" xfId="937" applyNumberFormat="1" applyFont="1" applyFill="1" applyBorder="1">
      <alignment horizontal="left" vertical="center" wrapText="1" indent="1"/>
      <protection locked="0"/>
    </xf>
    <xf numFmtId="0" fontId="25" fillId="0" borderId="17" xfId="994" applyFont="1" applyBorder="1">
      <alignment horizontal="left" vertical="center" wrapText="1"/>
    </xf>
    <xf numFmtId="0" fontId="9" fillId="0" borderId="16" xfId="953" applyFont="1" applyBorder="1">
      <alignment horizontal="right" vertical="center" wrapText="1" indent="1"/>
    </xf>
    <xf numFmtId="0" fontId="9" fillId="0" borderId="11" xfId="954" applyFont="1" applyBorder="1">
      <alignment horizontal="right" vertical="center" wrapText="1" indent="1"/>
    </xf>
    <xf numFmtId="0" fontId="9" fillId="0" borderId="12" xfId="957" applyFont="1" applyBorder="1">
      <alignment horizontal="right" vertical="center" wrapText="1"/>
    </xf>
    <xf numFmtId="0" fontId="9" fillId="0" borderId="16" xfId="958" applyFont="1" applyBorder="1">
      <alignment horizontal="right" vertical="center" wrapText="1"/>
    </xf>
    <xf numFmtId="49" fontId="15" fillId="7" borderId="0" xfId="1008" applyNumberFormat="1" applyFont="1" applyFill="1">
      <alignment horizontal="center" vertical="center" textRotation="90" wrapText="1"/>
    </xf>
    <xf numFmtId="0" fontId="36" fillId="0" borderId="0" xfId="1009" applyFont="1">
      <alignment horizontal="center" vertical="center" wrapText="1"/>
    </xf>
    <xf numFmtId="0" fontId="5" fillId="0" borderId="12" xfId="635" applyFont="1" applyBorder="1">
      <alignment horizontal="right" vertical="center" wrapText="1" indent="1"/>
    </xf>
    <xf numFmtId="0" fontId="5" fillId="0" borderId="16" xfId="636" applyFont="1" applyBorder="1">
      <alignment horizontal="right" vertical="center" wrapText="1" indent="1"/>
    </xf>
    <xf numFmtId="0" fontId="5" fillId="0" borderId="11" xfId="637" applyFont="1" applyBorder="1">
      <alignment horizontal="right" vertical="center" wrapText="1" indent="1"/>
    </xf>
    <xf numFmtId="0" fontId="5" fillId="10" borderId="14" xfId="43" applyFont="1" applyFill="1" applyBorder="1">
      <alignment horizontal="left" vertical="center" wrapText="1" indent="1"/>
    </xf>
    <xf numFmtId="0" fontId="9" fillId="0" borderId="21" xfId="643" applyFont="1" applyBorder="1">
      <alignment horizontal="left" vertical="center" wrapText="1"/>
    </xf>
    <xf numFmtId="49" fontId="9" fillId="0" borderId="23" xfId="161" applyNumberFormat="1" applyFont="1" applyBorder="1">
      <alignment horizontal="center" vertical="center" wrapText="1"/>
    </xf>
    <xf numFmtId="49" fontId="9" fillId="0" borderId="33" xfId="642" applyNumberFormat="1" applyFont="1" applyBorder="1">
      <alignment horizontal="center" vertical="center" wrapText="1"/>
    </xf>
    <xf numFmtId="49" fontId="9" fillId="0" borderId="21" xfId="649" applyNumberFormat="1" applyFont="1" applyBorder="1">
      <alignment horizontal="center" vertical="center" wrapText="1"/>
    </xf>
    <xf numFmtId="49" fontId="25" fillId="0" borderId="23" xfId="1047" applyNumberFormat="1" applyFont="1" applyBorder="1">
      <alignment horizontal="center" vertical="center" wrapText="1"/>
    </xf>
    <xf numFmtId="49" fontId="25" fillId="0" borderId="33" xfId="1048" applyNumberFormat="1" applyFont="1" applyBorder="1">
      <alignment horizontal="center" vertical="center" wrapText="1"/>
    </xf>
    <xf numFmtId="49" fontId="25" fillId="0" borderId="21" xfId="1049" applyNumberFormat="1" applyFont="1" applyBorder="1">
      <alignment horizontal="center" vertical="center" wrapText="1"/>
    </xf>
    <xf numFmtId="0" fontId="9" fillId="12" borderId="12" xfId="517" applyFont="1" applyFill="1" applyBorder="1">
      <alignment horizontal="center" vertical="center" wrapText="1"/>
    </xf>
    <xf numFmtId="0" fontId="9" fillId="12" borderId="16" xfId="748" applyFont="1" applyFill="1" applyBorder="1">
      <alignment horizontal="center" vertical="center" wrapText="1"/>
    </xf>
    <xf numFmtId="0" fontId="9" fillId="12" borderId="18" xfId="1106" applyFont="1" applyFill="1" applyBorder="1">
      <alignment horizontal="center" vertical="center" wrapText="1"/>
    </xf>
    <xf numFmtId="0" fontId="9" fillId="12" borderId="14" xfId="499" applyFont="1" applyFill="1" applyBorder="1">
      <alignment horizontal="center" vertical="center"/>
    </xf>
    <xf numFmtId="0" fontId="25" fillId="0" borderId="16" xfId="1053" applyFont="1" applyBorder="1">
      <alignment horizontal="right" vertical="center" wrapText="1" indent="1"/>
    </xf>
    <xf numFmtId="0" fontId="25" fillId="0" borderId="11" xfId="1054" applyFont="1" applyBorder="1">
      <alignment horizontal="right" vertical="center" wrapText="1" indent="1"/>
    </xf>
    <xf numFmtId="0" fontId="9" fillId="0" borderId="0" xfId="497" applyFont="1">
      <alignment horizontal="left" vertical="top" wrapText="1"/>
    </xf>
    <xf numFmtId="0" fontId="9" fillId="10" borderId="12" xfId="1006" applyFont="1" applyFill="1" applyBorder="1">
      <alignment horizontal="left" vertical="top" wrapText="1"/>
    </xf>
    <xf numFmtId="0" fontId="9" fillId="10" borderId="11" xfId="1065" applyFont="1" applyFill="1" applyBorder="1">
      <alignment horizontal="left" vertical="top" wrapText="1"/>
    </xf>
    <xf numFmtId="49" fontId="9" fillId="25" borderId="0" xfId="1066" applyNumberFormat="1" applyFont="1" applyFill="1">
      <alignment horizontal="center" vertical="center" textRotation="90" wrapText="1"/>
    </xf>
    <xf numFmtId="0" fontId="9" fillId="10" borderId="12" xfId="955" applyFont="1" applyFill="1" applyBorder="1">
      <alignment horizontal="left" vertical="top" wrapText="1" indent="1"/>
    </xf>
    <xf numFmtId="0" fontId="9" fillId="10" borderId="11" xfId="956" applyFont="1" applyFill="1" applyBorder="1">
      <alignment horizontal="left" vertical="top" wrapText="1" indent="1"/>
    </xf>
    <xf numFmtId="0" fontId="28" fillId="0" borderId="0" xfId="473" applyFont="1">
      <alignment horizontal="center" vertical="center" wrapText="1"/>
    </xf>
    <xf numFmtId="0" fontId="9" fillId="0" borderId="20" xfId="539" applyFont="1" applyBorder="1">
      <alignment vertical="top" wrapText="1"/>
    </xf>
    <xf numFmtId="49" fontId="9" fillId="13" borderId="14" xfId="532" applyNumberFormat="1" applyFont="1" applyFill="1" applyBorder="1">
      <alignment horizontal="left" vertical="top" wrapText="1"/>
    </xf>
    <xf numFmtId="49" fontId="9" fillId="11" borderId="14" xfId="533" applyNumberFormat="1" applyFont="1" applyFill="1" applyBorder="1">
      <alignment horizontal="left" vertical="top" wrapText="1"/>
      <protection locked="0"/>
    </xf>
    <xf numFmtId="0" fontId="9" fillId="8" borderId="14" xfId="536" applyFont="1" applyFill="1" applyBorder="1">
      <alignment horizontal="left" vertical="top" wrapText="1"/>
      <protection locked="0"/>
    </xf>
    <xf numFmtId="49" fontId="9" fillId="13" borderId="14" xfId="537" applyNumberFormat="1" applyFont="1" applyFill="1" applyBorder="1">
      <alignment horizontal="center" vertical="top" wrapText="1"/>
    </xf>
    <xf numFmtId="49" fontId="9" fillId="13" borderId="12" xfId="543" applyNumberFormat="1" applyFont="1" applyFill="1" applyBorder="1">
      <alignment horizontal="center" vertical="top" wrapText="1"/>
    </xf>
    <xf numFmtId="164" fontId="5" fillId="8" borderId="14" xfId="531" applyNumberFormat="1" applyFont="1" applyFill="1" applyBorder="1">
      <alignment horizontal="center" vertical="top" wrapText="1"/>
      <protection locked="0"/>
    </xf>
    <xf numFmtId="49" fontId="5" fillId="8" borderId="14" xfId="542" applyNumberFormat="1" applyFont="1" applyFill="1" applyBorder="1">
      <alignment horizontal="center" vertical="top" wrapText="1"/>
      <protection locked="0"/>
    </xf>
    <xf numFmtId="49" fontId="5" fillId="10" borderId="14" xfId="534" applyNumberFormat="1" applyFont="1" applyFill="1" applyBorder="1">
      <alignment horizontal="center" vertical="top" wrapText="1"/>
    </xf>
    <xf numFmtId="0" fontId="9" fillId="10" borderId="14" xfId="535" applyFont="1" applyFill="1" applyBorder="1">
      <alignment horizontal="center" vertical="top" wrapText="1"/>
    </xf>
    <xf numFmtId="49" fontId="9" fillId="0" borderId="14" xfId="527" applyNumberFormat="1" applyFont="1" applyBorder="1">
      <alignment horizontal="center" vertical="top" wrapText="1"/>
    </xf>
    <xf numFmtId="0" fontId="5" fillId="10" borderId="14" xfId="528" applyFont="1" applyFill="1" applyBorder="1">
      <alignment horizontal="left" vertical="top" wrapText="1" indent="1"/>
    </xf>
    <xf numFmtId="49" fontId="9" fillId="13" borderId="23" xfId="529" applyNumberFormat="1" applyFont="1" applyFill="1" applyBorder="1">
      <alignment horizontal="center" vertical="top" wrapText="1"/>
    </xf>
    <xf numFmtId="49" fontId="9" fillId="13" borderId="21" xfId="540" applyNumberFormat="1" applyFont="1" applyFill="1" applyBorder="1">
      <alignment horizontal="center" vertical="top" wrapText="1"/>
    </xf>
    <xf numFmtId="164" fontId="5" fillId="11" borderId="14" xfId="530" applyNumberFormat="1" applyFont="1" applyFill="1" applyBorder="1">
      <alignment horizontal="center" vertical="top" wrapText="1"/>
      <protection locked="0"/>
    </xf>
    <xf numFmtId="49" fontId="5" fillId="11" borderId="14" xfId="541" applyNumberFormat="1" applyFont="1" applyFill="1" applyBorder="1">
      <alignment horizontal="center" vertical="top" wrapText="1"/>
      <protection locked="0"/>
    </xf>
    <xf numFmtId="49" fontId="5" fillId="0" borderId="14" xfId="343" applyNumberFormat="1" applyFont="1" applyBorder="1">
      <alignment horizontal="center" vertical="center" wrapText="1"/>
    </xf>
    <xf numFmtId="0" fontId="5" fillId="0" borderId="14" xfId="721" applyFont="1" applyBorder="1">
      <alignment horizontal="left" vertical="center" wrapText="1" indent="1"/>
    </xf>
    <xf numFmtId="49" fontId="9" fillId="0" borderId="14" xfId="369" applyNumberFormat="1" applyFont="1" applyBorder="1">
      <alignment horizontal="left" vertical="center" wrapText="1"/>
    </xf>
    <xf numFmtId="49" fontId="9" fillId="0" borderId="12" xfId="1108" applyNumberFormat="1" applyFont="1" applyBorder="1">
      <alignment horizontal="center" vertical="center" wrapText="1"/>
    </xf>
    <xf numFmtId="49" fontId="25" fillId="0" borderId="14" xfId="692" applyNumberFormat="1" applyFont="1" applyBorder="1">
      <alignment horizontal="center" vertical="center" wrapText="1"/>
    </xf>
    <xf numFmtId="49" fontId="5" fillId="0" borderId="33" xfId="590" applyNumberFormat="1" applyFont="1" applyBorder="1">
      <alignment vertical="top"/>
    </xf>
    <xf numFmtId="49" fontId="9" fillId="0" borderId="11" xfId="514" applyNumberFormat="1" applyFont="1" applyBorder="1">
      <alignment horizontal="center" vertical="center" wrapText="1"/>
    </xf>
    <xf numFmtId="49" fontId="9" fillId="13" borderId="11" xfId="613" applyNumberFormat="1" applyFont="1" applyFill="1" applyBorder="1">
      <alignment horizontal="left" vertical="center" wrapText="1"/>
    </xf>
    <xf numFmtId="49" fontId="9" fillId="12" borderId="14" xfId="0" applyNumberFormat="1" applyFont="1" applyFill="1" applyBorder="1" applyAlignment="1">
      <alignment horizontal="left" vertical="center" wrapText="1"/>
    </xf>
    <xf numFmtId="49" fontId="9" fillId="11" borderId="14" xfId="361" applyNumberFormat="1" applyFont="1" applyFill="1" applyBorder="1">
      <alignment horizontal="left" vertical="center" wrapText="1"/>
      <protection locked="0"/>
    </xf>
    <xf numFmtId="3" fontId="9" fillId="11" borderId="14" xfId="617" applyNumberFormat="1" applyFont="1" applyFill="1" applyBorder="1">
      <alignment horizontal="center" vertical="center" wrapText="1"/>
      <protection locked="0"/>
    </xf>
    <xf numFmtId="49" fontId="9" fillId="13" borderId="12" xfId="618" applyNumberFormat="1" applyFont="1" applyFill="1" applyBorder="1">
      <alignment horizontal="center" vertical="center" wrapText="1"/>
    </xf>
    <xf numFmtId="49" fontId="55" fillId="0" borderId="14" xfId="593" applyNumberFormat="1" applyFont="1" applyBorder="1">
      <alignment horizontal="center" vertical="center" wrapText="1"/>
    </xf>
    <xf numFmtId="0" fontId="30" fillId="0" borderId="11" xfId="612" applyFont="1" applyBorder="1">
      <alignment horizontal="center" vertical="center"/>
    </xf>
    <xf numFmtId="49" fontId="9" fillId="13" borderId="23" xfId="595" applyNumberFormat="1" applyFont="1" applyFill="1" applyBorder="1">
      <alignment horizontal="left" vertical="center" wrapText="1" indent="1"/>
    </xf>
    <xf numFmtId="49" fontId="9" fillId="13" borderId="33" xfId="603" applyNumberFormat="1" applyFont="1" applyFill="1" applyBorder="1">
      <alignment horizontal="left" vertical="center" wrapText="1" indent="1"/>
    </xf>
    <xf numFmtId="49" fontId="9" fillId="13" borderId="21" xfId="609" applyNumberFormat="1" applyFont="1" applyFill="1" applyBorder="1">
      <alignment horizontal="left" vertical="center" wrapText="1" indent="1"/>
    </xf>
    <xf numFmtId="49" fontId="9" fillId="10" borderId="14" xfId="604" applyNumberFormat="1" applyFont="1" applyFill="1" applyBorder="1">
      <alignment horizontal="left" vertical="center" wrapText="1"/>
    </xf>
    <xf numFmtId="49" fontId="9" fillId="13" borderId="14" xfId="0" applyNumberFormat="1" applyFont="1" applyFill="1" applyBorder="1" applyAlignment="1">
      <alignment horizontal="left" vertical="center" wrapText="1"/>
    </xf>
    <xf numFmtId="49" fontId="9" fillId="10" borderId="14" xfId="0" applyNumberFormat="1" applyFont="1" applyFill="1" applyBorder="1" applyAlignment="1">
      <alignment horizontal="left" vertical="center" wrapText="1"/>
    </xf>
    <xf numFmtId="49" fontId="9" fillId="13" borderId="14" xfId="304" applyNumberFormat="1" applyFont="1" applyFill="1" applyBorder="1">
      <alignment horizontal="left" vertical="center" wrapText="1"/>
    </xf>
    <xf numFmtId="49" fontId="9" fillId="13" borderId="14" xfId="0" applyNumberFormat="1" applyFont="1" applyFill="1" applyBorder="1" applyAlignment="1">
      <alignment horizontal="center" vertical="center" wrapText="1"/>
    </xf>
    <xf numFmtId="49" fontId="5" fillId="11" borderId="33" xfId="592" applyNumberFormat="1" applyFont="1" applyFill="1" applyBorder="1">
      <alignment vertical="top"/>
      <protection locked="0"/>
    </xf>
    <xf numFmtId="14" fontId="9" fillId="13" borderId="33" xfId="600" applyNumberFormat="1" applyFont="1" applyFill="1" applyBorder="1">
      <alignment horizontal="left" vertical="center" wrapText="1" indent="1"/>
    </xf>
    <xf numFmtId="14" fontId="9" fillId="13" borderId="19" xfId="601" applyNumberFormat="1" applyFont="1" applyFill="1" applyBorder="1">
      <alignment horizontal="left" vertical="center" wrapText="1" indent="1"/>
    </xf>
    <xf numFmtId="49" fontId="5" fillId="13" borderId="33" xfId="0" applyNumberFormat="1" applyFont="1" applyFill="1" applyBorder="1">
      <alignment vertical="top"/>
    </xf>
    <xf numFmtId="49" fontId="19" fillId="0" borderId="23" xfId="572" applyNumberFormat="1" applyFont="1" applyBorder="1">
      <alignment horizontal="left" vertical="center" wrapText="1" indent="1"/>
    </xf>
    <xf numFmtId="49" fontId="19" fillId="0" borderId="33" xfId="577" applyNumberFormat="1" applyFont="1" applyBorder="1">
      <alignment horizontal="left" vertical="center" wrapText="1" indent="1"/>
    </xf>
    <xf numFmtId="49" fontId="19" fillId="0" borderId="21" xfId="580" applyNumberFormat="1" applyFont="1" applyBorder="1">
      <alignment horizontal="left" vertical="center" wrapText="1" indent="1"/>
    </xf>
    <xf numFmtId="49" fontId="19" fillId="0" borderId="14" xfId="108" applyNumberFormat="1" applyFont="1" applyBorder="1">
      <alignment horizontal="left" vertical="center" wrapText="1"/>
    </xf>
    <xf numFmtId="49" fontId="19" fillId="0" borderId="12" xfId="565" applyNumberFormat="1" applyFont="1" applyBorder="1">
      <alignment horizontal="center" vertical="center" wrapText="1"/>
    </xf>
    <xf numFmtId="49" fontId="29" fillId="14" borderId="53" xfId="586" applyNumberFormat="1" applyFont="1" applyFill="1" applyBorder="1">
      <alignment horizontal="left" vertical="center" indent="1"/>
    </xf>
    <xf numFmtId="49" fontId="9" fillId="10" borderId="14" xfId="505" applyNumberFormat="1" applyFont="1" applyFill="1" applyBorder="1">
      <alignment horizontal="center" vertical="center" wrapText="1"/>
    </xf>
    <xf numFmtId="49" fontId="5" fillId="10" borderId="33" xfId="589" applyNumberFormat="1" applyFont="1" applyFill="1" applyBorder="1">
      <alignment vertical="top"/>
    </xf>
    <xf numFmtId="49" fontId="9" fillId="10" borderId="51" xfId="584" applyNumberFormat="1" applyFont="1" applyFill="1" applyBorder="1">
      <alignment horizontal="center" vertical="center" wrapText="1"/>
    </xf>
    <xf numFmtId="3" fontId="19" fillId="0" borderId="14" xfId="569" applyNumberFormat="1" applyFont="1" applyBorder="1">
      <alignment horizontal="center" vertical="center" wrapText="1"/>
    </xf>
    <xf numFmtId="49" fontId="19" fillId="0" borderId="11" xfId="563" applyNumberFormat="1" applyFont="1" applyBorder="1">
      <alignment horizontal="center" vertical="center" wrapText="1"/>
    </xf>
    <xf numFmtId="49" fontId="19" fillId="0" borderId="11" xfId="564" applyNumberFormat="1" applyFont="1" applyBorder="1">
      <alignment horizontal="left" vertical="center" wrapText="1"/>
    </xf>
    <xf numFmtId="49" fontId="54" fillId="0" borderId="11" xfId="570" applyNumberFormat="1" applyFont="1" applyBorder="1">
      <alignment horizontal="center" vertical="center" wrapText="1"/>
    </xf>
    <xf numFmtId="0" fontId="53" fillId="0" borderId="14" xfId="571" applyFont="1" applyBorder="1">
      <alignment horizontal="center" vertical="center"/>
    </xf>
    <xf numFmtId="0" fontId="9" fillId="12" borderId="25" xfId="940" applyFont="1" applyFill="1" applyBorder="1">
      <alignment horizontal="center" vertical="center" wrapText="1"/>
    </xf>
    <xf numFmtId="0" fontId="9" fillId="0" borderId="6" xfId="1113" applyFont="1" applyBorder="1">
      <alignment horizontal="center" vertical="center"/>
    </xf>
    <xf numFmtId="0" fontId="9" fillId="0" borderId="7" xfId="1114" applyFont="1" applyBorder="1">
      <alignment horizontal="center" vertical="center"/>
    </xf>
    <xf numFmtId="0" fontId="9" fillId="0" borderId="8" xfId="1115" applyFont="1" applyBorder="1">
      <alignment horizontal="center" vertical="center"/>
    </xf>
    <xf numFmtId="0" fontId="5" fillId="10" borderId="14" xfId="735" applyFont="1" applyFill="1" applyBorder="1">
      <alignment horizontal="center" vertical="center" wrapText="1"/>
    </xf>
    <xf numFmtId="0" fontId="9" fillId="0" borderId="63" xfId="1119" applyFont="1" applyBorder="1">
      <alignment horizontal="center" vertical="center"/>
    </xf>
    <xf numFmtId="0" fontId="9" fillId="0" borderId="35" xfId="1120" applyFont="1" applyBorder="1">
      <alignment horizontal="center" vertical="center"/>
    </xf>
    <xf numFmtId="49" fontId="5" fillId="0" borderId="14" xfId="974" applyNumberFormat="1" applyFont="1" applyBorder="1">
      <alignment vertical="center" wrapText="1"/>
    </xf>
    <xf numFmtId="49" fontId="5" fillId="0" borderId="14" xfId="280" applyNumberFormat="1" applyFont="1" applyBorder="1">
      <alignment horizontal="left" vertical="center" wrapText="1"/>
    </xf>
    <xf numFmtId="49" fontId="5" fillId="0" borderId="23" xfId="1122" applyNumberFormat="1" applyFont="1" applyBorder="1">
      <alignment horizontal="center" vertical="center" wrapText="1"/>
    </xf>
    <xf numFmtId="49" fontId="5" fillId="0" borderId="33" xfId="1124" applyNumberFormat="1" applyFont="1" applyBorder="1">
      <alignment horizontal="center" vertical="center" wrapText="1"/>
    </xf>
    <xf numFmtId="49" fontId="5" fillId="0" borderId="21" xfId="1125" applyNumberFormat="1" applyFont="1" applyBorder="1">
      <alignment horizontal="center" vertical="center" wrapText="1"/>
    </xf>
    <xf numFmtId="49" fontId="5" fillId="0" borderId="14" xfId="187" applyNumberFormat="1" applyFont="1" applyBorder="1">
      <alignment horizontal="center" vertical="center"/>
    </xf>
    <xf numFmtId="49" fontId="9" fillId="0" borderId="16" xfId="1149" applyNumberFormat="1" applyFont="1" applyBorder="1">
      <alignment horizontal="center" vertical="center" wrapText="1"/>
    </xf>
    <xf numFmtId="0" fontId="9" fillId="0" borderId="18" xfId="1132" applyFont="1" applyBorder="1">
      <alignment horizontal="left" vertical="top" wrapText="1"/>
    </xf>
    <xf numFmtId="0" fontId="9" fillId="12" borderId="11" xfId="749" applyFont="1" applyFill="1" applyBorder="1">
      <alignment horizontal="center" vertical="center" wrapText="1"/>
    </xf>
    <xf numFmtId="0" fontId="9" fillId="16" borderId="14" xfId="1152" applyFont="1" applyFill="1" applyBorder="1">
      <alignment horizontal="center" vertical="center" wrapText="1"/>
    </xf>
    <xf numFmtId="0" fontId="9" fillId="16" borderId="11" xfId="1154" applyFont="1" applyFill="1" applyBorder="1">
      <alignment horizontal="center" vertical="center" wrapText="1"/>
    </xf>
    <xf numFmtId="49" fontId="9" fillId="16" borderId="14" xfId="1151" applyNumberFormat="1" applyFont="1" applyFill="1" applyBorder="1">
      <alignment horizontal="center" vertical="center" wrapText="1"/>
    </xf>
    <xf numFmtId="49" fontId="19" fillId="17" borderId="12" xfId="1139" applyNumberFormat="1" applyFont="1" applyFill="1" applyBorder="1">
      <alignment horizontal="center" vertical="center" wrapText="1"/>
    </xf>
    <xf numFmtId="49" fontId="19" fillId="17" borderId="16" xfId="1140" applyNumberFormat="1" applyFont="1" applyFill="1" applyBorder="1">
      <alignment horizontal="center" vertical="center" wrapText="1"/>
    </xf>
    <xf numFmtId="49" fontId="19" fillId="17" borderId="11" xfId="1141" applyNumberFormat="1" applyFont="1" applyFill="1" applyBorder="1">
      <alignment horizontal="center" vertical="center" wrapText="1"/>
    </xf>
    <xf numFmtId="49" fontId="19" fillId="19" borderId="12" xfId="1142" applyNumberFormat="1" applyFont="1" applyFill="1" applyBorder="1">
      <alignment horizontal="center" vertical="center" wrapText="1"/>
    </xf>
    <xf numFmtId="49" fontId="19" fillId="19" borderId="16" xfId="1143" applyNumberFormat="1" applyFont="1" applyFill="1" applyBorder="1">
      <alignment horizontal="center" vertical="center" wrapText="1"/>
    </xf>
    <xf numFmtId="49" fontId="19" fillId="19" borderId="11" xfId="1144" applyNumberFormat="1" applyFont="1" applyFill="1" applyBorder="1">
      <alignment horizontal="center" vertical="center" wrapText="1"/>
    </xf>
    <xf numFmtId="49" fontId="9" fillId="20" borderId="12" xfId="1145" applyNumberFormat="1" applyFont="1" applyFill="1" applyBorder="1">
      <alignment horizontal="center" vertical="center" wrapText="1"/>
    </xf>
    <xf numFmtId="49" fontId="9" fillId="20" borderId="16" xfId="1146" applyNumberFormat="1" applyFont="1" applyFill="1" applyBorder="1">
      <alignment horizontal="center" vertical="center" wrapText="1"/>
    </xf>
    <xf numFmtId="49" fontId="9" fillId="16" borderId="17" xfId="1147" applyNumberFormat="1" applyFont="1" applyFill="1" applyBorder="1">
      <alignment horizontal="center" vertical="center" wrapText="1"/>
    </xf>
    <xf numFmtId="49" fontId="9" fillId="16" borderId="0" xfId="1148" applyNumberFormat="1" applyFont="1" applyFill="1">
      <alignment horizontal="center" vertical="center" wrapText="1"/>
    </xf>
    <xf numFmtId="49" fontId="9" fillId="16" borderId="36" xfId="1155" applyNumberFormat="1" applyFont="1" applyFill="1" applyBorder="1">
      <alignment horizontal="center" vertical="center" wrapText="1"/>
    </xf>
    <xf numFmtId="0" fontId="9" fillId="18" borderId="12" xfId="1136" applyFont="1" applyFill="1" applyBorder="1">
      <alignment horizontal="center" vertical="center" wrapText="1"/>
    </xf>
    <xf numFmtId="0" fontId="9" fillId="18" borderId="16" xfId="1137" applyFont="1" applyFill="1" applyBorder="1">
      <alignment horizontal="center" vertical="center" wrapText="1"/>
    </xf>
    <xf numFmtId="0" fontId="9" fillId="18" borderId="11" xfId="1138" applyFont="1" applyFill="1" applyBorder="1">
      <alignment horizontal="center" vertical="center" wrapText="1"/>
    </xf>
    <xf numFmtId="0" fontId="9" fillId="16" borderId="12" xfId="1153" applyFont="1" applyFill="1" applyBorder="1">
      <alignment horizontal="center" vertical="center" wrapText="1"/>
    </xf>
    <xf numFmtId="0" fontId="5" fillId="0" borderId="14" xfId="663" applyFont="1" applyBorder="1">
      <alignment horizontal="left" vertical="center" wrapText="1"/>
    </xf>
    <xf numFmtId="0" fontId="51" fillId="12" borderId="20" xfId="757" applyFont="1" applyFill="1" applyBorder="1">
      <alignment horizontal="center" vertical="top" wrapText="1"/>
    </xf>
    <xf numFmtId="49" fontId="5" fillId="12" borderId="21" xfId="758" applyNumberFormat="1" applyFont="1" applyFill="1" applyBorder="1">
      <alignment horizontal="center" vertical="center" wrapText="1"/>
    </xf>
    <xf numFmtId="0" fontId="5" fillId="10" borderId="21" xfId="759" applyFont="1" applyFill="1" applyBorder="1">
      <alignment horizontal="left" vertical="center" wrapText="1" indent="1"/>
    </xf>
    <xf numFmtId="0" fontId="9" fillId="0" borderId="16" xfId="742" applyFont="1" applyBorder="1">
      <alignment horizontal="left" vertical="top" wrapText="1" indent="1"/>
    </xf>
    <xf numFmtId="0" fontId="51" fillId="12" borderId="0" xfId="754" applyFont="1" applyFill="1">
      <alignment horizontal="center" vertical="top" wrapText="1"/>
    </xf>
    <xf numFmtId="49" fontId="28" fillId="12" borderId="17" xfId="751" applyNumberFormat="1" applyFont="1" applyFill="1" applyBorder="1">
      <alignment horizontal="center" vertical="center" wrapText="1"/>
    </xf>
    <xf numFmtId="0" fontId="5" fillId="0" borderId="23" xfId="753" applyFont="1" applyBorder="1">
      <alignment horizontal="left" vertical="center" wrapText="1"/>
    </xf>
    <xf numFmtId="0" fontId="5" fillId="10" borderId="12" xfId="755" applyFont="1" applyFill="1" applyBorder="1">
      <alignment horizontal="left" vertical="center" wrapText="1" indent="1"/>
    </xf>
    <xf numFmtId="0" fontId="5" fillId="12" borderId="23" xfId="1178" applyFont="1" applyFill="1" applyBorder="1">
      <alignment horizontal="left" vertical="top" wrapText="1"/>
    </xf>
    <xf numFmtId="0" fontId="5" fillId="12" borderId="33" xfId="1181" applyFont="1" applyFill="1" applyBorder="1">
      <alignment horizontal="left" vertical="top" wrapText="1"/>
    </xf>
    <xf numFmtId="0" fontId="5" fillId="12" borderId="21" xfId="1183" applyFont="1" applyFill="1" applyBorder="1">
      <alignment horizontal="left" vertical="top" wrapText="1"/>
    </xf>
    <xf numFmtId="4" fontId="9" fillId="0" borderId="23" xfId="1079" applyNumberFormat="1" applyFont="1" applyBorder="1">
      <alignment horizontal="center" vertical="center" wrapText="1"/>
    </xf>
    <xf numFmtId="4" fontId="9" fillId="0" borderId="21" xfId="1192" applyNumberFormat="1" applyFont="1" applyBorder="1">
      <alignment horizontal="center" vertical="center" wrapText="1"/>
    </xf>
    <xf numFmtId="4" fontId="9" fillId="0" borderId="33" xfId="1204" applyNumberFormat="1" applyFont="1" applyBorder="1">
      <alignment horizontal="center" vertical="center" wrapText="1"/>
    </xf>
    <xf numFmtId="0" fontId="9" fillId="0" borderId="25" xfId="1208" applyFont="1" applyBorder="1">
      <alignment horizontal="left" vertical="top" wrapText="1"/>
    </xf>
    <xf numFmtId="165" fontId="9" fillId="0" borderId="23" xfId="1191" applyNumberFormat="1" applyFont="1" applyBorder="1">
      <alignment horizontal="center" vertical="center" wrapText="1"/>
    </xf>
    <xf numFmtId="165" fontId="9" fillId="0" borderId="21" xfId="1205" applyNumberFormat="1" applyFont="1" applyBorder="1">
      <alignment horizontal="center" vertical="center" wrapText="1"/>
    </xf>
    <xf numFmtId="165" fontId="9" fillId="0" borderId="12" xfId="97" applyNumberFormat="1" applyFont="1" applyBorder="1">
      <alignment horizontal="center" vertical="center" wrapText="1"/>
    </xf>
    <xf numFmtId="165" fontId="9" fillId="0" borderId="16" xfId="1202" applyNumberFormat="1" applyFont="1" applyBorder="1">
      <alignment horizontal="center" vertical="center" wrapText="1"/>
    </xf>
    <xf numFmtId="165" fontId="9" fillId="0" borderId="11" xfId="1203" applyNumberFormat="1" applyFont="1" applyBorder="1">
      <alignment horizontal="center" vertical="center" wrapText="1"/>
    </xf>
    <xf numFmtId="14" fontId="9" fillId="13" borderId="14" xfId="1193" applyNumberFormat="1" applyFont="1" applyFill="1" applyBorder="1">
      <alignment horizontal="left" vertical="center" wrapText="1"/>
    </xf>
    <xf numFmtId="49" fontId="9" fillId="13" borderId="12" xfId="306" applyNumberFormat="1" applyFont="1" applyFill="1" applyBorder="1">
      <alignment horizontal="left" vertical="center" wrapText="1"/>
    </xf>
    <xf numFmtId="0" fontId="9" fillId="10" borderId="25" xfId="1220" applyFont="1" applyFill="1" applyBorder="1">
      <alignment horizontal="left" vertical="center" wrapText="1"/>
    </xf>
    <xf numFmtId="14" fontId="9" fillId="13" borderId="21" xfId="377" applyNumberFormat="1" applyFont="1" applyFill="1" applyBorder="1">
      <alignment horizontal="left" vertical="center" wrapText="1"/>
    </xf>
    <xf numFmtId="49" fontId="9" fillId="0" borderId="14" xfId="1224" applyNumberFormat="1" applyFont="1" applyBorder="1">
      <alignment horizontal="left" vertical="top" wrapText="1"/>
    </xf>
    <xf numFmtId="49" fontId="77" fillId="0" borderId="14" xfId="1225" applyNumberFormat="1" applyFont="1" applyBorder="1">
      <alignment horizontal="left" vertical="top" wrapText="1"/>
    </xf>
    <xf numFmtId="0" fontId="9" fillId="0" borderId="16" xfId="1215" applyFont="1" applyBorder="1">
      <alignment horizontal="left" vertical="center" wrapText="1"/>
    </xf>
    <xf numFmtId="165" fontId="9" fillId="0" borderId="33" xfId="1219" applyNumberFormat="1" applyFont="1" applyBorder="1">
      <alignment horizontal="center" vertical="center" wrapText="1"/>
    </xf>
    <xf numFmtId="165" fontId="9" fillId="0" borderId="14" xfId="98" applyNumberFormat="1" applyFont="1" applyBorder="1">
      <alignment horizontal="center" vertical="center" wrapText="1"/>
    </xf>
    <xf numFmtId="165" fontId="30" fillId="0" borderId="17" xfId="1216" applyNumberFormat="1" applyFont="1" applyBorder="1">
      <alignment horizontal="center" vertical="center" wrapText="1"/>
    </xf>
    <xf numFmtId="49" fontId="9" fillId="13" borderId="26" xfId="1221" applyNumberFormat="1" applyFont="1" applyFill="1" applyBorder="1">
      <alignment horizontal="left" vertical="center" wrapText="1"/>
    </xf>
    <xf numFmtId="49" fontId="9" fillId="13" borderId="21" xfId="708" applyNumberFormat="1" applyFont="1" applyFill="1" applyBorder="1">
      <alignment horizontal="left" vertical="center" wrapText="1"/>
    </xf>
    <xf numFmtId="49" fontId="9" fillId="0" borderId="0" xfId="1167" applyNumberFormat="1" applyFont="1">
      <alignment horizontal="left" vertical="top" wrapText="1"/>
    </xf>
    <xf numFmtId="0" fontId="9" fillId="0" borderId="11" xfId="638" applyFont="1" applyBorder="1">
      <alignment horizontal="left" vertical="center" wrapText="1" indent="1"/>
    </xf>
    <xf numFmtId="0" fontId="9" fillId="0" borderId="12" xfId="1028" applyFont="1" applyBorder="1">
      <alignment horizontal="left" vertical="center" wrapText="1" indent="1"/>
    </xf>
    <xf numFmtId="49" fontId="5" fillId="0" borderId="16" xfId="1239" applyNumberFormat="1" applyFont="1" applyBorder="1">
      <alignment horizontal="left" vertical="center" indent="1"/>
    </xf>
    <xf numFmtId="49" fontId="9" fillId="8" borderId="14" xfId="303" applyNumberFormat="1" applyFont="1" applyFill="1" applyBorder="1">
      <alignment horizontal="left" vertical="center" wrapText="1"/>
      <protection locked="0"/>
    </xf>
    <xf numFmtId="49" fontId="5" fillId="11" borderId="14" xfId="274" applyNumberFormat="1" applyFont="1" applyFill="1" applyBorder="1">
      <alignment horizontal="left" vertical="center" wrapText="1"/>
      <protection locked="0"/>
    </xf>
    <xf numFmtId="0" fontId="5" fillId="13" borderId="14" xfId="676" applyFont="1" applyFill="1" applyBorder="1">
      <alignment horizontal="left" vertical="center" wrapText="1"/>
    </xf>
    <xf numFmtId="49" fontId="5" fillId="13" borderId="14" xfId="682" applyNumberFormat="1" applyFont="1" applyFill="1" applyBorder="1">
      <alignment horizontal="left" vertical="center" wrapText="1"/>
    </xf>
    <xf numFmtId="0" fontId="29" fillId="14" borderId="16" xfId="678" applyFont="1" applyFill="1" applyBorder="1">
      <alignment horizontal="left" vertical="center"/>
    </xf>
    <xf numFmtId="0" fontId="29" fillId="14" borderId="11" xfId="679" applyFont="1" applyFill="1" applyBorder="1">
      <alignment horizontal="left" vertical="center"/>
    </xf>
    <xf numFmtId="0" fontId="29" fillId="14" borderId="17" xfId="711" applyFont="1" applyFill="1" applyBorder="1">
      <alignment horizontal="left" vertical="center"/>
    </xf>
    <xf numFmtId="0" fontId="29" fillId="14" borderId="18" xfId="712" applyFont="1" applyFill="1" applyBorder="1">
      <alignment horizontal="left" vertical="center"/>
    </xf>
    <xf numFmtId="49" fontId="9" fillId="11" borderId="23" xfId="713" applyNumberFormat="1" applyFont="1" applyFill="1" applyBorder="1">
      <alignment horizontal="left" vertical="center" wrapText="1"/>
      <protection locked="0"/>
    </xf>
    <xf numFmtId="49" fontId="9" fillId="0" borderId="33" xfId="698" applyNumberFormat="1" applyFont="1" applyBorder="1">
      <alignment horizontal="center" vertical="center"/>
    </xf>
    <xf numFmtId="0" fontId="9" fillId="13" borderId="23" xfId="703" applyFont="1" applyFill="1" applyBorder="1">
      <alignment horizontal="left" vertical="center" wrapText="1"/>
    </xf>
    <xf numFmtId="0" fontId="9" fillId="13" borderId="33" xfId="707" applyFont="1" applyFill="1" applyBorder="1">
      <alignment horizontal="left" vertical="center" wrapText="1"/>
    </xf>
    <xf numFmtId="49" fontId="9" fillId="13" borderId="23" xfId="704" applyNumberFormat="1" applyFont="1" applyFill="1" applyBorder="1">
      <alignment horizontal="left" vertical="center" wrapText="1"/>
    </xf>
    <xf numFmtId="0" fontId="9" fillId="0" borderId="20" xfId="700" applyFont="1" applyBorder="1">
      <alignment horizontal="center" vertical="center"/>
    </xf>
    <xf numFmtId="49" fontId="9" fillId="8" borderId="23" xfId="716" applyNumberFormat="1" applyFont="1" applyFill="1" applyBorder="1">
      <alignment horizontal="left" vertical="center" wrapText="1"/>
      <protection locked="0"/>
    </xf>
    <xf numFmtId="0" fontId="5" fillId="0" borderId="14" xfId="186" applyFont="1" applyBorder="1">
      <alignment horizontal="center" vertical="center"/>
    </xf>
    <xf numFmtId="0" fontId="9" fillId="13" borderId="14" xfId="675" applyFont="1" applyFill="1" applyBorder="1">
      <alignment horizontal="left" vertical="top" wrapText="1"/>
    </xf>
    <xf numFmtId="49" fontId="5" fillId="13" borderId="14" xfId="680" applyNumberFormat="1" applyFont="1" applyFill="1" applyBorder="1">
      <alignment horizontal="left" vertical="top"/>
    </xf>
    <xf numFmtId="49" fontId="5" fillId="8" borderId="14" xfId="681" applyNumberFormat="1" applyFont="1" applyFill="1" applyBorder="1">
      <alignment horizontal="left" vertical="top"/>
      <protection locked="0"/>
    </xf>
    <xf numFmtId="0" fontId="5" fillId="11" borderId="14" xfId="665" applyFont="1" applyFill="1" applyBorder="1">
      <alignment horizontal="left" vertical="center" wrapText="1"/>
      <protection locked="0"/>
    </xf>
    <xf numFmtId="49" fontId="5" fillId="11" borderId="12" xfId="666" applyNumberFormat="1" applyFont="1" applyFill="1" applyBorder="1">
      <alignment horizontal="left" vertical="center" wrapText="1"/>
      <protection locked="0"/>
    </xf>
    <xf numFmtId="49" fontId="31" fillId="0" borderId="23" xfId="659" applyNumberFormat="1" applyFont="1" applyBorder="1">
      <alignment horizontal="center" vertical="top" wrapText="1"/>
    </xf>
    <xf numFmtId="49" fontId="9" fillId="0" borderId="33" xfId="546" applyNumberFormat="1" applyFont="1" applyBorder="1">
      <alignment horizontal="center" vertical="top" wrapText="1"/>
    </xf>
    <xf numFmtId="49" fontId="9" fillId="0" borderId="21" xfId="672" applyNumberFormat="1" applyFont="1" applyBorder="1">
      <alignment horizontal="center" vertical="top" wrapText="1"/>
    </xf>
    <xf numFmtId="49" fontId="9" fillId="11" borderId="12" xfId="660" applyNumberFormat="1" applyFont="1" applyFill="1" applyBorder="1">
      <alignment horizontal="left" vertical="center" wrapText="1" indent="1"/>
      <protection locked="0"/>
    </xf>
    <xf numFmtId="49" fontId="9" fillId="11" borderId="14" xfId="60" applyNumberFormat="1" applyFont="1" applyFill="1" applyBorder="1">
      <alignment horizontal="left" vertical="center" wrapText="1" indent="1"/>
      <protection locked="0"/>
    </xf>
    <xf numFmtId="0" fontId="30" fillId="0" borderId="14" xfId="594" applyFont="1" applyBorder="1">
      <alignment horizontal="center" vertical="center"/>
    </xf>
    <xf numFmtId="49" fontId="47" fillId="0" borderId="14" xfId="394" applyNumberFormat="1" applyFont="1" applyBorder="1">
      <alignment horizontal="center" vertical="top" wrapText="1"/>
    </xf>
    <xf numFmtId="0" fontId="47" fillId="16" borderId="14" xfId="405" applyFont="1" applyFill="1" applyBorder="1">
      <alignment horizontal="center" vertical="center" wrapText="1"/>
    </xf>
    <xf numFmtId="49" fontId="47" fillId="0" borderId="24" xfId="409" applyNumberFormat="1" applyFont="1" applyBorder="1">
      <alignment horizontal="center" vertical="top" wrapText="1"/>
    </xf>
    <xf numFmtId="49" fontId="47" fillId="0" borderId="26" xfId="412" applyNumberFormat="1" applyFont="1" applyBorder="1">
      <alignment horizontal="center" vertical="top" wrapText="1"/>
    </xf>
    <xf numFmtId="49" fontId="47" fillId="0" borderId="12" xfId="400" applyNumberFormat="1" applyFont="1" applyBorder="1">
      <alignment horizontal="center" vertical="top" wrapText="1"/>
    </xf>
    <xf numFmtId="49" fontId="47" fillId="0" borderId="16" xfId="401" applyNumberFormat="1" applyFont="1" applyBorder="1">
      <alignment horizontal="center" vertical="top" wrapText="1"/>
    </xf>
    <xf numFmtId="49" fontId="47" fillId="0" borderId="11" xfId="402" applyNumberFormat="1" applyFont="1" applyBorder="1">
      <alignment horizontal="center" vertical="top" wrapText="1"/>
    </xf>
    <xf numFmtId="49" fontId="47" fillId="0" borderId="23" xfId="406" applyNumberFormat="1" applyFont="1" applyBorder="1">
      <alignment horizontal="center" vertical="top" wrapText="1"/>
    </xf>
    <xf numFmtId="49" fontId="47" fillId="0" borderId="33" xfId="407" applyNumberFormat="1" applyFont="1" applyBorder="1">
      <alignment horizontal="center" vertical="top" wrapText="1"/>
    </xf>
    <xf numFmtId="49" fontId="47" fillId="0" borderId="21" xfId="411" applyNumberFormat="1" applyFont="1" applyBorder="1">
      <alignment horizontal="center" vertical="top" wrapText="1"/>
    </xf>
    <xf numFmtId="0" fontId="3" fillId="0" borderId="17" xfId="924" applyFont="1" applyBorder="1">
      <alignment horizontal="left" vertical="center" wrapText="1" indent="1"/>
    </xf>
    <xf numFmtId="0" fontId="3" fillId="0" borderId="36" xfId="925" applyFont="1" applyBorder="1">
      <alignment horizontal="left" vertical="center" wrapText="1" indent="1"/>
    </xf>
    <xf numFmtId="4" fontId="9" fillId="10" borderId="14" xfId="926" applyNumberFormat="1" applyFont="1" applyFill="1" applyBorder="1">
      <alignment horizontal="left" vertical="center" wrapText="1"/>
    </xf>
    <xf numFmtId="49" fontId="5" fillId="0" borderId="14" xfId="1226" applyNumberFormat="1" applyFont="1" applyBorder="1">
      <alignment horizontal="center" vertical="top"/>
    </xf>
    <xf numFmtId="49" fontId="5" fillId="0" borderId="12" xfId="1227" applyNumberFormat="1" applyFont="1" applyBorder="1">
      <alignment horizontal="center" vertical="top"/>
    </xf>
  </cellXfs>
  <cellStyles count="1250">
    <cellStyle name="s1" xfId="1"/>
    <cellStyle name="s10" xfId="10"/>
    <cellStyle name="s100" xfId="100"/>
    <cellStyle name="s1000" xfId="1000"/>
    <cellStyle name="s1001" xfId="1001"/>
    <cellStyle name="s1002" xfId="1002"/>
    <cellStyle name="s1003" xfId="1003"/>
    <cellStyle name="s1004" xfId="1004"/>
    <cellStyle name="s1005" xfId="1005"/>
    <cellStyle name="s1006" xfId="1006"/>
    <cellStyle name="s1007" xfId="1007"/>
    <cellStyle name="s1008" xfId="1008"/>
    <cellStyle name="s1009" xfId="1009"/>
    <cellStyle name="s101" xfId="101"/>
    <cellStyle name="s1010" xfId="1010"/>
    <cellStyle name="s1011" xfId="1011"/>
    <cellStyle name="s1012" xfId="1012"/>
    <cellStyle name="s1013" xfId="1013"/>
    <cellStyle name="s1014" xfId="1014"/>
    <cellStyle name="s1015" xfId="1015"/>
    <cellStyle name="s1016" xfId="1016"/>
    <cellStyle name="s1017" xfId="1017"/>
    <cellStyle name="s1018" xfId="1018"/>
    <cellStyle name="s1019" xfId="1019"/>
    <cellStyle name="s102" xfId="102"/>
    <cellStyle name="s1020" xfId="1020"/>
    <cellStyle name="s1021" xfId="1021"/>
    <cellStyle name="s1022" xfId="1022"/>
    <cellStyle name="s1023" xfId="1023"/>
    <cellStyle name="s1024" xfId="1024"/>
    <cellStyle name="s1025" xfId="1025"/>
    <cellStyle name="s1026" xfId="1026"/>
    <cellStyle name="s1027" xfId="1027"/>
    <cellStyle name="s1028" xfId="1028"/>
    <cellStyle name="s1029" xfId="1029"/>
    <cellStyle name="s103" xfId="103"/>
    <cellStyle name="s1030" xfId="1030"/>
    <cellStyle name="s1031" xfId="1031"/>
    <cellStyle name="s1032" xfId="1032"/>
    <cellStyle name="s1033" xfId="1033"/>
    <cellStyle name="s1034" xfId="1034"/>
    <cellStyle name="s1035" xfId="1035"/>
    <cellStyle name="s1036" xfId="1036"/>
    <cellStyle name="s1037" xfId="1037"/>
    <cellStyle name="s1038" xfId="1038"/>
    <cellStyle name="s1039" xfId="1039"/>
    <cellStyle name="s104" xfId="104"/>
    <cellStyle name="s1040" xfId="1040"/>
    <cellStyle name="s1041" xfId="1041"/>
    <cellStyle name="s1042" xfId="1042"/>
    <cellStyle name="s1043" xfId="1043"/>
    <cellStyle name="s1044" xfId="1044"/>
    <cellStyle name="s1045" xfId="1045"/>
    <cellStyle name="s1046" xfId="1046"/>
    <cellStyle name="s1047" xfId="1047"/>
    <cellStyle name="s1048" xfId="1048"/>
    <cellStyle name="s1049" xfId="1049"/>
    <cellStyle name="s105" xfId="105"/>
    <cellStyle name="s1050" xfId="1050"/>
    <cellStyle name="s1051" xfId="1051"/>
    <cellStyle name="s1052" xfId="1052"/>
    <cellStyle name="s1053" xfId="1053"/>
    <cellStyle name="s1054" xfId="1054"/>
    <cellStyle name="s1055" xfId="1055"/>
    <cellStyle name="s1056" xfId="1056"/>
    <cellStyle name="s1057" xfId="1057"/>
    <cellStyle name="s1058" xfId="1058"/>
    <cellStyle name="s1059" xfId="1059"/>
    <cellStyle name="s106" xfId="106"/>
    <cellStyle name="s1060" xfId="1060"/>
    <cellStyle name="s1061" xfId="1061"/>
    <cellStyle name="s1062" xfId="1062"/>
    <cellStyle name="s1063" xfId="1063"/>
    <cellStyle name="s1064" xfId="1064"/>
    <cellStyle name="s1065" xfId="1065"/>
    <cellStyle name="s1066" xfId="1066"/>
    <cellStyle name="s1067" xfId="1067"/>
    <cellStyle name="s1068" xfId="1068"/>
    <cellStyle name="s1069" xfId="1069"/>
    <cellStyle name="s107" xfId="107"/>
    <cellStyle name="s1070" xfId="1070"/>
    <cellStyle name="s1071" xfId="1071"/>
    <cellStyle name="s1072" xfId="1072"/>
    <cellStyle name="s1073" xfId="1073"/>
    <cellStyle name="s1074" xfId="1074"/>
    <cellStyle name="s1075" xfId="1075"/>
    <cellStyle name="s1076" xfId="1076"/>
    <cellStyle name="s1077" xfId="1077"/>
    <cellStyle name="s1078" xfId="1078"/>
    <cellStyle name="s1079" xfId="1079"/>
    <cellStyle name="s108" xfId="108"/>
    <cellStyle name="s1080" xfId="1080"/>
    <cellStyle name="s1081" xfId="1081"/>
    <cellStyle name="s1082" xfId="1082"/>
    <cellStyle name="s1083" xfId="1083"/>
    <cellStyle name="s1084" xfId="1084"/>
    <cellStyle name="s1085" xfId="1085"/>
    <cellStyle name="s1086" xfId="1086"/>
    <cellStyle name="s1087" xfId="1087"/>
    <cellStyle name="s1088" xfId="1088"/>
    <cellStyle name="s1089" xfId="1089"/>
    <cellStyle name="s109" xfId="109"/>
    <cellStyle name="s1090" xfId="1090"/>
    <cellStyle name="s1091" xfId="1091"/>
    <cellStyle name="s1092" xfId="1092"/>
    <cellStyle name="s1093" xfId="1093"/>
    <cellStyle name="s1094" xfId="1094"/>
    <cellStyle name="s1095" xfId="1095"/>
    <cellStyle name="s1096" xfId="1096"/>
    <cellStyle name="s1097" xfId="1097"/>
    <cellStyle name="s1098" xfId="1098"/>
    <cellStyle name="s1099" xfId="1099"/>
    <cellStyle name="s11" xfId="11"/>
    <cellStyle name="s110" xfId="110"/>
    <cellStyle name="s1100" xfId="1100"/>
    <cellStyle name="s1101" xfId="1101"/>
    <cellStyle name="s1102" xfId="1102"/>
    <cellStyle name="s1103" xfId="1103"/>
    <cellStyle name="s1104" xfId="1104"/>
    <cellStyle name="s1105" xfId="1105"/>
    <cellStyle name="s1106" xfId="1106"/>
    <cellStyle name="s1107" xfId="1107"/>
    <cellStyle name="s1108" xfId="1108"/>
    <cellStyle name="s1109" xfId="1109"/>
    <cellStyle name="s111" xfId="111"/>
    <cellStyle name="s1110" xfId="1110"/>
    <cellStyle name="s1111" xfId="1111"/>
    <cellStyle name="s1112" xfId="1112"/>
    <cellStyle name="s1113" xfId="1113"/>
    <cellStyle name="s1114" xfId="1114"/>
    <cellStyle name="s1115" xfId="1115"/>
    <cellStyle name="s1116" xfId="1116"/>
    <cellStyle name="s1117" xfId="1117"/>
    <cellStyle name="s1118" xfId="1118"/>
    <cellStyle name="s1119" xfId="1119"/>
    <cellStyle name="s112" xfId="112"/>
    <cellStyle name="s1120" xfId="1120"/>
    <cellStyle name="s1121" xfId="1121"/>
    <cellStyle name="s1122" xfId="1122"/>
    <cellStyle name="s1123" xfId="1123"/>
    <cellStyle name="s1124" xfId="1124"/>
    <cellStyle name="s1125" xfId="1125"/>
    <cellStyle name="s1126" xfId="1126"/>
    <cellStyle name="s1127" xfId="1127"/>
    <cellStyle name="s1128" xfId="1128"/>
    <cellStyle name="s1129" xfId="1129"/>
    <cellStyle name="s113" xfId="113"/>
    <cellStyle name="s1130" xfId="1130"/>
    <cellStyle name="s1131" xfId="1131"/>
    <cellStyle name="s1132" xfId="1132"/>
    <cellStyle name="s1133" xfId="1133"/>
    <cellStyle name="s1134" xfId="1134"/>
    <cellStyle name="s1135" xfId="1135"/>
    <cellStyle name="s1136" xfId="1136"/>
    <cellStyle name="s1137" xfId="1137"/>
    <cellStyle name="s1138" xfId="1138"/>
    <cellStyle name="s1139" xfId="1139"/>
    <cellStyle name="s114" xfId="114"/>
    <cellStyle name="s1140" xfId="1140"/>
    <cellStyle name="s1141" xfId="1141"/>
    <cellStyle name="s1142" xfId="1142"/>
    <cellStyle name="s1143" xfId="1143"/>
    <cellStyle name="s1144" xfId="1144"/>
    <cellStyle name="s1145" xfId="1145"/>
    <cellStyle name="s1146" xfId="1146"/>
    <cellStyle name="s1147" xfId="1147"/>
    <cellStyle name="s1148" xfId="1148"/>
    <cellStyle name="s1149" xfId="1149"/>
    <cellStyle name="s115" xfId="115"/>
    <cellStyle name="s1150" xfId="1150"/>
    <cellStyle name="s1151" xfId="1151"/>
    <cellStyle name="s1152" xfId="1152"/>
    <cellStyle name="s1153" xfId="1153"/>
    <cellStyle name="s1154" xfId="1154"/>
    <cellStyle name="s1155" xfId="1155"/>
    <cellStyle name="s1156" xfId="1156"/>
    <cellStyle name="s1157" xfId="1157"/>
    <cellStyle name="s1158" xfId="1158"/>
    <cellStyle name="s1159" xfId="1159"/>
    <cellStyle name="s116" xfId="116"/>
    <cellStyle name="s1160" xfId="1160"/>
    <cellStyle name="s1161" xfId="1161"/>
    <cellStyle name="s1162" xfId="1162"/>
    <cellStyle name="s1163" xfId="1163"/>
    <cellStyle name="s1164" xfId="1164"/>
    <cellStyle name="s1165" xfId="1165"/>
    <cellStyle name="s1166" xfId="1166"/>
    <cellStyle name="s1167" xfId="1167"/>
    <cellStyle name="s1168" xfId="1168"/>
    <cellStyle name="s1169" xfId="1169"/>
    <cellStyle name="s117" xfId="117"/>
    <cellStyle name="s1170" xfId="1170"/>
    <cellStyle name="s1171" xfId="1171"/>
    <cellStyle name="s1172" xfId="1172"/>
    <cellStyle name="s1173" xfId="1173"/>
    <cellStyle name="s1174" xfId="1174"/>
    <cellStyle name="s1175" xfId="1175"/>
    <cellStyle name="s1176" xfId="1176"/>
    <cellStyle name="s1177" xfId="1177"/>
    <cellStyle name="s1178" xfId="1178"/>
    <cellStyle name="s1179" xfId="1179"/>
    <cellStyle name="s118" xfId="118"/>
    <cellStyle name="s1180" xfId="1180"/>
    <cellStyle name="s1181" xfId="1181"/>
    <cellStyle name="s1182" xfId="1182"/>
    <cellStyle name="s1183" xfId="1183"/>
    <cellStyle name="s1184" xfId="1184"/>
    <cellStyle name="s1185" xfId="1185"/>
    <cellStyle name="s1186" xfId="1186"/>
    <cellStyle name="s1187" xfId="1187"/>
    <cellStyle name="s1188" xfId="1188"/>
    <cellStyle name="s1189" xfId="1189"/>
    <cellStyle name="s119" xfId="119"/>
    <cellStyle name="s1190" xfId="1190"/>
    <cellStyle name="s1191" xfId="1191"/>
    <cellStyle name="s1192" xfId="1192"/>
    <cellStyle name="s1193" xfId="1193"/>
    <cellStyle name="s1194" xfId="1194"/>
    <cellStyle name="s1195" xfId="1195"/>
    <cellStyle name="s1196" xfId="1196"/>
    <cellStyle name="s1197" xfId="1197"/>
    <cellStyle name="s1198" xfId="1198"/>
    <cellStyle name="s1199" xfId="1199"/>
    <cellStyle name="s12" xfId="12"/>
    <cellStyle name="s120" xfId="120"/>
    <cellStyle name="s1200" xfId="1200"/>
    <cellStyle name="s1201" xfId="1201"/>
    <cellStyle name="s1202" xfId="1202"/>
    <cellStyle name="s1203" xfId="1203"/>
    <cellStyle name="s1204" xfId="1204"/>
    <cellStyle name="s1205" xfId="1205"/>
    <cellStyle name="s1206" xfId="1206"/>
    <cellStyle name="s1207" xfId="1207"/>
    <cellStyle name="s1208" xfId="1208"/>
    <cellStyle name="s1209" xfId="1209"/>
    <cellStyle name="s121" xfId="121"/>
    <cellStyle name="s1210" xfId="1210"/>
    <cellStyle name="s1211" xfId="1211"/>
    <cellStyle name="s1212" xfId="1212"/>
    <cellStyle name="s1213" xfId="1213"/>
    <cellStyle name="s1214" xfId="1214"/>
    <cellStyle name="s1215" xfId="1215"/>
    <cellStyle name="s1216" xfId="1216"/>
    <cellStyle name="s1217" xfId="1217"/>
    <cellStyle name="s1218" xfId="1218"/>
    <cellStyle name="s1219" xfId="1219"/>
    <cellStyle name="s122" xfId="122"/>
    <cellStyle name="s1220" xfId="1220"/>
    <cellStyle name="s1221" xfId="1221"/>
    <cellStyle name="s1222" xfId="1222"/>
    <cellStyle name="s1223" xfId="1223"/>
    <cellStyle name="s1224" xfId="1224"/>
    <cellStyle name="s1225" xfId="1225"/>
    <cellStyle name="s1226" xfId="1226"/>
    <cellStyle name="s1227" xfId="1227"/>
    <cellStyle name="s1228" xfId="1228"/>
    <cellStyle name="s1229" xfId="1229"/>
    <cellStyle name="s123" xfId="123"/>
    <cellStyle name="s1230" xfId="1230"/>
    <cellStyle name="s1231" xfId="1231"/>
    <cellStyle name="s1232" xfId="1232"/>
    <cellStyle name="s1233" xfId="1233"/>
    <cellStyle name="s1234" xfId="1234"/>
    <cellStyle name="s1235" xfId="1235"/>
    <cellStyle name="s1236" xfId="1236"/>
    <cellStyle name="s1237" xfId="1237"/>
    <cellStyle name="s1238" xfId="1238"/>
    <cellStyle name="s1239" xfId="1239"/>
    <cellStyle name="s124" xfId="124"/>
    <cellStyle name="s1240" xfId="1240"/>
    <cellStyle name="s1241" xfId="1241"/>
    <cellStyle name="s1242" xfId="1242"/>
    <cellStyle name="s1243" xfId="1243"/>
    <cellStyle name="s1244" xfId="1244"/>
    <cellStyle name="s1245" xfId="1245"/>
    <cellStyle name="s1246" xfId="1246"/>
    <cellStyle name="s1247" xfId="1247"/>
    <cellStyle name="s1248" xfId="1248"/>
    <cellStyle name="s1249" xfId="1249"/>
    <cellStyle name="s125" xfId="125"/>
    <cellStyle name="s126" xfId="126"/>
    <cellStyle name="s127" xfId="127"/>
    <cellStyle name="s128" xfId="128"/>
    <cellStyle name="s129" xfId="129"/>
    <cellStyle name="s13" xfId="13"/>
    <cellStyle name="s130" xfId="130"/>
    <cellStyle name="s131" xfId="131"/>
    <cellStyle name="s132" xfId="132"/>
    <cellStyle name="s133" xfId="133"/>
    <cellStyle name="s134" xfId="134"/>
    <cellStyle name="s135" xfId="135"/>
    <cellStyle name="s136" xfId="136"/>
    <cellStyle name="s137" xfId="137"/>
    <cellStyle name="s138" xfId="138"/>
    <cellStyle name="s139" xfId="139"/>
    <cellStyle name="s14" xfId="14"/>
    <cellStyle name="s140" xfId="140"/>
    <cellStyle name="s141" xfId="141"/>
    <cellStyle name="s142" xfId="142"/>
    <cellStyle name="s143" xfId="143"/>
    <cellStyle name="s144" xfId="144"/>
    <cellStyle name="s145" xfId="145"/>
    <cellStyle name="s146" xfId="146"/>
    <cellStyle name="s147" xfId="147"/>
    <cellStyle name="s148" xfId="148"/>
    <cellStyle name="s149" xfId="149"/>
    <cellStyle name="s15" xfId="15"/>
    <cellStyle name="s150" xfId="150"/>
    <cellStyle name="s151" xfId="151"/>
    <cellStyle name="s152" xfId="152"/>
    <cellStyle name="s153" xfId="153"/>
    <cellStyle name="s154" xfId="154"/>
    <cellStyle name="s155" xfId="155"/>
    <cellStyle name="s156" xfId="156"/>
    <cellStyle name="s157" xfId="157"/>
    <cellStyle name="s158" xfId="158"/>
    <cellStyle name="s159" xfId="159"/>
    <cellStyle name="s16" xfId="16"/>
    <cellStyle name="s160" xfId="160"/>
    <cellStyle name="s161" xfId="161"/>
    <cellStyle name="s162" xfId="162"/>
    <cellStyle name="s163" xfId="163"/>
    <cellStyle name="s164" xfId="164"/>
    <cellStyle name="s165" xfId="165"/>
    <cellStyle name="s166" xfId="166"/>
    <cellStyle name="s167" xfId="167"/>
    <cellStyle name="s168" xfId="168"/>
    <cellStyle name="s169" xfId="169"/>
    <cellStyle name="s17" xfId="17"/>
    <cellStyle name="s170" xfId="170"/>
    <cellStyle name="s171" xfId="171"/>
    <cellStyle name="s172" xfId="172"/>
    <cellStyle name="s173" xfId="173"/>
    <cellStyle name="s174" xfId="174"/>
    <cellStyle name="s175" xfId="175"/>
    <cellStyle name="s176" xfId="176"/>
    <cellStyle name="s177" xfId="177"/>
    <cellStyle name="s178" xfId="178"/>
    <cellStyle name="s179" xfId="179"/>
    <cellStyle name="s18" xfId="18"/>
    <cellStyle name="s180" xfId="180"/>
    <cellStyle name="s181" xfId="181"/>
    <cellStyle name="s182" xfId="182"/>
    <cellStyle name="s183" xfId="183"/>
    <cellStyle name="s184" xfId="184"/>
    <cellStyle name="s185" xfId="185"/>
    <cellStyle name="s186" xfId="186"/>
    <cellStyle name="s187" xfId="187"/>
    <cellStyle name="s188" xfId="188"/>
    <cellStyle name="s189" xfId="189"/>
    <cellStyle name="s19" xfId="19"/>
    <cellStyle name="s190" xfId="190"/>
    <cellStyle name="s191" xfId="191"/>
    <cellStyle name="s192" xfId="192"/>
    <cellStyle name="s193" xfId="193"/>
    <cellStyle name="s194" xfId="194"/>
    <cellStyle name="s195" xfId="195"/>
    <cellStyle name="s196" xfId="196"/>
    <cellStyle name="s197" xfId="197"/>
    <cellStyle name="s198" xfId="198"/>
    <cellStyle name="s199" xfId="199"/>
    <cellStyle name="s2" xfId="2"/>
    <cellStyle name="s20" xfId="20"/>
    <cellStyle name="s200" xfId="200"/>
    <cellStyle name="s201" xfId="201"/>
    <cellStyle name="s202" xfId="202"/>
    <cellStyle name="s203" xfId="203"/>
    <cellStyle name="s204" xfId="204"/>
    <cellStyle name="s205" xfId="205"/>
    <cellStyle name="s206" xfId="206"/>
    <cellStyle name="s207" xfId="207"/>
    <cellStyle name="s208" xfId="208"/>
    <cellStyle name="s209" xfId="209"/>
    <cellStyle name="s21" xfId="21"/>
    <cellStyle name="s210" xfId="210"/>
    <cellStyle name="s211" xfId="211"/>
    <cellStyle name="s212" xfId="212"/>
    <cellStyle name="s213" xfId="213"/>
    <cellStyle name="s214" xfId="214"/>
    <cellStyle name="s215" xfId="215"/>
    <cellStyle name="s216" xfId="216"/>
    <cellStyle name="s217" xfId="217"/>
    <cellStyle name="s218" xfId="218"/>
    <cellStyle name="s219" xfId="219"/>
    <cellStyle name="s22" xfId="22"/>
    <cellStyle name="s220" xfId="220"/>
    <cellStyle name="s221" xfId="221"/>
    <cellStyle name="s222" xfId="222"/>
    <cellStyle name="s223" xfId="223"/>
    <cellStyle name="s224" xfId="224"/>
    <cellStyle name="s225" xfId="225"/>
    <cellStyle name="s226" xfId="226"/>
    <cellStyle name="s227" xfId="227"/>
    <cellStyle name="s228" xfId="228"/>
    <cellStyle name="s229" xfId="229"/>
    <cellStyle name="s23" xfId="23"/>
    <cellStyle name="s230" xfId="230"/>
    <cellStyle name="s231" xfId="231"/>
    <cellStyle name="s232" xfId="232"/>
    <cellStyle name="s233" xfId="233"/>
    <cellStyle name="s234" xfId="234"/>
    <cellStyle name="s235" xfId="235"/>
    <cellStyle name="s236" xfId="236"/>
    <cellStyle name="s237" xfId="237"/>
    <cellStyle name="s238" xfId="238"/>
    <cellStyle name="s239" xfId="239"/>
    <cellStyle name="s24" xfId="24"/>
    <cellStyle name="s240" xfId="240"/>
    <cellStyle name="s241" xfId="241"/>
    <cellStyle name="s242" xfId="242"/>
    <cellStyle name="s243" xfId="243"/>
    <cellStyle name="s244" xfId="244"/>
    <cellStyle name="s245" xfId="245"/>
    <cellStyle name="s246" xfId="246"/>
    <cellStyle name="s247" xfId="247"/>
    <cellStyle name="s248" xfId="248"/>
    <cellStyle name="s249" xfId="249"/>
    <cellStyle name="s25" xfId="25"/>
    <cellStyle name="s250" xfId="250"/>
    <cellStyle name="s251" xfId="251"/>
    <cellStyle name="s252" xfId="252"/>
    <cellStyle name="s253" xfId="253"/>
    <cellStyle name="s254" xfId="254"/>
    <cellStyle name="s255" xfId="255"/>
    <cellStyle name="s256" xfId="256"/>
    <cellStyle name="s257" xfId="257"/>
    <cellStyle name="s258" xfId="258"/>
    <cellStyle name="s259" xfId="259"/>
    <cellStyle name="s26" xfId="26"/>
    <cellStyle name="s260" xfId="260"/>
    <cellStyle name="s261" xfId="261"/>
    <cellStyle name="s262" xfId="262"/>
    <cellStyle name="s263" xfId="263"/>
    <cellStyle name="s264" xfId="264"/>
    <cellStyle name="s265" xfId="265"/>
    <cellStyle name="s266" xfId="266"/>
    <cellStyle name="s267" xfId="267"/>
    <cellStyle name="s268" xfId="268"/>
    <cellStyle name="s269" xfId="269"/>
    <cellStyle name="s27" xfId="27"/>
    <cellStyle name="s270" xfId="270"/>
    <cellStyle name="s271" xfId="271"/>
    <cellStyle name="s272" xfId="272"/>
    <cellStyle name="s273" xfId="273"/>
    <cellStyle name="s274" xfId="274"/>
    <cellStyle name="s275" xfId="275"/>
    <cellStyle name="s276" xfId="276"/>
    <cellStyle name="s277" xfId="277"/>
    <cellStyle name="s278" xfId="278"/>
    <cellStyle name="s279" xfId="279"/>
    <cellStyle name="s28" xfId="28"/>
    <cellStyle name="s280" xfId="280"/>
    <cellStyle name="s281" xfId="281"/>
    <cellStyle name="s282" xfId="282"/>
    <cellStyle name="s283" xfId="283"/>
    <cellStyle name="s284" xfId="284"/>
    <cellStyle name="s285" xfId="285"/>
    <cellStyle name="s286" xfId="286"/>
    <cellStyle name="s287" xfId="287"/>
    <cellStyle name="s288" xfId="288"/>
    <cellStyle name="s289" xfId="289"/>
    <cellStyle name="s29" xfId="29"/>
    <cellStyle name="s290" xfId="290"/>
    <cellStyle name="s291" xfId="291"/>
    <cellStyle name="s292" xfId="292"/>
    <cellStyle name="s293" xfId="293"/>
    <cellStyle name="s294" xfId="294"/>
    <cellStyle name="s295" xfId="295"/>
    <cellStyle name="s296" xfId="296"/>
    <cellStyle name="s297" xfId="297"/>
    <cellStyle name="s298" xfId="298"/>
    <cellStyle name="s299" xfId="299"/>
    <cellStyle name="s3" xfId="3"/>
    <cellStyle name="s30" xfId="30"/>
    <cellStyle name="s300" xfId="300"/>
    <cellStyle name="s301" xfId="301"/>
    <cellStyle name="s302" xfId="302"/>
    <cellStyle name="s303" xfId="303"/>
    <cellStyle name="s304" xfId="304"/>
    <cellStyle name="s305" xfId="305"/>
    <cellStyle name="s306" xfId="306"/>
    <cellStyle name="s307" xfId="307"/>
    <cellStyle name="s308" xfId="308"/>
    <cellStyle name="s309" xfId="309"/>
    <cellStyle name="s31" xfId="31"/>
    <cellStyle name="s310" xfId="310"/>
    <cellStyle name="s311" xfId="311"/>
    <cellStyle name="s312" xfId="312"/>
    <cellStyle name="s313" xfId="313"/>
    <cellStyle name="s314" xfId="314"/>
    <cellStyle name="s315" xfId="315"/>
    <cellStyle name="s316" xfId="316"/>
    <cellStyle name="s317" xfId="317"/>
    <cellStyle name="s318" xfId="318"/>
    <cellStyle name="s319" xfId="319"/>
    <cellStyle name="s32" xfId="32"/>
    <cellStyle name="s320" xfId="320"/>
    <cellStyle name="s321" xfId="321"/>
    <cellStyle name="s322" xfId="322"/>
    <cellStyle name="s323" xfId="323"/>
    <cellStyle name="s324" xfId="324"/>
    <cellStyle name="s325" xfId="325"/>
    <cellStyle name="s326" xfId="326"/>
    <cellStyle name="s327" xfId="327"/>
    <cellStyle name="s328" xfId="328"/>
    <cellStyle name="s329" xfId="329"/>
    <cellStyle name="s33" xfId="33"/>
    <cellStyle name="s330" xfId="330"/>
    <cellStyle name="s331" xfId="331"/>
    <cellStyle name="s332" xfId="332"/>
    <cellStyle name="s333" xfId="333"/>
    <cellStyle name="s334" xfId="334"/>
    <cellStyle name="s335" xfId="335"/>
    <cellStyle name="s336" xfId="336"/>
    <cellStyle name="s337" xfId="337"/>
    <cellStyle name="s338" xfId="338"/>
    <cellStyle name="s339" xfId="339"/>
    <cellStyle name="s34" xfId="34"/>
    <cellStyle name="s340" xfId="340"/>
    <cellStyle name="s341" xfId="341"/>
    <cellStyle name="s342" xfId="342"/>
    <cellStyle name="s343" xfId="343"/>
    <cellStyle name="s344" xfId="344"/>
    <cellStyle name="s345" xfId="345"/>
    <cellStyle name="s346" xfId="346"/>
    <cellStyle name="s347" xfId="347"/>
    <cellStyle name="s348" xfId="348"/>
    <cellStyle name="s349" xfId="349"/>
    <cellStyle name="s35" xfId="35"/>
    <cellStyle name="s350" xfId="350"/>
    <cellStyle name="s351" xfId="351"/>
    <cellStyle name="s352" xfId="352"/>
    <cellStyle name="s353" xfId="353"/>
    <cellStyle name="s354" xfId="354"/>
    <cellStyle name="s355" xfId="355"/>
    <cellStyle name="s356" xfId="356"/>
    <cellStyle name="s357" xfId="357"/>
    <cellStyle name="s358" xfId="358"/>
    <cellStyle name="s359" xfId="359"/>
    <cellStyle name="s36" xfId="36"/>
    <cellStyle name="s360" xfId="360"/>
    <cellStyle name="s361" xfId="361"/>
    <cellStyle name="s362" xfId="362"/>
    <cellStyle name="s363" xfId="363"/>
    <cellStyle name="s364" xfId="364"/>
    <cellStyle name="s365" xfId="365"/>
    <cellStyle name="s366" xfId="366"/>
    <cellStyle name="s367" xfId="367"/>
    <cellStyle name="s368" xfId="368"/>
    <cellStyle name="s369" xfId="369"/>
    <cellStyle name="s37" xfId="37"/>
    <cellStyle name="s370" xfId="370"/>
    <cellStyle name="s371" xfId="371"/>
    <cellStyle name="s372" xfId="372"/>
    <cellStyle name="s373" xfId="373"/>
    <cellStyle name="s374" xfId="374"/>
    <cellStyle name="s375" xfId="375"/>
    <cellStyle name="s376" xfId="376"/>
    <cellStyle name="s377" xfId="377"/>
    <cellStyle name="s378" xfId="378"/>
    <cellStyle name="s379" xfId="379"/>
    <cellStyle name="s38" xfId="38"/>
    <cellStyle name="s380" xfId="380"/>
    <cellStyle name="s381" xfId="381"/>
    <cellStyle name="s382" xfId="382"/>
    <cellStyle name="s383" xfId="383"/>
    <cellStyle name="s384" xfId="384"/>
    <cellStyle name="s385" xfId="385"/>
    <cellStyle name="s386" xfId="386"/>
    <cellStyle name="s387" xfId="387"/>
    <cellStyle name="s388" xfId="388"/>
    <cellStyle name="s389" xfId="389"/>
    <cellStyle name="s39" xfId="39"/>
    <cellStyle name="s390" xfId="390"/>
    <cellStyle name="s391" xfId="391"/>
    <cellStyle name="s392" xfId="392"/>
    <cellStyle name="s393" xfId="393"/>
    <cellStyle name="s394" xfId="394"/>
    <cellStyle name="s395" xfId="395"/>
    <cellStyle name="s396" xfId="396"/>
    <cellStyle name="s397" xfId="397"/>
    <cellStyle name="s398" xfId="398"/>
    <cellStyle name="s399" xfId="399"/>
    <cellStyle name="s4" xfId="4"/>
    <cellStyle name="s40" xfId="40"/>
    <cellStyle name="s400" xfId="400"/>
    <cellStyle name="s401" xfId="401"/>
    <cellStyle name="s402" xfId="402"/>
    <cellStyle name="s403" xfId="403"/>
    <cellStyle name="s404" xfId="404"/>
    <cellStyle name="s405" xfId="405"/>
    <cellStyle name="s406" xfId="406"/>
    <cellStyle name="s407" xfId="407"/>
    <cellStyle name="s408" xfId="408"/>
    <cellStyle name="s409" xfId="409"/>
    <cellStyle name="s41" xfId="41"/>
    <cellStyle name="s410" xfId="410"/>
    <cellStyle name="s411" xfId="411"/>
    <cellStyle name="s412" xfId="412"/>
    <cellStyle name="s413" xfId="413"/>
    <cellStyle name="s414" xfId="414"/>
    <cellStyle name="s415" xfId="415"/>
    <cellStyle name="s416" xfId="416"/>
    <cellStyle name="s417" xfId="417"/>
    <cellStyle name="s418" xfId="418"/>
    <cellStyle name="s419" xfId="419"/>
    <cellStyle name="s42" xfId="42"/>
    <cellStyle name="s420" xfId="420"/>
    <cellStyle name="s421" xfId="421"/>
    <cellStyle name="s422" xfId="422"/>
    <cellStyle name="s423" xfId="423"/>
    <cellStyle name="s424" xfId="424"/>
    <cellStyle name="s425" xfId="425"/>
    <cellStyle name="s426" xfId="426"/>
    <cellStyle name="s427" xfId="427"/>
    <cellStyle name="s428" xfId="428"/>
    <cellStyle name="s429" xfId="429"/>
    <cellStyle name="s43" xfId="43"/>
    <cellStyle name="s430" xfId="430"/>
    <cellStyle name="s431" xfId="431"/>
    <cellStyle name="s432" xfId="432"/>
    <cellStyle name="s433" xfId="433"/>
    <cellStyle name="s434" xfId="434"/>
    <cellStyle name="s435" xfId="435"/>
    <cellStyle name="s436" xfId="436"/>
    <cellStyle name="s437" xfId="437"/>
    <cellStyle name="s438" xfId="438"/>
    <cellStyle name="s439" xfId="439"/>
    <cellStyle name="s44" xfId="44"/>
    <cellStyle name="s440" xfId="440"/>
    <cellStyle name="s441" xfId="441"/>
    <cellStyle name="s442" xfId="442"/>
    <cellStyle name="s443" xfId="443"/>
    <cellStyle name="s444" xfId="444"/>
    <cellStyle name="s445" xfId="445"/>
    <cellStyle name="s446" xfId="446"/>
    <cellStyle name="s447" xfId="447"/>
    <cellStyle name="s448" xfId="448"/>
    <cellStyle name="s449" xfId="449"/>
    <cellStyle name="s45" xfId="45"/>
    <cellStyle name="s450" xfId="450"/>
    <cellStyle name="s451" xfId="451"/>
    <cellStyle name="s452" xfId="452"/>
    <cellStyle name="s453" xfId="453"/>
    <cellStyle name="s454" xfId="454"/>
    <cellStyle name="s455" xfId="455"/>
    <cellStyle name="s456" xfId="456"/>
    <cellStyle name="s457" xfId="457"/>
    <cellStyle name="s458" xfId="458"/>
    <cellStyle name="s459" xfId="459"/>
    <cellStyle name="s46" xfId="46"/>
    <cellStyle name="s460" xfId="460"/>
    <cellStyle name="s461" xfId="461"/>
    <cellStyle name="s462" xfId="462"/>
    <cellStyle name="s463" xfId="463"/>
    <cellStyle name="s464" xfId="464"/>
    <cellStyle name="s465" xfId="465"/>
    <cellStyle name="s466" xfId="466"/>
    <cellStyle name="s467" xfId="467"/>
    <cellStyle name="s468" xfId="468"/>
    <cellStyle name="s469" xfId="469"/>
    <cellStyle name="s47" xfId="47"/>
    <cellStyle name="s470" xfId="470"/>
    <cellStyle name="s471" xfId="471"/>
    <cellStyle name="s472" xfId="472"/>
    <cellStyle name="s473" xfId="473"/>
    <cellStyle name="s474" xfId="474"/>
    <cellStyle name="s475" xfId="475"/>
    <cellStyle name="s476" xfId="476"/>
    <cellStyle name="s477" xfId="477"/>
    <cellStyle name="s478" xfId="478"/>
    <cellStyle name="s479" xfId="479"/>
    <cellStyle name="s48" xfId="48"/>
    <cellStyle name="s480" xfId="480"/>
    <cellStyle name="s481" xfId="481"/>
    <cellStyle name="s482" xfId="482"/>
    <cellStyle name="s483" xfId="483"/>
    <cellStyle name="s484" xfId="484"/>
    <cellStyle name="s485" xfId="485"/>
    <cellStyle name="s486" xfId="486"/>
    <cellStyle name="s487" xfId="487"/>
    <cellStyle name="s488" xfId="488"/>
    <cellStyle name="s489" xfId="489"/>
    <cellStyle name="s49" xfId="49"/>
    <cellStyle name="s490" xfId="490"/>
    <cellStyle name="s491" xfId="491"/>
    <cellStyle name="s492" xfId="492"/>
    <cellStyle name="s493" xfId="493"/>
    <cellStyle name="s494" xfId="494"/>
    <cellStyle name="s495" xfId="495"/>
    <cellStyle name="s496" xfId="496"/>
    <cellStyle name="s497" xfId="497"/>
    <cellStyle name="s498" xfId="498"/>
    <cellStyle name="s499" xfId="499"/>
    <cellStyle name="s5" xfId="5"/>
    <cellStyle name="s50" xfId="50"/>
    <cellStyle name="s500" xfId="500"/>
    <cellStyle name="s501" xfId="501"/>
    <cellStyle name="s502" xfId="502"/>
    <cellStyle name="s503" xfId="503"/>
    <cellStyle name="s504" xfId="504"/>
    <cellStyle name="s505" xfId="505"/>
    <cellStyle name="s506" xfId="506"/>
    <cellStyle name="s507" xfId="507"/>
    <cellStyle name="s508" xfId="508"/>
    <cellStyle name="s509" xfId="509"/>
    <cellStyle name="s51" xfId="51"/>
    <cellStyle name="s510" xfId="510"/>
    <cellStyle name="s511" xfId="511"/>
    <cellStyle name="s512" xfId="512"/>
    <cellStyle name="s513" xfId="513"/>
    <cellStyle name="s514" xfId="514"/>
    <cellStyle name="s515" xfId="515"/>
    <cellStyle name="s516" xfId="516"/>
    <cellStyle name="s517" xfId="517"/>
    <cellStyle name="s518" xfId="518"/>
    <cellStyle name="s519" xfId="519"/>
    <cellStyle name="s52" xfId="52"/>
    <cellStyle name="s520" xfId="520"/>
    <cellStyle name="s521" xfId="521"/>
    <cellStyle name="s522" xfId="522"/>
    <cellStyle name="s523" xfId="523"/>
    <cellStyle name="s524" xfId="524"/>
    <cellStyle name="s525" xfId="525"/>
    <cellStyle name="s526" xfId="526"/>
    <cellStyle name="s527" xfId="527"/>
    <cellStyle name="s528" xfId="528"/>
    <cellStyle name="s529" xfId="529"/>
    <cellStyle name="s53" xfId="53"/>
    <cellStyle name="s530" xfId="530"/>
    <cellStyle name="s531" xfId="531"/>
    <cellStyle name="s532" xfId="532"/>
    <cellStyle name="s533" xfId="533"/>
    <cellStyle name="s534" xfId="534"/>
    <cellStyle name="s535" xfId="535"/>
    <cellStyle name="s536" xfId="536"/>
    <cellStyle name="s537" xfId="537"/>
    <cellStyle name="s538" xfId="538"/>
    <cellStyle name="s539" xfId="539"/>
    <cellStyle name="s54" xfId="54"/>
    <cellStyle name="s540" xfId="540"/>
    <cellStyle name="s541" xfId="541"/>
    <cellStyle name="s542" xfId="542"/>
    <cellStyle name="s543" xfId="543"/>
    <cellStyle name="s544" xfId="544"/>
    <cellStyle name="s545" xfId="545"/>
    <cellStyle name="s546" xfId="546"/>
    <cellStyle name="s547" xfId="547"/>
    <cellStyle name="s548" xfId="548"/>
    <cellStyle name="s549" xfId="549"/>
    <cellStyle name="s55" xfId="55"/>
    <cellStyle name="s550" xfId="550"/>
    <cellStyle name="s551" xfId="551"/>
    <cellStyle name="s552" xfId="552"/>
    <cellStyle name="s553" xfId="553"/>
    <cellStyle name="s554" xfId="554"/>
    <cellStyle name="s555" xfId="555"/>
    <cellStyle name="s556" xfId="556"/>
    <cellStyle name="s557" xfId="557"/>
    <cellStyle name="s558" xfId="558"/>
    <cellStyle name="s559" xfId="559"/>
    <cellStyle name="s56" xfId="56"/>
    <cellStyle name="s560" xfId="560"/>
    <cellStyle name="s561" xfId="561"/>
    <cellStyle name="s562" xfId="562"/>
    <cellStyle name="s563" xfId="563"/>
    <cellStyle name="s564" xfId="564"/>
    <cellStyle name="s565" xfId="565"/>
    <cellStyle name="s566" xfId="566"/>
    <cellStyle name="s567" xfId="567"/>
    <cellStyle name="s568" xfId="568"/>
    <cellStyle name="s569" xfId="569"/>
    <cellStyle name="s57" xfId="57"/>
    <cellStyle name="s570" xfId="570"/>
    <cellStyle name="s571" xfId="571"/>
    <cellStyle name="s572" xfId="572"/>
    <cellStyle name="s573" xfId="573"/>
    <cellStyle name="s574" xfId="574"/>
    <cellStyle name="s575" xfId="575"/>
    <cellStyle name="s576" xfId="576"/>
    <cellStyle name="s577" xfId="577"/>
    <cellStyle name="s578" xfId="578"/>
    <cellStyle name="s579" xfId="579"/>
    <cellStyle name="s58" xfId="58"/>
    <cellStyle name="s580" xfId="580"/>
    <cellStyle name="s581" xfId="581"/>
    <cellStyle name="s582" xfId="582"/>
    <cellStyle name="s583" xfId="583"/>
    <cellStyle name="s584" xfId="584"/>
    <cellStyle name="s585" xfId="585"/>
    <cellStyle name="s586" xfId="586"/>
    <cellStyle name="s587" xfId="587"/>
    <cellStyle name="s588" xfId="588"/>
    <cellStyle name="s589" xfId="589"/>
    <cellStyle name="s59" xfId="59"/>
    <cellStyle name="s590" xfId="590"/>
    <cellStyle name="s591" xfId="591"/>
    <cellStyle name="s592" xfId="592"/>
    <cellStyle name="s593" xfId="593"/>
    <cellStyle name="s594" xfId="594"/>
    <cellStyle name="s595" xfId="595"/>
    <cellStyle name="s596" xfId="596"/>
    <cellStyle name="s597" xfId="597"/>
    <cellStyle name="s598" xfId="598"/>
    <cellStyle name="s599" xfId="599"/>
    <cellStyle name="s6" xfId="6"/>
    <cellStyle name="s60" xfId="60"/>
    <cellStyle name="s600" xfId="600"/>
    <cellStyle name="s601" xfId="601"/>
    <cellStyle name="s602" xfId="602"/>
    <cellStyle name="s603" xfId="603"/>
    <cellStyle name="s604" xfId="604"/>
    <cellStyle name="s605" xfId="605"/>
    <cellStyle name="s606" xfId="606"/>
    <cellStyle name="s607" xfId="607"/>
    <cellStyle name="s608" xfId="608"/>
    <cellStyle name="s609" xfId="609"/>
    <cellStyle name="s61" xfId="61"/>
    <cellStyle name="s610" xfId="610"/>
    <cellStyle name="s611" xfId="611"/>
    <cellStyle name="s612" xfId="612"/>
    <cellStyle name="s613" xfId="613"/>
    <cellStyle name="s614" xfId="614"/>
    <cellStyle name="s615" xfId="615"/>
    <cellStyle name="s616" xfId="616"/>
    <cellStyle name="s617" xfId="617"/>
    <cellStyle name="s618" xfId="618"/>
    <cellStyle name="s619" xfId="619"/>
    <cellStyle name="s62" xfId="62"/>
    <cellStyle name="s620" xfId="620"/>
    <cellStyle name="s621" xfId="621"/>
    <cellStyle name="s622" xfId="622"/>
    <cellStyle name="s623" xfId="623"/>
    <cellStyle name="s624" xfId="624"/>
    <cellStyle name="s625" xfId="625"/>
    <cellStyle name="s626" xfId="626"/>
    <cellStyle name="s627" xfId="627"/>
    <cellStyle name="s628" xfId="628"/>
    <cellStyle name="s629" xfId="629"/>
    <cellStyle name="s63" xfId="63"/>
    <cellStyle name="s630" xfId="630"/>
    <cellStyle name="s631" xfId="631"/>
    <cellStyle name="s632" xfId="632"/>
    <cellStyle name="s633" xfId="633"/>
    <cellStyle name="s634" xfId="634"/>
    <cellStyle name="s635" xfId="635"/>
    <cellStyle name="s636" xfId="636"/>
    <cellStyle name="s637" xfId="637"/>
    <cellStyle name="s638" xfId="638"/>
    <cellStyle name="s639" xfId="639"/>
    <cellStyle name="s64" xfId="64"/>
    <cellStyle name="s640" xfId="640"/>
    <cellStyle name="s641" xfId="641"/>
    <cellStyle name="s642" xfId="642"/>
    <cellStyle name="s643" xfId="643"/>
    <cellStyle name="s644" xfId="644"/>
    <cellStyle name="s645" xfId="645"/>
    <cellStyle name="s646" xfId="646"/>
    <cellStyle name="s647" xfId="647"/>
    <cellStyle name="s648" xfId="648"/>
    <cellStyle name="s649" xfId="649"/>
    <cellStyle name="s65" xfId="65"/>
    <cellStyle name="s650" xfId="650"/>
    <cellStyle name="s651" xfId="651"/>
    <cellStyle name="s652" xfId="652"/>
    <cellStyle name="s653" xfId="653"/>
    <cellStyle name="s654" xfId="654"/>
    <cellStyle name="s655" xfId="655"/>
    <cellStyle name="s656" xfId="656"/>
    <cellStyle name="s657" xfId="657"/>
    <cellStyle name="s658" xfId="658"/>
    <cellStyle name="s659" xfId="659"/>
    <cellStyle name="s66" xfId="66"/>
    <cellStyle name="s660" xfId="660"/>
    <cellStyle name="s661" xfId="661"/>
    <cellStyle name="s662" xfId="662"/>
    <cellStyle name="s663" xfId="663"/>
    <cellStyle name="s664" xfId="664"/>
    <cellStyle name="s665" xfId="665"/>
    <cellStyle name="s666" xfId="666"/>
    <cellStyle name="s667" xfId="667"/>
    <cellStyle name="s668" xfId="668"/>
    <cellStyle name="s669" xfId="669"/>
    <cellStyle name="s67" xfId="67"/>
    <cellStyle name="s670" xfId="670"/>
    <cellStyle name="s671" xfId="671"/>
    <cellStyle name="s672" xfId="672"/>
    <cellStyle name="s673" xfId="673"/>
    <cellStyle name="s674" xfId="674"/>
    <cellStyle name="s675" xfId="675"/>
    <cellStyle name="s676" xfId="676"/>
    <cellStyle name="s677" xfId="677"/>
    <cellStyle name="s678" xfId="678"/>
    <cellStyle name="s679" xfId="679"/>
    <cellStyle name="s68" xfId="68"/>
    <cellStyle name="s680" xfId="680"/>
    <cellStyle name="s681" xfId="681"/>
    <cellStyle name="s682" xfId="682"/>
    <cellStyle name="s683" xfId="683"/>
    <cellStyle name="s684" xfId="684"/>
    <cellStyle name="s685" xfId="685"/>
    <cellStyle name="s686" xfId="686"/>
    <cellStyle name="s687" xfId="687"/>
    <cellStyle name="s688" xfId="688"/>
    <cellStyle name="s689" xfId="689"/>
    <cellStyle name="s69" xfId="69"/>
    <cellStyle name="s690" xfId="690"/>
    <cellStyle name="s691" xfId="691"/>
    <cellStyle name="s692" xfId="692"/>
    <cellStyle name="s693" xfId="693"/>
    <cellStyle name="s694" xfId="694"/>
    <cellStyle name="s695" xfId="695"/>
    <cellStyle name="s696" xfId="696"/>
    <cellStyle name="s697" xfId="697"/>
    <cellStyle name="s698" xfId="698"/>
    <cellStyle name="s699" xfId="699"/>
    <cellStyle name="s7" xfId="7"/>
    <cellStyle name="s70" xfId="70"/>
    <cellStyle name="s700" xfId="700"/>
    <cellStyle name="s701" xfId="701"/>
    <cellStyle name="s702" xfId="702"/>
    <cellStyle name="s703" xfId="703"/>
    <cellStyle name="s704" xfId="704"/>
    <cellStyle name="s705" xfId="705"/>
    <cellStyle name="s706" xfId="706"/>
    <cellStyle name="s707" xfId="707"/>
    <cellStyle name="s708" xfId="708"/>
    <cellStyle name="s709" xfId="709"/>
    <cellStyle name="s71" xfId="71"/>
    <cellStyle name="s710" xfId="710"/>
    <cellStyle name="s711" xfId="711"/>
    <cellStyle name="s712" xfId="712"/>
    <cellStyle name="s713" xfId="713"/>
    <cellStyle name="s714" xfId="714"/>
    <cellStyle name="s715" xfId="715"/>
    <cellStyle name="s716" xfId="716"/>
    <cellStyle name="s717" xfId="717"/>
    <cellStyle name="s718" xfId="718"/>
    <cellStyle name="s719" xfId="719"/>
    <cellStyle name="s72" xfId="72"/>
    <cellStyle name="s720" xfId="720"/>
    <cellStyle name="s721" xfId="721"/>
    <cellStyle name="s722" xfId="722"/>
    <cellStyle name="s723" xfId="723"/>
    <cellStyle name="s724" xfId="724"/>
    <cellStyle name="s725" xfId="725"/>
    <cellStyle name="s726" xfId="726"/>
    <cellStyle name="s727" xfId="727"/>
    <cellStyle name="s728" xfId="728"/>
    <cellStyle name="s729" xfId="729"/>
    <cellStyle name="s73" xfId="73"/>
    <cellStyle name="s730" xfId="730"/>
    <cellStyle name="s731" xfId="731"/>
    <cellStyle name="s732" xfId="732"/>
    <cellStyle name="s733" xfId="733"/>
    <cellStyle name="s734" xfId="734"/>
    <cellStyle name="s735" xfId="735"/>
    <cellStyle name="s736" xfId="736"/>
    <cellStyle name="s737" xfId="737"/>
    <cellStyle name="s738" xfId="738"/>
    <cellStyle name="s739" xfId="739"/>
    <cellStyle name="s74" xfId="74"/>
    <cellStyle name="s740" xfId="740"/>
    <cellStyle name="s741" xfId="741"/>
    <cellStyle name="s742" xfId="742"/>
    <cellStyle name="s743" xfId="743"/>
    <cellStyle name="s744" xfId="744"/>
    <cellStyle name="s745" xfId="745"/>
    <cellStyle name="s746" xfId="746"/>
    <cellStyle name="s747" xfId="747"/>
    <cellStyle name="s748" xfId="748"/>
    <cellStyle name="s749" xfId="749"/>
    <cellStyle name="s75" xfId="75"/>
    <cellStyle name="s750" xfId="750"/>
    <cellStyle name="s751" xfId="751"/>
    <cellStyle name="s752" xfId="752"/>
    <cellStyle name="s753" xfId="753"/>
    <cellStyle name="s754" xfId="754"/>
    <cellStyle name="s755" xfId="755"/>
    <cellStyle name="s756" xfId="756"/>
    <cellStyle name="s757" xfId="757"/>
    <cellStyle name="s758" xfId="758"/>
    <cellStyle name="s759" xfId="759"/>
    <cellStyle name="s76" xfId="76"/>
    <cellStyle name="s760" xfId="760"/>
    <cellStyle name="s761" xfId="761"/>
    <cellStyle name="s762" xfId="762"/>
    <cellStyle name="s763" xfId="763"/>
    <cellStyle name="s764" xfId="764"/>
    <cellStyle name="s765" xfId="765"/>
    <cellStyle name="s766" xfId="766"/>
    <cellStyle name="s767" xfId="767"/>
    <cellStyle name="s768" xfId="768"/>
    <cellStyle name="s769" xfId="769"/>
    <cellStyle name="s77" xfId="77"/>
    <cellStyle name="s770" xfId="770"/>
    <cellStyle name="s771" xfId="771"/>
    <cellStyle name="s772" xfId="772"/>
    <cellStyle name="s773" xfId="773"/>
    <cellStyle name="s774" xfId="774"/>
    <cellStyle name="s775" xfId="775"/>
    <cellStyle name="s776" xfId="776"/>
    <cellStyle name="s777" xfId="777"/>
    <cellStyle name="s778" xfId="778"/>
    <cellStyle name="s779" xfId="779"/>
    <cellStyle name="s78" xfId="78"/>
    <cellStyle name="s780" xfId="780"/>
    <cellStyle name="s781" xfId="781"/>
    <cellStyle name="s782" xfId="782"/>
    <cellStyle name="s783" xfId="783"/>
    <cellStyle name="s784" xfId="784"/>
    <cellStyle name="s785" xfId="785"/>
    <cellStyle name="s786" xfId="786"/>
    <cellStyle name="s787" xfId="787"/>
    <cellStyle name="s788" xfId="788"/>
    <cellStyle name="s789" xfId="789"/>
    <cellStyle name="s79" xfId="79"/>
    <cellStyle name="s790" xfId="790"/>
    <cellStyle name="s791" xfId="791"/>
    <cellStyle name="s792" xfId="792"/>
    <cellStyle name="s793" xfId="793"/>
    <cellStyle name="s794" xfId="794"/>
    <cellStyle name="s795" xfId="795"/>
    <cellStyle name="s796" xfId="796"/>
    <cellStyle name="s797" xfId="797"/>
    <cellStyle name="s798" xfId="798"/>
    <cellStyle name="s799" xfId="799"/>
    <cellStyle name="s8" xfId="8"/>
    <cellStyle name="s80" xfId="80"/>
    <cellStyle name="s800" xfId="800"/>
    <cellStyle name="s801" xfId="801"/>
    <cellStyle name="s802" xfId="802"/>
    <cellStyle name="s803" xfId="803"/>
    <cellStyle name="s804" xfId="804"/>
    <cellStyle name="s805" xfId="805"/>
    <cellStyle name="s806" xfId="806"/>
    <cellStyle name="s807" xfId="807"/>
    <cellStyle name="s808" xfId="808"/>
    <cellStyle name="s809" xfId="809"/>
    <cellStyle name="s81" xfId="81"/>
    <cellStyle name="s810" xfId="810"/>
    <cellStyle name="s811" xfId="811"/>
    <cellStyle name="s812" xfId="812"/>
    <cellStyle name="s813" xfId="813"/>
    <cellStyle name="s814" xfId="814"/>
    <cellStyle name="s815" xfId="815"/>
    <cellStyle name="s816" xfId="816"/>
    <cellStyle name="s817" xfId="817"/>
    <cellStyle name="s818" xfId="818"/>
    <cellStyle name="s819" xfId="819"/>
    <cellStyle name="s82" xfId="82"/>
    <cellStyle name="s820" xfId="820"/>
    <cellStyle name="s821" xfId="821"/>
    <cellStyle name="s822" xfId="822"/>
    <cellStyle name="s823" xfId="823"/>
    <cellStyle name="s824" xfId="824"/>
    <cellStyle name="s825" xfId="825"/>
    <cellStyle name="s826" xfId="826"/>
    <cellStyle name="s827" xfId="827"/>
    <cellStyle name="s828" xfId="828"/>
    <cellStyle name="s829" xfId="829"/>
    <cellStyle name="s83" xfId="83"/>
    <cellStyle name="s830" xfId="830"/>
    <cellStyle name="s831" xfId="831"/>
    <cellStyle name="s832" xfId="832"/>
    <cellStyle name="s833" xfId="833"/>
    <cellStyle name="s834" xfId="834"/>
    <cellStyle name="s835" xfId="835"/>
    <cellStyle name="s836" xfId="836"/>
    <cellStyle name="s837" xfId="837"/>
    <cellStyle name="s838" xfId="838"/>
    <cellStyle name="s839" xfId="839"/>
    <cellStyle name="s84" xfId="84"/>
    <cellStyle name="s840" xfId="840"/>
    <cellStyle name="s841" xfId="841"/>
    <cellStyle name="s842" xfId="842"/>
    <cellStyle name="s843" xfId="843"/>
    <cellStyle name="s844" xfId="844"/>
    <cellStyle name="s845" xfId="845"/>
    <cellStyle name="s846" xfId="846"/>
    <cellStyle name="s847" xfId="847"/>
    <cellStyle name="s848" xfId="848"/>
    <cellStyle name="s849" xfId="849"/>
    <cellStyle name="s85" xfId="85"/>
    <cellStyle name="s850" xfId="850"/>
    <cellStyle name="s851" xfId="851"/>
    <cellStyle name="s852" xfId="852"/>
    <cellStyle name="s853" xfId="853"/>
    <cellStyle name="s854" xfId="854"/>
    <cellStyle name="s855" xfId="855"/>
    <cellStyle name="s856" xfId="856"/>
    <cellStyle name="s857" xfId="857"/>
    <cellStyle name="s858" xfId="858"/>
    <cellStyle name="s859" xfId="859"/>
    <cellStyle name="s86" xfId="86"/>
    <cellStyle name="s860" xfId="860"/>
    <cellStyle name="s861" xfId="861"/>
    <cellStyle name="s862" xfId="862"/>
    <cellStyle name="s863" xfId="863"/>
    <cellStyle name="s864" xfId="864"/>
    <cellStyle name="s865" xfId="865"/>
    <cellStyle name="s866" xfId="866"/>
    <cellStyle name="s867" xfId="867"/>
    <cellStyle name="s868" xfId="868"/>
    <cellStyle name="s869" xfId="869"/>
    <cellStyle name="s87" xfId="87"/>
    <cellStyle name="s870" xfId="870"/>
    <cellStyle name="s871" xfId="871"/>
    <cellStyle name="s872" xfId="872"/>
    <cellStyle name="s873" xfId="873"/>
    <cellStyle name="s874" xfId="874"/>
    <cellStyle name="s875" xfId="875"/>
    <cellStyle name="s876" xfId="876"/>
    <cellStyle name="s877" xfId="877"/>
    <cellStyle name="s878" xfId="878"/>
    <cellStyle name="s879" xfId="879"/>
    <cellStyle name="s88" xfId="88"/>
    <cellStyle name="s880" xfId="880"/>
    <cellStyle name="s881" xfId="881"/>
    <cellStyle name="s882" xfId="882"/>
    <cellStyle name="s883" xfId="883"/>
    <cellStyle name="s884" xfId="884"/>
    <cellStyle name="s885" xfId="885"/>
    <cellStyle name="s886" xfId="886"/>
    <cellStyle name="s887" xfId="887"/>
    <cellStyle name="s888" xfId="888"/>
    <cellStyle name="s889" xfId="889"/>
    <cellStyle name="s89" xfId="89"/>
    <cellStyle name="s890" xfId="890"/>
    <cellStyle name="s891" xfId="891"/>
    <cellStyle name="s892" xfId="892"/>
    <cellStyle name="s893" xfId="893"/>
    <cellStyle name="s894" xfId="894"/>
    <cellStyle name="s895" xfId="895"/>
    <cellStyle name="s896" xfId="896"/>
    <cellStyle name="s897" xfId="897"/>
    <cellStyle name="s898" xfId="898"/>
    <cellStyle name="s899" xfId="899"/>
    <cellStyle name="s9" xfId="9"/>
    <cellStyle name="s90" xfId="90"/>
    <cellStyle name="s900" xfId="900"/>
    <cellStyle name="s901" xfId="901"/>
    <cellStyle name="s902" xfId="902"/>
    <cellStyle name="s903" xfId="903"/>
    <cellStyle name="s904" xfId="904"/>
    <cellStyle name="s905" xfId="905"/>
    <cellStyle name="s906" xfId="906"/>
    <cellStyle name="s907" xfId="907"/>
    <cellStyle name="s908" xfId="908"/>
    <cellStyle name="s909" xfId="909"/>
    <cellStyle name="s91" xfId="91"/>
    <cellStyle name="s910" xfId="910"/>
    <cellStyle name="s911" xfId="911"/>
    <cellStyle name="s912" xfId="912"/>
    <cellStyle name="s913" xfId="913"/>
    <cellStyle name="s914" xfId="914"/>
    <cellStyle name="s915" xfId="915"/>
    <cellStyle name="s916" xfId="916"/>
    <cellStyle name="s917" xfId="917"/>
    <cellStyle name="s918" xfId="918"/>
    <cellStyle name="s919" xfId="919"/>
    <cellStyle name="s92" xfId="92"/>
    <cellStyle name="s920" xfId="920"/>
    <cellStyle name="s921" xfId="921"/>
    <cellStyle name="s922" xfId="922"/>
    <cellStyle name="s923" xfId="923"/>
    <cellStyle name="s924" xfId="924"/>
    <cellStyle name="s925" xfId="925"/>
    <cellStyle name="s926" xfId="926"/>
    <cellStyle name="s927" xfId="927"/>
    <cellStyle name="s928" xfId="928"/>
    <cellStyle name="s929" xfId="929"/>
    <cellStyle name="s93" xfId="93"/>
    <cellStyle name="s930" xfId="930"/>
    <cellStyle name="s931" xfId="931"/>
    <cellStyle name="s932" xfId="932"/>
    <cellStyle name="s933" xfId="933"/>
    <cellStyle name="s934" xfId="934"/>
    <cellStyle name="s935" xfId="935"/>
    <cellStyle name="s936" xfId="936"/>
    <cellStyle name="s937" xfId="937"/>
    <cellStyle name="s938" xfId="938"/>
    <cellStyle name="s939" xfId="939"/>
    <cellStyle name="s94" xfId="94"/>
    <cellStyle name="s940" xfId="940"/>
    <cellStyle name="s941" xfId="941"/>
    <cellStyle name="s942" xfId="942"/>
    <cellStyle name="s943" xfId="943"/>
    <cellStyle name="s944" xfId="944"/>
    <cellStyle name="s945" xfId="945"/>
    <cellStyle name="s946" xfId="946"/>
    <cellStyle name="s947" xfId="947"/>
    <cellStyle name="s948" xfId="948"/>
    <cellStyle name="s949" xfId="949"/>
    <cellStyle name="s95" xfId="95"/>
    <cellStyle name="s950" xfId="950"/>
    <cellStyle name="s951" xfId="951"/>
    <cellStyle name="s952" xfId="952"/>
    <cellStyle name="s953" xfId="953"/>
    <cellStyle name="s954" xfId="954"/>
    <cellStyle name="s955" xfId="955"/>
    <cellStyle name="s956" xfId="956"/>
    <cellStyle name="s957" xfId="957"/>
    <cellStyle name="s958" xfId="958"/>
    <cellStyle name="s959" xfId="959"/>
    <cellStyle name="s96" xfId="96"/>
    <cellStyle name="s960" xfId="960"/>
    <cellStyle name="s961" xfId="961"/>
    <cellStyle name="s962" xfId="962"/>
    <cellStyle name="s963" xfId="963"/>
    <cellStyle name="s964" xfId="964"/>
    <cellStyle name="s965" xfId="965"/>
    <cellStyle name="s966" xfId="966"/>
    <cellStyle name="s967" xfId="967"/>
    <cellStyle name="s968" xfId="968"/>
    <cellStyle name="s969" xfId="969"/>
    <cellStyle name="s97" xfId="97"/>
    <cellStyle name="s970" xfId="970"/>
    <cellStyle name="s971" xfId="971"/>
    <cellStyle name="s972" xfId="972"/>
    <cellStyle name="s973" xfId="973"/>
    <cellStyle name="s974" xfId="974"/>
    <cellStyle name="s975" xfId="975"/>
    <cellStyle name="s976" xfId="976"/>
    <cellStyle name="s977" xfId="977"/>
    <cellStyle name="s978" xfId="978"/>
    <cellStyle name="s979" xfId="979"/>
    <cellStyle name="s98" xfId="98"/>
    <cellStyle name="s980" xfId="980"/>
    <cellStyle name="s981" xfId="981"/>
    <cellStyle name="s982" xfId="982"/>
    <cellStyle name="s983" xfId="983"/>
    <cellStyle name="s984" xfId="984"/>
    <cellStyle name="s985" xfId="985"/>
    <cellStyle name="s986" xfId="986"/>
    <cellStyle name="s987" xfId="987"/>
    <cellStyle name="s988" xfId="988"/>
    <cellStyle name="s989" xfId="989"/>
    <cellStyle name="s99" xfId="99"/>
    <cellStyle name="s990" xfId="990"/>
    <cellStyle name="s991" xfId="991"/>
    <cellStyle name="s992" xfId="992"/>
    <cellStyle name="s993" xfId="993"/>
    <cellStyle name="s994" xfId="994"/>
    <cellStyle name="s995" xfId="995"/>
    <cellStyle name="s996" xfId="996"/>
    <cellStyle name="s997" xfId="997"/>
    <cellStyle name="s998" xfId="998"/>
    <cellStyle name="s999" xfId="999"/>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hyperlink" Target="https://portal.eias.ru/Portal/DownloadPage.aspx?type=12&amp;guid=cb685ced-3882-4134-8457-213c11d7d79a" TargetMode="External"/><Relationship Id="rId2" Type="http://schemas.openxmlformats.org/officeDocument/2006/relationships/hyperlink" Target="https://portal.eias.ru/Portal/DownloadPage.aspx?type=12&amp;guid=cb685ced-3882-4134-8457-213c11d7d79a" TargetMode="External"/><Relationship Id="rId1" Type="http://schemas.openxmlformats.org/officeDocument/2006/relationships/hyperlink" Target="https://portal.eias.ru/Portal/DownloadPage.aspx?type=12&amp;guid=cb685ced-3882-4134-8457-213c11d7d79a" TargetMode="External"/><Relationship Id="rId4" Type="http://schemas.openxmlformats.org/officeDocument/2006/relationships/hyperlink" Target="https://portal.eias.ru/Portal/DownloadPage.aspx?type=12&amp;guid=cb685ced-3882-4134-8457-213c11d7d79a"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8" Type="http://schemas.openxmlformats.org/officeDocument/2006/relationships/hyperlink" Target="https://portal.eias.ru/Portal/DownloadPage.aspx?type=12&amp;guid=8927f305-6f6c-4ed9-b22a-11942abeba0b" TargetMode="External"/><Relationship Id="rId3" Type="http://schemas.openxmlformats.org/officeDocument/2006/relationships/hyperlink" Target="https://portal.eias.ru/Portal/DownloadPage.aspx?type=12&amp;guid=942217bc-b013-418a-a306-ea174c4244ad" TargetMode="External"/><Relationship Id="rId7" Type="http://schemas.openxmlformats.org/officeDocument/2006/relationships/hyperlink" Target="https://portal.eias.ru/Portal/DownloadPage.aspx?type=12&amp;guid=942217bc-b013-418a-a306-ea174c4244ad" TargetMode="External"/><Relationship Id="rId2" Type="http://schemas.openxmlformats.org/officeDocument/2006/relationships/hyperlink" Target="https://portal.eias.ru/Portal/DownloadPage.aspx?type=12&amp;guid=942217bc-b013-418a-a306-ea174c4244ad" TargetMode="External"/><Relationship Id="rId1" Type="http://schemas.openxmlformats.org/officeDocument/2006/relationships/hyperlink" Target="https://portal.eias.ru/Portal/DownloadPage.aspx?type=12&amp;guid=942217bc-b013-418a-a306-ea174c4244ad" TargetMode="External"/><Relationship Id="rId6" Type="http://schemas.openxmlformats.org/officeDocument/2006/relationships/hyperlink" Target="https://portal.eias.ru/Portal/DownloadPage.aspx?type=12&amp;guid=942217bc-b013-418a-a306-ea174c4244ad" TargetMode="External"/><Relationship Id="rId5" Type="http://schemas.openxmlformats.org/officeDocument/2006/relationships/hyperlink" Target="https://portal.eias.ru/Portal/DownloadPage.aspx?type=12&amp;guid=942217bc-b013-418a-a306-ea174c4244ad" TargetMode="External"/><Relationship Id="rId4" Type="http://schemas.openxmlformats.org/officeDocument/2006/relationships/hyperlink" Target="https://portal.eias.ru/Portal/DownloadPage.aspx?type=12&amp;guid=8927f305-6f6c-4ed9-b22a-11942abeba0b"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
  <sheetViews>
    <sheetView showGridLines="0" showRowColHeaders="0" workbookViewId="0"/>
  </sheetViews>
  <sheetFormatPr defaultColWidth="11" defaultRowHeight="12.75" customHeight="1"/>
  <cols>
    <col min="1" max="1" width="5.42578125" style="1004" customWidth="1"/>
    <col min="2" max="2" width="9.140625" style="1005" customWidth="1"/>
    <col min="3" max="3" width="16.42578125" style="1006" customWidth="1"/>
    <col min="4" max="4" width="6.28515625" style="1007" customWidth="1"/>
    <col min="5" max="5" width="6.28515625" style="1008" customWidth="1"/>
    <col min="6" max="6" width="6.28515625" style="1009" customWidth="1"/>
    <col min="7" max="7" width="6.28515625" style="1010" customWidth="1"/>
    <col min="8" max="8" width="6.28515625" style="1011" customWidth="1"/>
    <col min="9" max="9" width="6.28515625" style="1012" customWidth="1"/>
    <col min="10" max="10" width="6.28515625" style="1013" customWidth="1"/>
    <col min="11" max="11" width="6.28515625" style="1014" customWidth="1"/>
    <col min="12" max="12" width="6.28515625" style="1015" customWidth="1"/>
    <col min="13" max="13" width="6.28515625" style="1016" customWidth="1"/>
    <col min="14" max="14" width="6.28515625" style="1017" customWidth="1"/>
    <col min="15" max="15" width="6.28515625" style="1018" customWidth="1"/>
    <col min="16" max="16" width="6.28515625" style="1019" customWidth="1"/>
    <col min="17" max="17" width="6.28515625" style="1020" customWidth="1"/>
    <col min="18" max="18" width="6.28515625" style="1021" customWidth="1"/>
    <col min="19" max="19" width="6.28515625" style="1022" customWidth="1"/>
    <col min="20" max="20" width="6.28515625" style="1023" customWidth="1"/>
    <col min="21" max="21" width="6.28515625" style="1024" customWidth="1"/>
    <col min="22" max="22" width="6.28515625" style="1025" customWidth="1"/>
    <col min="23" max="23" width="6.28515625" style="1026" customWidth="1"/>
    <col min="24" max="24" width="6.28515625" style="1027" customWidth="1"/>
    <col min="25" max="25" width="6.28515625" style="1028" customWidth="1"/>
  </cols>
  <sheetData>
    <row r="1" spans="2:27" ht="15.75" customHeight="1">
      <c r="AA1" s="1" t="s">
        <v>0</v>
      </c>
    </row>
    <row r="2" spans="2:27" ht="17.25" customHeight="1">
      <c r="B2" s="1030" t="s">
        <v>1</v>
      </c>
      <c r="C2" s="1031"/>
      <c r="D2" s="1031"/>
      <c r="E2" s="1031"/>
      <c r="F2" s="1031"/>
      <c r="G2" s="1031"/>
      <c r="H2" s="1031"/>
      <c r="I2" s="1031"/>
      <c r="J2" s="1031"/>
      <c r="K2" s="1031"/>
      <c r="L2" s="1031"/>
      <c r="M2" s="1031"/>
      <c r="N2" s="1031"/>
      <c r="O2" s="1031"/>
      <c r="P2" s="1031"/>
    </row>
    <row r="3" spans="2:27" ht="15.75" customHeight="1">
      <c r="B3" s="1032" t="s">
        <v>2</v>
      </c>
      <c r="C3" s="1031"/>
      <c r="D3" s="1031"/>
      <c r="E3" s="1031"/>
      <c r="F3" s="1031"/>
      <c r="G3" s="1031"/>
      <c r="H3" s="1031"/>
      <c r="I3" s="1031"/>
      <c r="J3" s="1031"/>
      <c r="K3" s="1031"/>
      <c r="L3" s="1031"/>
      <c r="M3" s="1031"/>
      <c r="N3" s="1031"/>
      <c r="O3" s="1031"/>
      <c r="P3" s="1031"/>
    </row>
    <row r="4" spans="2:27" ht="17.25" customHeight="1"/>
    <row r="5" spans="2:27" ht="22.5" customHeight="1">
      <c r="B5" s="1033"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1034"/>
      <c r="D5" s="1034"/>
      <c r="E5" s="1034"/>
      <c r="F5" s="1034"/>
      <c r="G5" s="1034"/>
      <c r="H5" s="1034"/>
      <c r="I5" s="1034"/>
      <c r="J5" s="1034"/>
      <c r="K5" s="1034"/>
      <c r="L5" s="1034"/>
      <c r="M5" s="1034"/>
      <c r="N5" s="1034"/>
      <c r="O5" s="1034"/>
      <c r="P5" s="1034"/>
      <c r="Q5" s="1034"/>
      <c r="R5" s="1034"/>
      <c r="S5" s="1034"/>
      <c r="T5" s="1034"/>
      <c r="U5" s="1034"/>
      <c r="V5" s="1034"/>
      <c r="W5" s="1034"/>
      <c r="X5" s="1034"/>
      <c r="Y5" s="1035"/>
    </row>
    <row r="6" spans="2:27" ht="15" customHeight="1">
      <c r="B6" s="1036" t="s">
        <v>3</v>
      </c>
      <c r="C6" s="1037"/>
      <c r="Z6" s="523"/>
    </row>
    <row r="7" spans="2:27" ht="15" customHeight="1">
      <c r="B7" s="1036"/>
      <c r="C7" s="1037"/>
      <c r="Z7" s="523"/>
    </row>
    <row r="8" spans="2:27" ht="15" customHeight="1">
      <c r="B8" s="1036"/>
      <c r="C8" s="1037"/>
      <c r="E8" s="524" t="s">
        <v>4</v>
      </c>
      <c r="F8" s="1039" t="s">
        <v>5</v>
      </c>
      <c r="G8" s="1031"/>
      <c r="H8" s="1031"/>
      <c r="I8" s="1031"/>
      <c r="J8" s="1031"/>
      <c r="K8" s="1031"/>
      <c r="L8" s="1031"/>
      <c r="M8" s="1031"/>
      <c r="O8" s="525" t="s">
        <v>4</v>
      </c>
      <c r="P8" s="1040" t="s">
        <v>6</v>
      </c>
      <c r="Q8" s="1031"/>
      <c r="R8" s="1031"/>
      <c r="S8" s="1031"/>
      <c r="T8" s="1031"/>
      <c r="U8" s="1031"/>
      <c r="V8" s="1031"/>
      <c r="W8" s="1031"/>
      <c r="X8" s="1031"/>
      <c r="Z8" s="523"/>
    </row>
    <row r="9" spans="2:27" ht="15" customHeight="1">
      <c r="B9" s="1036"/>
      <c r="C9" s="1037"/>
      <c r="E9" s="526" t="s">
        <v>4</v>
      </c>
      <c r="F9" s="1039" t="s">
        <v>7</v>
      </c>
      <c r="G9" s="1031"/>
      <c r="H9" s="1031"/>
      <c r="I9" s="1031"/>
      <c r="J9" s="1031"/>
      <c r="K9" s="1031"/>
      <c r="L9" s="1031"/>
      <c r="M9" s="1031"/>
      <c r="O9" s="527" t="s">
        <v>4</v>
      </c>
      <c r="P9" s="1040" t="s">
        <v>8</v>
      </c>
      <c r="Q9" s="1031"/>
      <c r="R9" s="1031"/>
      <c r="S9" s="1031"/>
      <c r="T9" s="1031"/>
      <c r="U9" s="1031"/>
      <c r="V9" s="1031"/>
      <c r="W9" s="1031"/>
      <c r="X9" s="1031"/>
      <c r="Z9" s="523"/>
    </row>
    <row r="10" spans="2:27" ht="30" customHeight="1">
      <c r="B10" s="1036"/>
      <c r="C10" s="1038"/>
      <c r="D10" s="528"/>
      <c r="E10" s="529"/>
      <c r="O10" s="529"/>
      <c r="Z10" s="523"/>
    </row>
    <row r="11" spans="2:27" ht="19.5" customHeight="1">
      <c r="B11" s="1041" t="s">
        <v>9</v>
      </c>
      <c r="C11" s="1042"/>
      <c r="Z11" s="523"/>
    </row>
    <row r="12" spans="2:27" ht="69" customHeight="1">
      <c r="B12" s="1036"/>
      <c r="C12" s="1038"/>
      <c r="D12" s="530"/>
      <c r="E12" s="1043" t="s">
        <v>10</v>
      </c>
      <c r="F12" s="1031"/>
      <c r="G12" s="1031"/>
      <c r="H12" s="1031"/>
      <c r="I12" s="1031"/>
      <c r="J12" s="1031"/>
      <c r="K12" s="1031"/>
      <c r="L12" s="1031"/>
      <c r="M12" s="1031"/>
      <c r="N12" s="1031"/>
      <c r="O12" s="1031"/>
      <c r="P12" s="1031"/>
      <c r="Q12" s="1031"/>
      <c r="R12" s="1031"/>
      <c r="S12" s="1031"/>
      <c r="T12" s="1031"/>
      <c r="U12" s="1031"/>
      <c r="V12" s="1031"/>
      <c r="W12" s="1031"/>
      <c r="X12" s="1031"/>
      <c r="Z12" s="523"/>
    </row>
    <row r="13" spans="2:27" ht="15" customHeight="1">
      <c r="B13" s="1041" t="s">
        <v>11</v>
      </c>
      <c r="C13" s="1042"/>
      <c r="Z13" s="523"/>
    </row>
    <row r="14" spans="2:27" ht="57" customHeight="1">
      <c r="B14" s="1036"/>
      <c r="C14" s="1037"/>
      <c r="E14" s="1046" t="s">
        <v>12</v>
      </c>
      <c r="F14" s="1031"/>
      <c r="G14" s="1031"/>
      <c r="H14" s="1031"/>
      <c r="I14" s="1031"/>
      <c r="J14" s="1031"/>
      <c r="K14" s="1031"/>
      <c r="L14" s="1031"/>
      <c r="M14" s="1031"/>
      <c r="N14" s="1031"/>
      <c r="O14" s="1031"/>
      <c r="P14" s="1031"/>
      <c r="Q14" s="1031"/>
      <c r="R14" s="1031"/>
      <c r="S14" s="1031"/>
      <c r="T14" s="1031"/>
      <c r="U14" s="1031"/>
      <c r="V14" s="1031"/>
      <c r="W14" s="1031"/>
      <c r="X14" s="1031"/>
      <c r="Z14" s="523"/>
    </row>
    <row r="15" spans="2:27" ht="16.5" customHeight="1">
      <c r="B15" s="1044"/>
      <c r="C15" s="1045"/>
      <c r="D15" s="531"/>
      <c r="E15" s="532"/>
      <c r="F15" s="532"/>
      <c r="G15" s="532"/>
      <c r="H15" s="532"/>
      <c r="I15" s="532"/>
      <c r="J15" s="532"/>
      <c r="K15" s="532"/>
      <c r="L15" s="532"/>
      <c r="M15" s="532"/>
      <c r="N15" s="532"/>
      <c r="O15" s="532"/>
      <c r="P15" s="532"/>
      <c r="Q15" s="532"/>
      <c r="R15" s="532"/>
      <c r="S15" s="532"/>
      <c r="T15" s="532"/>
      <c r="U15" s="532"/>
      <c r="V15" s="532"/>
      <c r="W15" s="532"/>
      <c r="X15" s="532"/>
      <c r="Y15" s="533"/>
      <c r="Z15" s="523"/>
    </row>
    <row r="16" spans="2:27" ht="95.25" customHeight="1">
      <c r="B16" s="1031"/>
      <c r="C16" s="1031"/>
      <c r="D16" s="1031"/>
      <c r="E16" s="1031"/>
      <c r="F16" s="1031"/>
      <c r="G16" s="1031"/>
      <c r="H16" s="1031"/>
      <c r="I16" s="1031"/>
      <c r="J16" s="1031"/>
      <c r="K16" s="1031"/>
      <c r="L16" s="1031"/>
      <c r="M16" s="1031"/>
      <c r="N16" s="1031"/>
      <c r="O16" s="1031"/>
      <c r="P16" s="1031"/>
      <c r="Q16" s="1031"/>
      <c r="R16" s="1031"/>
      <c r="S16" s="1031"/>
      <c r="T16" s="1031"/>
      <c r="U16" s="1031"/>
      <c r="V16" s="1031"/>
      <c r="W16" s="1031"/>
      <c r="X16" s="1031"/>
      <c r="Y16" s="1031"/>
    </row>
    <row r="17" ht="14.25" customHeight="1"/>
    <row r="18" ht="14.25" customHeight="1"/>
    <row r="19" ht="14.25" customHeight="1"/>
    <row r="20" ht="14.25" customHeight="1"/>
    <row r="21" ht="14.25" customHeight="1"/>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3" width="9.140625" style="1029" hidden="1" customWidth="1"/>
    <col min="4" max="4" width="3" style="1029" customWidth="1"/>
    <col min="5" max="5" width="6" style="1029" customWidth="1"/>
    <col min="6" max="6" width="1.7109375" style="1029" hidden="1" customWidth="1"/>
    <col min="7" max="8" width="30" style="1029" customWidth="1"/>
    <col min="9" max="9" width="8" style="1029" customWidth="1"/>
    <col min="10" max="10" width="12.140625" style="1029" customWidth="1"/>
    <col min="11" max="11" width="46" style="1029" customWidth="1"/>
    <col min="12" max="12" width="100" style="1029" customWidth="1"/>
    <col min="13" max="13" width="7" style="1029" customWidth="1"/>
    <col min="14" max="22" width="10" style="1029" customWidth="1"/>
    <col min="23" max="23" width="10.5703125" style="1029" hidden="1"/>
  </cols>
  <sheetData>
    <row r="1" spans="1:23" ht="5.25" hidden="1" customHeight="1">
      <c r="G1" s="577" t="s">
        <v>82</v>
      </c>
      <c r="H1" s="577" t="s">
        <v>83</v>
      </c>
      <c r="I1" s="577" t="s">
        <v>84</v>
      </c>
      <c r="P1" s="577" t="s">
        <v>82</v>
      </c>
      <c r="Q1" s="577" t="s">
        <v>83</v>
      </c>
      <c r="R1" s="577" t="s">
        <v>84</v>
      </c>
      <c r="W1" s="577" t="s">
        <v>14</v>
      </c>
    </row>
    <row r="2" spans="1:23" ht="5.25" hidden="1" customHeight="1">
      <c r="W2" s="577">
        <v>0</v>
      </c>
    </row>
    <row r="3" spans="1:23" ht="5.25" customHeight="1">
      <c r="D3" s="672"/>
      <c r="E3" s="539"/>
      <c r="F3" s="539"/>
      <c r="G3" s="539"/>
      <c r="H3" s="539"/>
      <c r="I3" s="686"/>
      <c r="J3" s="687"/>
      <c r="K3" s="687"/>
      <c r="L3" s="687"/>
      <c r="W3" s="540">
        <v>5</v>
      </c>
    </row>
    <row r="4" spans="1:23" ht="23.25" customHeight="1">
      <c r="D4" s="653"/>
      <c r="E4" s="1081" t="s">
        <v>399</v>
      </c>
      <c r="F4" s="1081"/>
      <c r="G4" s="1082"/>
      <c r="H4" s="1082"/>
      <c r="I4" s="1083"/>
      <c r="W4" s="538">
        <v>22</v>
      </c>
    </row>
    <row r="5" spans="1:23" ht="18" customHeight="1">
      <c r="D5" s="653"/>
      <c r="E5" s="1159" t="str">
        <f>IF(org=0,"Не определено",org)</f>
        <v>АО "НИЖЕГОРОДСКИЙ ВОДОКАНАЛ"</v>
      </c>
      <c r="F5" s="1159"/>
      <c r="G5" s="1160"/>
      <c r="H5" s="1160"/>
      <c r="I5" s="1161"/>
      <c r="W5" s="538">
        <v>17</v>
      </c>
    </row>
    <row r="6" spans="1:23" ht="11.45" customHeight="1">
      <c r="D6" s="672"/>
      <c r="E6" s="539"/>
      <c r="F6" s="539"/>
      <c r="K6" s="629"/>
      <c r="W6" s="540">
        <v>11</v>
      </c>
    </row>
    <row r="7" spans="1:23" ht="14.65" customHeight="1">
      <c r="D7" s="653"/>
      <c r="E7" s="1153" t="s">
        <v>311</v>
      </c>
      <c r="F7" s="1153"/>
      <c r="G7" s="1154"/>
      <c r="H7" s="1154"/>
      <c r="I7" s="1154"/>
      <c r="J7" s="1154"/>
      <c r="K7" s="1154"/>
      <c r="L7" s="1107" t="s">
        <v>312</v>
      </c>
      <c r="W7" s="538">
        <v>14</v>
      </c>
    </row>
    <row r="8" spans="1:23" ht="48.2" customHeight="1">
      <c r="D8" s="653"/>
      <c r="E8" s="632" t="s">
        <v>87</v>
      </c>
      <c r="F8" s="632"/>
      <c r="G8" s="583" t="s">
        <v>85</v>
      </c>
      <c r="H8" s="583" t="s">
        <v>86</v>
      </c>
      <c r="I8" s="602" t="s">
        <v>84</v>
      </c>
      <c r="J8" s="602" t="s">
        <v>400</v>
      </c>
      <c r="K8" s="602" t="s">
        <v>401</v>
      </c>
      <c r="L8" s="1107"/>
      <c r="W8" s="538">
        <v>46</v>
      </c>
    </row>
    <row r="9" spans="1:23" ht="12" hidden="1" customHeight="1">
      <c r="D9" s="679"/>
      <c r="E9" s="126"/>
      <c r="F9" s="126"/>
      <c r="G9" s="126"/>
      <c r="H9" s="126"/>
      <c r="I9" s="126"/>
      <c r="J9" s="126"/>
      <c r="K9" s="126"/>
      <c r="L9" s="126"/>
      <c r="W9" s="538">
        <v>0</v>
      </c>
    </row>
    <row r="10" spans="1:23" ht="14.25" hidden="1" customHeight="1">
      <c r="D10" s="653"/>
      <c r="E10" s="583">
        <v>0</v>
      </c>
      <c r="F10" s="583"/>
      <c r="G10" s="127"/>
      <c r="H10" s="127"/>
      <c r="I10" s="127"/>
      <c r="J10" s="127"/>
      <c r="K10" s="127"/>
      <c r="L10" s="1165" t="s">
        <v>402</v>
      </c>
      <c r="W10" s="538">
        <v>0</v>
      </c>
    </row>
    <row r="11" spans="1:23" ht="15" hidden="1" customHeight="1">
      <c r="A11" s="1031"/>
      <c r="D11" s="688"/>
      <c r="E11" s="128"/>
      <c r="F11" s="128"/>
      <c r="G11" s="128"/>
      <c r="H11" s="128"/>
      <c r="I11" s="52"/>
      <c r="J11" s="129"/>
      <c r="K11" s="130"/>
      <c r="L11" s="1179"/>
      <c r="W11" s="538">
        <v>0</v>
      </c>
    </row>
    <row r="12" spans="1:23" ht="15" customHeight="1">
      <c r="A12" s="1031"/>
      <c r="D12" s="689"/>
      <c r="E12" s="632">
        <v>1</v>
      </c>
      <c r="F12" s="690">
        <v>23</v>
      </c>
      <c r="G12" s="131"/>
      <c r="H12" s="39"/>
      <c r="I12" s="40"/>
      <c r="J12" s="132" t="s">
        <v>61</v>
      </c>
      <c r="K12" s="133" t="s">
        <v>22</v>
      </c>
      <c r="L12" s="1179"/>
      <c r="P12" s="691" t="s">
        <v>403</v>
      </c>
      <c r="Q12" s="691" t="s">
        <v>404</v>
      </c>
      <c r="R12" s="134" t="s">
        <v>405</v>
      </c>
      <c r="S12" s="577" t="s">
        <v>406</v>
      </c>
      <c r="W12" s="540">
        <v>14</v>
      </c>
    </row>
    <row r="13" spans="1:23" ht="15.75" customHeight="1">
      <c r="A13" s="1031"/>
      <c r="D13" s="653"/>
      <c r="E13" s="119"/>
      <c r="F13" s="135"/>
      <c r="G13" s="49" t="s">
        <v>101</v>
      </c>
      <c r="H13" s="136"/>
      <c r="I13" s="136"/>
      <c r="J13" s="136"/>
      <c r="K13" s="137"/>
      <c r="L13" s="1166"/>
      <c r="W13" s="538">
        <v>15</v>
      </c>
    </row>
    <row r="14" spans="1:23" ht="11.45" customHeight="1">
      <c r="W14" s="538">
        <v>11</v>
      </c>
    </row>
    <row r="15" spans="1:23" ht="14.65" customHeight="1">
      <c r="G15" s="69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W15" s="538">
        <v>14</v>
      </c>
    </row>
    <row r="16" spans="1:23" ht="14.65" customHeight="1">
      <c r="W16" s="538">
        <v>14</v>
      </c>
    </row>
    <row r="17" spans="1:23" ht="14.65" customHeight="1">
      <c r="W17" s="538">
        <v>14</v>
      </c>
    </row>
    <row r="18" spans="1:23" ht="14.65" customHeight="1">
      <c r="W18" s="538">
        <v>14</v>
      </c>
    </row>
    <row r="19" spans="1:23" ht="22.5" hidden="1" customHeight="1">
      <c r="A19" s="536" t="s">
        <v>81</v>
      </c>
      <c r="B19" s="538">
        <v>0</v>
      </c>
      <c r="C19" s="538">
        <v>0</v>
      </c>
      <c r="D19" s="590">
        <v>3</v>
      </c>
      <c r="E19" s="538">
        <v>6</v>
      </c>
      <c r="F19" s="538">
        <v>0</v>
      </c>
      <c r="G19" s="538">
        <v>30</v>
      </c>
      <c r="H19" s="538">
        <v>30</v>
      </c>
      <c r="I19" s="538">
        <v>8</v>
      </c>
      <c r="J19" s="538">
        <v>12</v>
      </c>
      <c r="K19" s="538">
        <v>46</v>
      </c>
      <c r="L19" s="538">
        <v>100</v>
      </c>
      <c r="M19" s="579">
        <v>7</v>
      </c>
      <c r="N19" s="538">
        <v>10</v>
      </c>
      <c r="O19" s="538">
        <v>10</v>
      </c>
      <c r="P19" s="538">
        <v>10</v>
      </c>
      <c r="Q19" s="538">
        <v>10</v>
      </c>
      <c r="R19" s="538">
        <v>10</v>
      </c>
      <c r="S19" s="538">
        <v>10</v>
      </c>
      <c r="T19" s="538">
        <v>10</v>
      </c>
      <c r="U19" s="538">
        <v>10</v>
      </c>
      <c r="V19" s="538">
        <v>10</v>
      </c>
      <c r="W19" s="538">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2" style="1029" hidden="1" customWidth="1"/>
    <col min="10" max="10" width="9.85546875" style="1029" hidden="1" customWidth="1"/>
    <col min="11" max="11" width="11.42578125" style="1029" hidden="1" customWidth="1"/>
    <col min="12" max="12" width="19.140625" style="1029" hidden="1" customWidth="1"/>
    <col min="13" max="14" width="12.28515625" style="1029" hidden="1" customWidth="1"/>
    <col min="15" max="15" width="23.42578125" style="1029" hidden="1" customWidth="1"/>
    <col min="16" max="18" width="3" style="1029" customWidth="1"/>
    <col min="19" max="19" width="12" style="1029" customWidth="1"/>
    <col min="20" max="20" width="35" style="1029" customWidth="1"/>
    <col min="21" max="21" width="0.140625" style="1029" customWidth="1"/>
    <col min="22" max="22" width="24.7109375" style="1029" hidden="1" customWidth="1"/>
    <col min="23" max="23" width="0.140625" style="1029" hidden="1" customWidth="1"/>
    <col min="24" max="25" width="24.7109375" style="1029" hidden="1" customWidth="1"/>
    <col min="26" max="26" width="11.7109375" style="1029" hidden="1" customWidth="1"/>
    <col min="27" max="27" width="3.7109375" style="1029" hidden="1" customWidth="1"/>
    <col min="28" max="28" width="11.7109375" style="1029" hidden="1" customWidth="1"/>
    <col min="29" max="29" width="8.5703125" style="1029" hidden="1" customWidth="1"/>
    <col min="30" max="30" width="24.7109375" style="1029" customWidth="1"/>
    <col min="31" max="31" width="0.140625" style="1029" customWidth="1"/>
    <col min="32" max="33" width="24" style="1029" customWidth="1"/>
    <col min="34" max="34" width="11" style="1029" customWidth="1"/>
    <col min="35" max="35" width="3.7109375" style="1029" customWidth="1"/>
    <col min="36" max="36" width="11" style="1029" customWidth="1"/>
    <col min="37" max="37" width="8.5703125" style="1029" hidden="1" customWidth="1"/>
    <col min="38" max="38" width="4" style="1029" customWidth="1"/>
    <col min="39" max="39" width="115" style="1029" customWidth="1"/>
    <col min="40" max="44" width="10" style="1029" customWidth="1"/>
    <col min="45" max="45" width="10.5703125" style="1029" hidden="1"/>
  </cols>
  <sheetData>
    <row r="1" spans="5:45" ht="22.5" hidden="1" customHeight="1">
      <c r="AS1" s="538" t="s">
        <v>14</v>
      </c>
    </row>
    <row r="2" spans="5:45" ht="21" hidden="1" customHeight="1">
      <c r="E2" s="1194">
        <v>1</v>
      </c>
      <c r="R2" s="310"/>
      <c r="S2" s="832" t="e">
        <f>INDEX(PT_DIFFERENTIATION_NUM_NTAR,MATCH(A2,PT_DIFFERENTIATION_NTAR_ID,0))</f>
        <v>#N/A</v>
      </c>
      <c r="T2" s="795" t="s">
        <v>136</v>
      </c>
      <c r="U2" s="833"/>
      <c r="V2" s="1180"/>
      <c r="W2" s="1181"/>
      <c r="X2" s="1181"/>
      <c r="Y2" s="1181"/>
      <c r="Z2" s="1181"/>
      <c r="AA2" s="1181"/>
      <c r="AB2" s="1181"/>
      <c r="AC2" s="1182"/>
      <c r="AD2" s="1180" t="e">
        <f>INDEX(PT_DIFFERENTIATION_NTAR,MATCH(A2,PT_DIFFERENTIATION_NTAR_ID,0))</f>
        <v>#N/A</v>
      </c>
      <c r="AE2" s="1181"/>
      <c r="AF2" s="1181"/>
      <c r="AG2" s="1181"/>
      <c r="AH2" s="1181"/>
      <c r="AI2" s="1181"/>
      <c r="AJ2" s="1181"/>
      <c r="AK2" s="1181"/>
      <c r="AL2" s="1182"/>
      <c r="AM2" s="835" t="s">
        <v>407</v>
      </c>
      <c r="AP2" s="582" t="str">
        <f t="shared" ref="AP2:AP15" si="0">IF(T2="","",T2)</f>
        <v>Наименование тарифа</v>
      </c>
      <c r="AS2" s="538">
        <v>0</v>
      </c>
    </row>
    <row r="3" spans="5:45" ht="21" hidden="1" customHeight="1">
      <c r="E3" s="1195"/>
      <c r="F3" s="1194">
        <v>1</v>
      </c>
      <c r="Q3" s="836"/>
      <c r="R3" s="837"/>
      <c r="S3" s="832" t="e">
        <f>INDEX(PT_DIFFERENTIATION_NUM_TER,MATCH(B3,PT_DIFFERENTIATION_TER_ID,0))</f>
        <v>#N/A</v>
      </c>
      <c r="T3" s="838" t="s">
        <v>408</v>
      </c>
      <c r="U3" s="833"/>
      <c r="V3" s="1180"/>
      <c r="W3" s="1181"/>
      <c r="X3" s="1181"/>
      <c r="Y3" s="1181"/>
      <c r="Z3" s="1181"/>
      <c r="AA3" s="1181"/>
      <c r="AB3" s="1181"/>
      <c r="AC3" s="1182"/>
      <c r="AD3" s="1180" t="e">
        <f>INDEX(PT_DIFFERENTIATION_TER,MATCH(B3,PT_DIFFERENTIATION_TER_ID,0))</f>
        <v>#N/A</v>
      </c>
      <c r="AE3" s="1181"/>
      <c r="AF3" s="1181"/>
      <c r="AG3" s="1181"/>
      <c r="AH3" s="1181"/>
      <c r="AI3" s="1181"/>
      <c r="AJ3" s="1181"/>
      <c r="AK3" s="1181"/>
      <c r="AL3" s="1182"/>
      <c r="AM3" s="835" t="s">
        <v>409</v>
      </c>
      <c r="AP3" s="582" t="str">
        <f t="shared" si="0"/>
        <v>Территория действия тарифа</v>
      </c>
      <c r="AS3" s="538">
        <v>0</v>
      </c>
    </row>
    <row r="4" spans="5:45" ht="23.25" hidden="1" customHeight="1">
      <c r="E4" s="1195"/>
      <c r="F4" s="1195"/>
      <c r="G4" s="1194">
        <v>1</v>
      </c>
      <c r="Q4" s="836"/>
      <c r="R4" s="837"/>
      <c r="S4" s="832" t="e">
        <f>INDEX(PT_DIFFERENTIATION_NUM_CS,MATCH(C4,PT_DIFFERENTIATION_CS_ID,0))</f>
        <v>#N/A</v>
      </c>
      <c r="T4" s="839" t="s">
        <v>410</v>
      </c>
      <c r="U4" s="833"/>
      <c r="V4" s="1180"/>
      <c r="W4" s="1181"/>
      <c r="X4" s="1181"/>
      <c r="Y4" s="1181"/>
      <c r="Z4" s="1181"/>
      <c r="AA4" s="1181"/>
      <c r="AB4" s="1181"/>
      <c r="AC4" s="1182"/>
      <c r="AD4" s="1180" t="e">
        <f>INDEX(PT_DIFFERENTIATION_CS,MATCH(C4,PT_DIFFERENTIATION_CS_ID,0))</f>
        <v>#N/A</v>
      </c>
      <c r="AE4" s="1181"/>
      <c r="AF4" s="1181"/>
      <c r="AG4" s="1181"/>
      <c r="AH4" s="1181"/>
      <c r="AI4" s="1181"/>
      <c r="AJ4" s="1181"/>
      <c r="AK4" s="1181"/>
      <c r="AL4" s="1182"/>
      <c r="AM4" s="835" t="s">
        <v>411</v>
      </c>
      <c r="AP4" s="582" t="str">
        <f t="shared" si="0"/>
        <v xml:space="preserve">Наименование системы теплоснабжения </v>
      </c>
      <c r="AS4" s="538">
        <v>0</v>
      </c>
    </row>
    <row r="5" spans="5:45" ht="21" hidden="1" customHeight="1">
      <c r="E5" s="1195"/>
      <c r="F5" s="1195"/>
      <c r="G5" s="1195"/>
      <c r="H5" s="1194">
        <v>1</v>
      </c>
      <c r="Q5" s="836"/>
      <c r="R5" s="837"/>
      <c r="S5" s="832" t="e">
        <f>INDEX(PT_DIFFERENTIATION_NUM_IST_TE,MATCH(D5,PT_DIFFERENTIATION_IST_TE_ID,0))</f>
        <v>#N/A</v>
      </c>
      <c r="T5" s="840" t="s">
        <v>412</v>
      </c>
      <c r="U5" s="833"/>
      <c r="V5" s="1180"/>
      <c r="W5" s="1181"/>
      <c r="X5" s="1181"/>
      <c r="Y5" s="1181"/>
      <c r="Z5" s="1181"/>
      <c r="AA5" s="1181"/>
      <c r="AB5" s="1181"/>
      <c r="AC5" s="1182"/>
      <c r="AD5" s="1180" t="e">
        <f>INDEX(PT_DIFFERENTIATION_IST_TE,MATCH(D5,PT_DIFFERENTIATION_IST_TE_ID,0))</f>
        <v>#N/A</v>
      </c>
      <c r="AE5" s="1181"/>
      <c r="AF5" s="1181"/>
      <c r="AG5" s="1181"/>
      <c r="AH5" s="1181"/>
      <c r="AI5" s="1181"/>
      <c r="AJ5" s="1181"/>
      <c r="AK5" s="1181"/>
      <c r="AL5" s="1182"/>
      <c r="AM5" s="835" t="s">
        <v>413</v>
      </c>
      <c r="AP5" s="582" t="str">
        <f t="shared" si="0"/>
        <v xml:space="preserve">Источник тепловой энергии  </v>
      </c>
      <c r="AS5" s="538">
        <v>0</v>
      </c>
    </row>
    <row r="6" spans="5:45" ht="47.25" hidden="1" customHeight="1">
      <c r="E6" s="1195"/>
      <c r="F6" s="1195"/>
      <c r="G6" s="1195"/>
      <c r="H6" s="1195"/>
      <c r="I6" s="1192" t="e">
        <f>S5&amp;".1"</f>
        <v>#N/A</v>
      </c>
      <c r="L6" s="841" t="s">
        <v>414</v>
      </c>
      <c r="P6" s="1193">
        <v>1</v>
      </c>
      <c r="R6" s="842"/>
      <c r="S6" s="832" t="e">
        <f>$I6</f>
        <v>#N/A</v>
      </c>
      <c r="T6" s="843" t="s">
        <v>415</v>
      </c>
      <c r="U6" s="833"/>
      <c r="V6" s="1183"/>
      <c r="W6" s="1184"/>
      <c r="X6" s="1184"/>
      <c r="Y6" s="1184"/>
      <c r="Z6" s="1184"/>
      <c r="AA6" s="1184"/>
      <c r="AB6" s="1184"/>
      <c r="AC6" s="1185"/>
      <c r="AD6" s="1183"/>
      <c r="AE6" s="1184"/>
      <c r="AF6" s="1184"/>
      <c r="AG6" s="1184"/>
      <c r="AH6" s="1184"/>
      <c r="AI6" s="1184"/>
      <c r="AJ6" s="1184"/>
      <c r="AK6" s="1184"/>
      <c r="AL6" s="1185"/>
      <c r="AM6" s="835" t="s">
        <v>416</v>
      </c>
      <c r="AP6" s="582" t="str">
        <f t="shared" si="0"/>
        <v>Схема подключения теплопотребляющей установки к коллектору источника тепловой энергии</v>
      </c>
      <c r="AS6" s="538">
        <v>0</v>
      </c>
    </row>
    <row r="7" spans="5:45" ht="21" hidden="1" customHeight="1">
      <c r="E7" s="1195"/>
      <c r="F7" s="1195"/>
      <c r="G7" s="1195"/>
      <c r="H7" s="1195"/>
      <c r="I7" s="1214"/>
      <c r="J7" s="1192" t="e">
        <f>I6&amp;".1"</f>
        <v>#N/A</v>
      </c>
      <c r="L7" s="841" t="s">
        <v>417</v>
      </c>
      <c r="P7" s="1031"/>
      <c r="Q7" s="1193">
        <v>1</v>
      </c>
      <c r="R7" s="844"/>
      <c r="S7" s="832" t="e">
        <f>$J7</f>
        <v>#N/A</v>
      </c>
      <c r="T7" s="845" t="s">
        <v>418</v>
      </c>
      <c r="U7" s="833"/>
      <c r="V7" s="1183"/>
      <c r="W7" s="1184"/>
      <c r="X7" s="1184"/>
      <c r="Y7" s="1184"/>
      <c r="Z7" s="1184"/>
      <c r="AA7" s="1184"/>
      <c r="AB7" s="1184"/>
      <c r="AC7" s="1185"/>
      <c r="AD7" s="1183"/>
      <c r="AE7" s="1184"/>
      <c r="AF7" s="1184"/>
      <c r="AG7" s="1184"/>
      <c r="AH7" s="1184"/>
      <c r="AI7" s="1184"/>
      <c r="AJ7" s="1184"/>
      <c r="AK7" s="1184"/>
      <c r="AL7" s="1185"/>
      <c r="AM7" s="835" t="s">
        <v>419</v>
      </c>
      <c r="AP7" s="582" t="str">
        <f t="shared" si="0"/>
        <v>Группа потребителей</v>
      </c>
      <c r="AS7" s="538">
        <v>0</v>
      </c>
    </row>
    <row r="8" spans="5:45" ht="21" hidden="1" customHeight="1">
      <c r="E8" s="1195"/>
      <c r="F8" s="1195"/>
      <c r="G8" s="1195"/>
      <c r="H8" s="1195"/>
      <c r="I8" s="1214"/>
      <c r="J8" s="1214"/>
      <c r="K8" s="1192" t="e">
        <f>J7&amp;".1"</f>
        <v>#N/A</v>
      </c>
      <c r="L8" s="841" t="s">
        <v>420</v>
      </c>
      <c r="P8" s="1031"/>
      <c r="Q8" s="1031"/>
      <c r="R8" s="844">
        <v>1</v>
      </c>
      <c r="S8" s="832" t="e">
        <f>$K8</f>
        <v>#N/A</v>
      </c>
      <c r="T8" s="846"/>
      <c r="U8" s="833"/>
      <c r="V8" s="311"/>
      <c r="W8" s="312"/>
      <c r="X8" s="311"/>
      <c r="Y8" s="313"/>
      <c r="Z8" s="1197"/>
      <c r="AA8" s="1058" t="s">
        <v>61</v>
      </c>
      <c r="AB8" s="1197"/>
      <c r="AC8" s="1058" t="s">
        <v>61</v>
      </c>
      <c r="AD8" s="311"/>
      <c r="AE8" s="312"/>
      <c r="AF8" s="311"/>
      <c r="AG8" s="313"/>
      <c r="AH8" s="1197"/>
      <c r="AI8" s="1058" t="s">
        <v>61</v>
      </c>
      <c r="AJ8" s="1197"/>
      <c r="AK8" s="1058" t="s">
        <v>61</v>
      </c>
      <c r="AL8" s="312"/>
      <c r="AM8" s="1189" t="s">
        <v>421</v>
      </c>
      <c r="AN8" s="577" t="e">
        <f ca="1">STRCHECKDATE(V9:AL9)</f>
        <v>#NAME?</v>
      </c>
      <c r="AP8" s="582" t="str">
        <f t="shared" si="0"/>
        <v/>
      </c>
      <c r="AS8" s="538">
        <v>0</v>
      </c>
    </row>
    <row r="9" spans="5:45" ht="0.75" hidden="1" customHeight="1">
      <c r="E9" s="1195"/>
      <c r="F9" s="1195"/>
      <c r="G9" s="1195"/>
      <c r="H9" s="1195"/>
      <c r="I9" s="1214"/>
      <c r="J9" s="1214"/>
      <c r="K9" s="1192"/>
      <c r="P9" s="1031"/>
      <c r="Q9" s="1031"/>
      <c r="R9" s="844"/>
      <c r="S9" s="127"/>
      <c r="T9" s="833"/>
      <c r="U9" s="833"/>
      <c r="V9" s="312"/>
      <c r="W9" s="312"/>
      <c r="X9" s="312"/>
      <c r="Y9" s="314" t="str">
        <f>Z8&amp;"-"&amp;AB8</f>
        <v>-</v>
      </c>
      <c r="Z9" s="1198"/>
      <c r="AA9" s="1058"/>
      <c r="AB9" s="1198"/>
      <c r="AC9" s="1058"/>
      <c r="AD9" s="312"/>
      <c r="AE9" s="312"/>
      <c r="AF9" s="312"/>
      <c r="AG9" s="314" t="str">
        <f>AH8&amp;"-"&amp;AJ8</f>
        <v>-</v>
      </c>
      <c r="AH9" s="1198"/>
      <c r="AI9" s="1058"/>
      <c r="AJ9" s="1198"/>
      <c r="AK9" s="1058"/>
      <c r="AL9" s="312"/>
      <c r="AM9" s="1190"/>
      <c r="AP9" s="582" t="str">
        <f t="shared" si="0"/>
        <v/>
      </c>
      <c r="AS9" s="538">
        <v>0</v>
      </c>
    </row>
    <row r="10" spans="5:45" ht="15" hidden="1" customHeight="1">
      <c r="E10" s="1195"/>
      <c r="F10" s="1195"/>
      <c r="G10" s="1195"/>
      <c r="H10" s="1195"/>
      <c r="I10" s="1214"/>
      <c r="J10" s="1192"/>
      <c r="P10" s="1031"/>
      <c r="Q10" s="1031"/>
      <c r="R10" s="842"/>
      <c r="S10" s="315"/>
      <c r="T10" s="316" t="s">
        <v>422</v>
      </c>
      <c r="U10" s="52"/>
      <c r="V10" s="52"/>
      <c r="W10" s="52"/>
      <c r="X10" s="52"/>
      <c r="Y10" s="52"/>
      <c r="Z10" s="52"/>
      <c r="AA10" s="52"/>
      <c r="AB10" s="52"/>
      <c r="AC10" s="52"/>
      <c r="AD10" s="52"/>
      <c r="AE10" s="52"/>
      <c r="AF10" s="52"/>
      <c r="AG10" s="52"/>
      <c r="AH10" s="52"/>
      <c r="AI10" s="52"/>
      <c r="AJ10" s="52"/>
      <c r="AK10" s="52"/>
      <c r="AL10" s="317"/>
      <c r="AM10" s="1191"/>
      <c r="AP10" s="582" t="str">
        <f t="shared" si="0"/>
        <v>Добавить вид теплоносителя (параметры теплоносителя)</v>
      </c>
      <c r="AS10" s="538">
        <v>0</v>
      </c>
    </row>
    <row r="11" spans="5:45" ht="15" hidden="1" customHeight="1">
      <c r="E11" s="1195"/>
      <c r="F11" s="1195"/>
      <c r="G11" s="1195"/>
      <c r="H11" s="1195"/>
      <c r="I11" s="1192"/>
      <c r="P11" s="1031"/>
      <c r="R11" s="842"/>
      <c r="S11" s="315"/>
      <c r="T11" s="318" t="s">
        <v>423</v>
      </c>
      <c r="U11" s="52"/>
      <c r="V11" s="52"/>
      <c r="W11" s="52"/>
      <c r="X11" s="52"/>
      <c r="Y11" s="52"/>
      <c r="Z11" s="52"/>
      <c r="AA11" s="52"/>
      <c r="AB11" s="52"/>
      <c r="AC11" s="319"/>
      <c r="AD11" s="52"/>
      <c r="AE11" s="52"/>
      <c r="AF11" s="52"/>
      <c r="AG11" s="52"/>
      <c r="AH11" s="52"/>
      <c r="AI11" s="52"/>
      <c r="AJ11" s="52"/>
      <c r="AK11" s="319"/>
      <c r="AL11" s="52"/>
      <c r="AM11" s="320"/>
      <c r="AP11" s="582" t="str">
        <f t="shared" si="0"/>
        <v>Добавить группу потребителей</v>
      </c>
      <c r="AS11" s="538">
        <v>0</v>
      </c>
    </row>
    <row r="12" spans="5:45" ht="14.25" hidden="1" customHeight="1">
      <c r="E12" s="1195"/>
      <c r="F12" s="1195"/>
      <c r="G12" s="1195"/>
      <c r="H12" s="1194"/>
      <c r="R12" s="310"/>
      <c r="S12" s="315"/>
      <c r="T12" s="321" t="s">
        <v>424</v>
      </c>
      <c r="U12" s="52"/>
      <c r="V12" s="52"/>
      <c r="W12" s="52"/>
      <c r="X12" s="52"/>
      <c r="Y12" s="52"/>
      <c r="Z12" s="52"/>
      <c r="AA12" s="52"/>
      <c r="AB12" s="52"/>
      <c r="AC12" s="319"/>
      <c r="AD12" s="52"/>
      <c r="AE12" s="52"/>
      <c r="AF12" s="52"/>
      <c r="AG12" s="52"/>
      <c r="AH12" s="52"/>
      <c r="AI12" s="52"/>
      <c r="AJ12" s="52"/>
      <c r="AK12" s="319"/>
      <c r="AL12" s="52"/>
      <c r="AM12" s="320"/>
      <c r="AP12" s="582" t="str">
        <f t="shared" si="0"/>
        <v>Добавить схему подключения</v>
      </c>
      <c r="AS12" s="538">
        <v>0</v>
      </c>
    </row>
    <row r="13" spans="5:45" ht="0.75" hidden="1" customHeight="1">
      <c r="E13" s="1195"/>
      <c r="F13" s="1195"/>
      <c r="G13" s="1194"/>
      <c r="S13" s="322"/>
      <c r="T13" s="323" t="s">
        <v>425</v>
      </c>
      <c r="U13" s="324"/>
      <c r="V13" s="324"/>
      <c r="W13" s="324"/>
      <c r="X13" s="324"/>
      <c r="Y13" s="324"/>
      <c r="Z13" s="324"/>
      <c r="AA13" s="324"/>
      <c r="AB13" s="324"/>
      <c r="AC13" s="324"/>
      <c r="AD13" s="324"/>
      <c r="AE13" s="324"/>
      <c r="AF13" s="324"/>
      <c r="AG13" s="324"/>
      <c r="AH13" s="324"/>
      <c r="AI13" s="324"/>
      <c r="AJ13" s="324"/>
      <c r="AK13" s="324"/>
      <c r="AL13" s="324"/>
      <c r="AM13" s="324"/>
      <c r="AP13" s="582" t="str">
        <f t="shared" si="0"/>
        <v>Добавить источник для дифференциации</v>
      </c>
      <c r="AS13" s="577">
        <v>0</v>
      </c>
    </row>
    <row r="14" spans="5:45" ht="0.75" hidden="1" customHeight="1">
      <c r="E14" s="1195"/>
      <c r="F14" s="1194"/>
      <c r="T14" s="325" t="s">
        <v>426</v>
      </c>
      <c r="AP14" s="582" t="str">
        <f t="shared" si="0"/>
        <v>Добавить централизованную систему для дифференциации</v>
      </c>
      <c r="AS14" s="577">
        <v>0</v>
      </c>
    </row>
    <row r="15" spans="5:45" ht="0.75" hidden="1" customHeight="1">
      <c r="E15" s="1194"/>
      <c r="T15" s="326" t="s">
        <v>427</v>
      </c>
      <c r="AP15" s="582" t="str">
        <f t="shared" si="0"/>
        <v>Добавить территорию для дифференциации</v>
      </c>
      <c r="AS15" s="577">
        <v>0</v>
      </c>
    </row>
    <row r="16" spans="5:45" ht="14.25" hidden="1" customHeight="1">
      <c r="AS16" s="538">
        <v>0</v>
      </c>
    </row>
    <row r="17" spans="15:45" ht="14.25" hidden="1" customHeight="1">
      <c r="AD17" s="275"/>
      <c r="AE17" s="275"/>
      <c r="AF17" s="275"/>
      <c r="AG17" s="327"/>
      <c r="AH17" s="1199"/>
      <c r="AI17" s="1200" t="s">
        <v>61</v>
      </c>
      <c r="AJ17" s="1199"/>
      <c r="AK17" s="1200" t="s">
        <v>61</v>
      </c>
      <c r="AS17" s="538">
        <v>0</v>
      </c>
    </row>
    <row r="18" spans="15:45" ht="14.25" hidden="1" customHeight="1">
      <c r="AD18" s="275"/>
      <c r="AE18" s="275"/>
      <c r="AF18" s="275"/>
      <c r="AG18" s="314" t="str">
        <f>AH17&amp;"-"&amp;AJ17</f>
        <v>-</v>
      </c>
      <c r="AH18" s="1200"/>
      <c r="AI18" s="1200"/>
      <c r="AJ18" s="1200"/>
      <c r="AK18" s="1200"/>
      <c r="AS18" s="538">
        <v>0</v>
      </c>
    </row>
    <row r="19" spans="15:45" ht="14.25" hidden="1" customHeight="1">
      <c r="AS19" s="538">
        <v>0</v>
      </c>
    </row>
    <row r="20" spans="15:45" ht="22.5" hidden="1" customHeight="1">
      <c r="O20" s="328" t="s">
        <v>428</v>
      </c>
      <c r="Z20" s="328"/>
      <c r="AB20" s="328"/>
      <c r="AH20" s="328"/>
      <c r="AJ20" s="328"/>
      <c r="AS20" s="555">
        <v>0</v>
      </c>
    </row>
    <row r="21" spans="15:45" ht="14.25" hidden="1" customHeight="1">
      <c r="AS21" s="555">
        <v>0</v>
      </c>
    </row>
    <row r="22" spans="15:45" ht="14.25" hidden="1" customHeight="1">
      <c r="O22" s="841" t="s">
        <v>429</v>
      </c>
      <c r="T22" s="555" t="s">
        <v>430</v>
      </c>
      <c r="AA22" s="598" t="s">
        <v>431</v>
      </c>
      <c r="AC22" s="598" t="s">
        <v>432</v>
      </c>
      <c r="AD22" s="555" t="s">
        <v>430</v>
      </c>
      <c r="AI22" s="598" t="s">
        <v>433</v>
      </c>
      <c r="AK22" s="598" t="s">
        <v>432</v>
      </c>
      <c r="AS22" s="555">
        <v>0</v>
      </c>
    </row>
    <row r="23" spans="15:45" ht="14.25" hidden="1" customHeight="1">
      <c r="AS23" s="538">
        <v>0</v>
      </c>
    </row>
    <row r="24" spans="15:45" ht="14.25" hidden="1" customHeight="1">
      <c r="AS24" s="538">
        <v>0</v>
      </c>
    </row>
    <row r="25" spans="15:45" ht="14.65" customHeight="1">
      <c r="Q25" s="756"/>
      <c r="R25" s="756"/>
      <c r="S25" s="847"/>
      <c r="T25" s="556"/>
      <c r="U25" s="556"/>
      <c r="AS25" s="538">
        <v>14</v>
      </c>
    </row>
    <row r="26" spans="15:45" ht="14.65" customHeight="1">
      <c r="Q26" s="756"/>
      <c r="R26" s="756"/>
      <c r="S26" s="11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178"/>
      <c r="U26" s="1178"/>
      <c r="V26" s="1178"/>
      <c r="W26" s="1178"/>
      <c r="X26" s="1178"/>
      <c r="Y26" s="1178"/>
      <c r="Z26" s="1178"/>
      <c r="AA26" s="1178"/>
      <c r="AB26" s="1178"/>
      <c r="AC26" s="1178"/>
      <c r="AD26" s="1178"/>
      <c r="AE26" s="1178"/>
      <c r="AF26" s="1178"/>
      <c r="AG26" s="1178"/>
      <c r="AH26" s="1178"/>
      <c r="AI26" s="1178"/>
      <c r="AJ26" s="1178"/>
      <c r="AS26" s="538">
        <v>14</v>
      </c>
    </row>
    <row r="27" spans="15:45" ht="14.65" customHeight="1">
      <c r="Q27" s="756"/>
      <c r="R27" s="756"/>
      <c r="S27" s="1127" t="str">
        <f>IF(org=0,"Не определено",org)</f>
        <v>АО "НИЖЕГОРОДСКИЙ ВОДОКАНАЛ"</v>
      </c>
      <c r="T27" s="1127"/>
      <c r="U27" s="1127"/>
      <c r="V27" s="1127"/>
      <c r="W27" s="1127"/>
      <c r="X27" s="1127"/>
      <c r="Y27" s="1127"/>
      <c r="Z27" s="1127"/>
      <c r="AA27" s="1127"/>
      <c r="AB27" s="1127"/>
      <c r="AC27" s="1127"/>
      <c r="AD27" s="1127"/>
      <c r="AE27" s="1127"/>
      <c r="AF27" s="1127"/>
      <c r="AG27" s="1127"/>
      <c r="AH27" s="1127"/>
      <c r="AI27" s="1127"/>
      <c r="AJ27" s="1127"/>
      <c r="AS27" s="538">
        <v>14</v>
      </c>
    </row>
    <row r="28" spans="15:45" ht="14.25" hidden="1" customHeight="1">
      <c r="Q28" s="756"/>
      <c r="R28" s="756"/>
      <c r="S28" s="847"/>
      <c r="T28" s="556"/>
      <c r="U28" s="556"/>
      <c r="V28" s="826"/>
      <c r="W28" s="826"/>
      <c r="X28" s="826"/>
      <c r="Y28" s="826"/>
      <c r="Z28" s="826"/>
      <c r="AA28" s="826"/>
      <c r="AB28" s="826"/>
      <c r="AC28" s="826"/>
      <c r="AD28" s="826"/>
      <c r="AE28" s="826"/>
      <c r="AF28" s="826"/>
      <c r="AG28" s="826"/>
      <c r="AH28" s="826"/>
      <c r="AI28" s="826"/>
      <c r="AJ28" s="826"/>
      <c r="AK28" s="826"/>
      <c r="AS28" s="538">
        <v>0</v>
      </c>
    </row>
    <row r="29" spans="15:45" ht="25.5" hidden="1" customHeight="1">
      <c r="S29" s="1186" t="s">
        <v>41</v>
      </c>
      <c r="T29" s="1186"/>
      <c r="U29" s="849"/>
      <c r="V29" s="1187" t="str">
        <f>IF(TITLE_NAME_OR_PR_CHANGE="",IF(TITLE_NAME_OR_PR="","",TITLE_NAME_OR_PR),TITLE_NAME_OR_PR_CHANGE)</f>
        <v/>
      </c>
      <c r="W29" s="1187"/>
      <c r="X29" s="1187"/>
      <c r="Y29" s="1187"/>
      <c r="Z29" s="1187"/>
      <c r="AA29" s="1187"/>
      <c r="AB29" s="1187"/>
      <c r="AD29" s="1187" t="str">
        <f>IF(TITLE_NAME_OR_PR_CHANGE="",IF(TITLE_NAME_OR_PR="","",TITLE_NAME_OR_PR),TITLE_NAME_OR_PR_CHANGE)</f>
        <v/>
      </c>
      <c r="AE29" s="1187"/>
      <c r="AF29" s="1187"/>
      <c r="AG29" s="1187"/>
      <c r="AH29" s="1187"/>
      <c r="AI29" s="1187"/>
      <c r="AJ29" s="1187"/>
      <c r="AS29" s="592">
        <v>0</v>
      </c>
    </row>
    <row r="30" spans="15:45" ht="18.75" hidden="1" customHeight="1">
      <c r="S30" s="1186" t="s">
        <v>434</v>
      </c>
      <c r="T30" s="1186"/>
      <c r="U30" s="849"/>
      <c r="V30" s="1196" t="str">
        <f>IF(TITLE_DATE_PR_CHANGE="",IF(TITLE_DATE_PR="","",TITLE_DATE_PR),TITLE_DATE_PR_CHANGE)</f>
        <v/>
      </c>
      <c r="W30" s="1196"/>
      <c r="X30" s="1196"/>
      <c r="Y30" s="1196"/>
      <c r="Z30" s="1196"/>
      <c r="AA30" s="1196"/>
      <c r="AB30" s="1196"/>
      <c r="AD30" s="1196" t="str">
        <f>IF(TITLE_DATE_PR_CHANGE="",IF(TITLE_DATE_PR="","",TITLE_DATE_PR),TITLE_DATE_PR_CHANGE)</f>
        <v/>
      </c>
      <c r="AE30" s="1196"/>
      <c r="AF30" s="1196"/>
      <c r="AG30" s="1196"/>
      <c r="AH30" s="1196"/>
      <c r="AI30" s="1196"/>
      <c r="AJ30" s="1196"/>
      <c r="AS30" s="592">
        <v>0</v>
      </c>
    </row>
    <row r="31" spans="15:45" ht="18.75" hidden="1" customHeight="1">
      <c r="S31" s="1186" t="s">
        <v>435</v>
      </c>
      <c r="T31" s="1186"/>
      <c r="U31" s="849"/>
      <c r="V31" s="1187" t="str">
        <f>IF(TITLE_NUMBER_PR_CHANGE="",IF(TITLE_NUMBER_PR="","",TITLE_NUMBER_PR),TITLE_NUMBER_PR_CHANGE)</f>
        <v/>
      </c>
      <c r="W31" s="1187"/>
      <c r="X31" s="1187"/>
      <c r="Y31" s="1187"/>
      <c r="Z31" s="1187"/>
      <c r="AA31" s="1187"/>
      <c r="AB31" s="1187"/>
      <c r="AD31" s="1187" t="str">
        <f>IF(TITLE_NUMBER_PR_CHANGE="",IF(TITLE_NUMBER_PR="","",TITLE_NUMBER_PR),TITLE_NUMBER_PR_CHANGE)</f>
        <v/>
      </c>
      <c r="AE31" s="1187"/>
      <c r="AF31" s="1187"/>
      <c r="AG31" s="1187"/>
      <c r="AH31" s="1187"/>
      <c r="AI31" s="1187"/>
      <c r="AJ31" s="1187"/>
      <c r="AS31" s="592">
        <v>0</v>
      </c>
    </row>
    <row r="32" spans="15:45" ht="18.75" hidden="1" customHeight="1">
      <c r="S32" s="1186" t="s">
        <v>42</v>
      </c>
      <c r="T32" s="1186"/>
      <c r="U32" s="849"/>
      <c r="V32" s="1187" t="str">
        <f>IF(TITLE_IST_PUB_CHANGE="",IF(TITLE_IST_PUB="","",TITLE_IST_PUB),TITLE_IST_PUB_CHANGE)</f>
        <v/>
      </c>
      <c r="W32" s="1187"/>
      <c r="X32" s="1187"/>
      <c r="Y32" s="1187"/>
      <c r="Z32" s="1187"/>
      <c r="AA32" s="1187"/>
      <c r="AB32" s="1187"/>
      <c r="AD32" s="1187" t="str">
        <f>IF(TITLE_IST_PUB_CHANGE="",IF(TITLE_IST_PUB="","",TITLE_IST_PUB),TITLE_IST_PUB_CHANGE)</f>
        <v/>
      </c>
      <c r="AE32" s="1187"/>
      <c r="AF32" s="1187"/>
      <c r="AG32" s="1187"/>
      <c r="AH32" s="1187"/>
      <c r="AI32" s="1187"/>
      <c r="AJ32" s="1187"/>
      <c r="AS32" s="592">
        <v>0</v>
      </c>
    </row>
    <row r="33" spans="1:45" ht="14.25" hidden="1" customHeight="1">
      <c r="Q33" s="756"/>
      <c r="R33" s="756"/>
      <c r="S33" s="847"/>
      <c r="T33" s="556"/>
      <c r="U33" s="556"/>
      <c r="V33" s="826"/>
      <c r="W33" s="826"/>
      <c r="X33" s="826"/>
      <c r="Y33" s="826"/>
      <c r="Z33" s="826"/>
      <c r="AA33" s="826"/>
      <c r="AB33" s="826"/>
      <c r="AC33" s="826"/>
      <c r="AD33" s="826"/>
      <c r="AE33" s="826"/>
      <c r="AF33" s="826"/>
      <c r="AG33" s="826"/>
      <c r="AH33" s="826"/>
      <c r="AI33" s="826"/>
      <c r="AJ33" s="826"/>
      <c r="AK33" s="826"/>
      <c r="AS33" s="538">
        <v>0</v>
      </c>
    </row>
    <row r="34" spans="1:45" ht="18.75" hidden="1" customHeight="1">
      <c r="S34" s="1186" t="s">
        <v>436</v>
      </c>
      <c r="T34" s="1186"/>
      <c r="U34" s="849"/>
      <c r="V34" s="1196" t="str">
        <f>IF(TITLE_DATE_PR_CHANGE="",IF(TITLE_DATE_PR="","",TITLE_DATE_PR),TITLE_DATE_PR_CHANGE)</f>
        <v/>
      </c>
      <c r="W34" s="1196"/>
      <c r="X34" s="1196"/>
      <c r="Y34" s="1196"/>
      <c r="Z34" s="1196"/>
      <c r="AA34" s="1196"/>
      <c r="AB34" s="1196"/>
      <c r="AD34" s="1196" t="str">
        <f>IF(TITLE_DATE_PR_CHANGE="",IF(TITLE_DATE_PR="","",TITLE_DATE_PR),TITLE_DATE_PR_CHANGE)</f>
        <v/>
      </c>
      <c r="AE34" s="1196"/>
      <c r="AF34" s="1196"/>
      <c r="AG34" s="1196"/>
      <c r="AH34" s="1196"/>
      <c r="AI34" s="1196"/>
      <c r="AJ34" s="1196"/>
      <c r="AS34" s="592">
        <v>0</v>
      </c>
    </row>
    <row r="35" spans="1:45" ht="18.75" hidden="1" customHeight="1">
      <c r="S35" s="1186" t="s">
        <v>437</v>
      </c>
      <c r="T35" s="1186"/>
      <c r="U35" s="849"/>
      <c r="V35" s="1187" t="str">
        <f>IF(TITLE_NUMBER_PR_CHANGE="",IF(TITLE_NUMBER_PR="","",TITLE_NUMBER_PR),TITLE_NUMBER_PR_CHANGE)</f>
        <v/>
      </c>
      <c r="W35" s="1187"/>
      <c r="X35" s="1187"/>
      <c r="Y35" s="1187"/>
      <c r="Z35" s="1187"/>
      <c r="AA35" s="1187"/>
      <c r="AB35" s="1187"/>
      <c r="AD35" s="1187" t="str">
        <f>IF(TITLE_NUMBER_PR_CHANGE="",IF(TITLE_NUMBER_PR="","",TITLE_NUMBER_PR),TITLE_NUMBER_PR_CHANGE)</f>
        <v/>
      </c>
      <c r="AE35" s="1187"/>
      <c r="AF35" s="1187"/>
      <c r="AG35" s="1187"/>
      <c r="AH35" s="1187"/>
      <c r="AI35" s="1187"/>
      <c r="AJ35" s="1187"/>
      <c r="AS35" s="592">
        <v>0</v>
      </c>
    </row>
    <row r="36" spans="1:45" ht="0" hidden="1" customHeight="1">
      <c r="AC36" s="577" t="s">
        <v>438</v>
      </c>
      <c r="AK36" s="577" t="s">
        <v>438</v>
      </c>
      <c r="AS36" s="592">
        <v>0</v>
      </c>
    </row>
    <row r="37" spans="1:45" ht="14.65" customHeight="1">
      <c r="Q37" s="756"/>
      <c r="R37" s="756"/>
      <c r="S37" s="847"/>
      <c r="T37" s="556"/>
      <c r="U37" s="850"/>
      <c r="V37" s="1188"/>
      <c r="W37" s="1188"/>
      <c r="X37" s="1188"/>
      <c r="Y37" s="1188"/>
      <c r="Z37" s="1188"/>
      <c r="AA37" s="1188"/>
      <c r="AB37" s="1188"/>
      <c r="AC37" s="1188"/>
      <c r="AD37" s="1188"/>
      <c r="AE37" s="1188"/>
      <c r="AF37" s="1188"/>
      <c r="AG37" s="1188"/>
      <c r="AH37" s="1188"/>
      <c r="AI37" s="1188"/>
      <c r="AJ37" s="1188"/>
      <c r="AK37" s="1188"/>
      <c r="AS37" s="538">
        <v>14</v>
      </c>
    </row>
    <row r="38" spans="1:45" ht="14.65" customHeight="1">
      <c r="Q38" s="756"/>
      <c r="R38" s="756"/>
      <c r="S38" s="1066" t="s">
        <v>311</v>
      </c>
      <c r="T38" s="1066"/>
      <c r="U38" s="1066"/>
      <c r="V38" s="1066"/>
      <c r="W38" s="1066"/>
      <c r="X38" s="1066"/>
      <c r="Y38" s="1066"/>
      <c r="Z38" s="1066"/>
      <c r="AA38" s="1066"/>
      <c r="AB38" s="1066"/>
      <c r="AC38" s="1066"/>
      <c r="AD38" s="1066"/>
      <c r="AE38" s="1066"/>
      <c r="AF38" s="1066"/>
      <c r="AG38" s="1066"/>
      <c r="AH38" s="1066"/>
      <c r="AI38" s="1066"/>
      <c r="AJ38" s="1066"/>
      <c r="AK38" s="1066"/>
      <c r="AL38" s="1066"/>
      <c r="AM38" s="1066" t="s">
        <v>312</v>
      </c>
      <c r="AS38" s="538">
        <v>14</v>
      </c>
    </row>
    <row r="39" spans="1:45" ht="14.65" customHeight="1">
      <c r="Q39" s="756"/>
      <c r="R39" s="756"/>
      <c r="S39" s="1202" t="s">
        <v>87</v>
      </c>
      <c r="T39" s="1154" t="s">
        <v>439</v>
      </c>
      <c r="U39" s="817"/>
      <c r="V39" s="1203" t="s">
        <v>440</v>
      </c>
      <c r="W39" s="1204"/>
      <c r="X39" s="1204"/>
      <c r="Y39" s="1204"/>
      <c r="Z39" s="1204"/>
      <c r="AA39" s="1204"/>
      <c r="AB39" s="1205"/>
      <c r="AC39" s="1206" t="s">
        <v>441</v>
      </c>
      <c r="AD39" s="1203" t="s">
        <v>440</v>
      </c>
      <c r="AE39" s="1204"/>
      <c r="AF39" s="1204"/>
      <c r="AG39" s="1204"/>
      <c r="AH39" s="1204"/>
      <c r="AI39" s="1204"/>
      <c r="AJ39" s="1205"/>
      <c r="AK39" s="1206" t="s">
        <v>442</v>
      </c>
      <c r="AL39" s="1209" t="s">
        <v>443</v>
      </c>
      <c r="AM39" s="1066"/>
      <c r="AS39" s="538">
        <v>14</v>
      </c>
    </row>
    <row r="40" spans="1:45" ht="35.65" customHeight="1">
      <c r="Q40" s="756"/>
      <c r="R40" s="756"/>
      <c r="S40" s="1202"/>
      <c r="T40" s="1154"/>
      <c r="U40" s="822"/>
      <c r="V40" s="1126" t="s">
        <v>444</v>
      </c>
      <c r="W40" s="1212" t="s">
        <v>445</v>
      </c>
      <c r="X40" s="1048" t="s">
        <v>446</v>
      </c>
      <c r="Y40" s="1047"/>
      <c r="Z40" s="1048" t="s">
        <v>447</v>
      </c>
      <c r="AA40" s="1053"/>
      <c r="AB40" s="1047"/>
      <c r="AC40" s="1207"/>
      <c r="AD40" s="1126" t="s">
        <v>444</v>
      </c>
      <c r="AE40" s="1212" t="s">
        <v>445</v>
      </c>
      <c r="AF40" s="1048" t="s">
        <v>446</v>
      </c>
      <c r="AG40" s="1047"/>
      <c r="AH40" s="1048" t="s">
        <v>447</v>
      </c>
      <c r="AI40" s="1053"/>
      <c r="AJ40" s="1047"/>
      <c r="AK40" s="1207"/>
      <c r="AL40" s="1210"/>
      <c r="AM40" s="1066"/>
      <c r="AS40" s="538">
        <v>34</v>
      </c>
    </row>
    <row r="41" spans="1:45" ht="35.65" customHeight="1">
      <c r="B41" s="598" t="s">
        <v>148</v>
      </c>
      <c r="C41" s="598" t="s">
        <v>149</v>
      </c>
      <c r="D41" s="598" t="s">
        <v>150</v>
      </c>
      <c r="E41" s="841" t="s">
        <v>448</v>
      </c>
      <c r="F41" s="841" t="s">
        <v>449</v>
      </c>
      <c r="G41" s="841" t="s">
        <v>450</v>
      </c>
      <c r="H41" s="841" t="s">
        <v>451</v>
      </c>
      <c r="I41" s="841" t="s">
        <v>452</v>
      </c>
      <c r="J41" s="841" t="s">
        <v>453</v>
      </c>
      <c r="K41" s="841" t="s">
        <v>454</v>
      </c>
      <c r="L41" s="841" t="s">
        <v>429</v>
      </c>
      <c r="Q41" s="756"/>
      <c r="R41" s="756"/>
      <c r="S41" s="1202"/>
      <c r="T41" s="1154"/>
      <c r="U41" s="852"/>
      <c r="V41" s="1173"/>
      <c r="W41" s="1213"/>
      <c r="X41" s="602" t="s">
        <v>455</v>
      </c>
      <c r="Y41" s="602" t="s">
        <v>456</v>
      </c>
      <c r="Z41" s="602" t="s">
        <v>457</v>
      </c>
      <c r="AA41" s="1162" t="s">
        <v>458</v>
      </c>
      <c r="AB41" s="1164"/>
      <c r="AC41" s="1208"/>
      <c r="AD41" s="1173"/>
      <c r="AE41" s="1213"/>
      <c r="AF41" s="602" t="s">
        <v>455</v>
      </c>
      <c r="AG41" s="602" t="s">
        <v>456</v>
      </c>
      <c r="AH41" s="602" t="s">
        <v>457</v>
      </c>
      <c r="AI41" s="1162" t="s">
        <v>458</v>
      </c>
      <c r="AJ41" s="1164"/>
      <c r="AK41" s="1208"/>
      <c r="AL41" s="1211"/>
      <c r="AM41" s="1066"/>
      <c r="AS41" s="538">
        <v>34</v>
      </c>
    </row>
    <row r="42" spans="1:45" ht="11.25" hidden="1" customHeight="1">
      <c r="Q42" s="853"/>
      <c r="R42" s="854">
        <v>1</v>
      </c>
      <c r="S42" s="329" t="s">
        <v>114</v>
      </c>
      <c r="T42" s="330" t="s">
        <v>102</v>
      </c>
      <c r="U42" s="855" t="str">
        <f ca="1">OFFSET(U42,0,-1)</f>
        <v>2</v>
      </c>
      <c r="V42" s="856">
        <f ca="1">OFFSET(V42,0,-1)+1</f>
        <v>3</v>
      </c>
      <c r="W42" s="856"/>
      <c r="X42" s="856">
        <f ca="1">OFFSET(X42,0,-1)+1</f>
        <v>1</v>
      </c>
      <c r="Y42" s="856">
        <f ca="1">OFFSET(Y42,0,-1)+1</f>
        <v>2</v>
      </c>
      <c r="Z42" s="856">
        <f ca="1">OFFSET(Z42,0,-1)+1</f>
        <v>3</v>
      </c>
      <c r="AA42" s="1201">
        <f ca="1">OFFSET(AA42,0,-1)+1</f>
        <v>4</v>
      </c>
      <c r="AB42" s="1201"/>
      <c r="AC42" s="856">
        <f ca="1">OFFSET(AC42,0,-2)+1</f>
        <v>5</v>
      </c>
      <c r="AD42" s="856">
        <f ca="1">OFFSET(AD42,0,-1)+1</f>
        <v>6</v>
      </c>
      <c r="AE42" s="856"/>
      <c r="AF42" s="856">
        <f ca="1">OFFSET(AF42,0,-1)+1</f>
        <v>1</v>
      </c>
      <c r="AG42" s="856">
        <f ca="1">OFFSET(AG42,0,-1)+1</f>
        <v>2</v>
      </c>
      <c r="AH42" s="856">
        <f ca="1">OFFSET(AH42,0,-1)+1</f>
        <v>3</v>
      </c>
      <c r="AI42" s="1201">
        <f ca="1">OFFSET(AI42,0,-1)+1</f>
        <v>4</v>
      </c>
      <c r="AJ42" s="1201"/>
      <c r="AK42" s="856">
        <f ca="1">OFFSET(AK42,0,-2)+1</f>
        <v>5</v>
      </c>
      <c r="AL42" s="855">
        <f ca="1">OFFSET(AL42,0,-1)</f>
        <v>5</v>
      </c>
      <c r="AM42" s="856">
        <f ca="1">OFFSET(AM42,0,-1)+1</f>
        <v>6</v>
      </c>
      <c r="AS42" s="681">
        <v>0</v>
      </c>
    </row>
    <row r="43" spans="1:45" ht="24" customHeight="1">
      <c r="A43" s="857" t="s">
        <v>169</v>
      </c>
      <c r="E43" s="1194">
        <v>1</v>
      </c>
      <c r="R43" s="310"/>
      <c r="S43" s="832">
        <f>INDEX(PT_DIFFERENTIATION_NUM_NTAR,MATCH(A43,PT_DIFFERENTIATION_NTAR_ID,0))</f>
        <v>0</v>
      </c>
      <c r="T43" s="795" t="s">
        <v>136</v>
      </c>
      <c r="U43" s="833"/>
      <c r="V43" s="1180"/>
      <c r="W43" s="1181"/>
      <c r="X43" s="1181"/>
      <c r="Y43" s="1181"/>
      <c r="Z43" s="1181"/>
      <c r="AA43" s="1181"/>
      <c r="AB43" s="1181"/>
      <c r="AC43" s="1182"/>
      <c r="AD43" s="1180" t="str">
        <f>INDEX(PT_DIFFERENTIATION_NTAR,MATCH(A43,PT_DIFFERENTIATION_NTAR_ID,0))</f>
        <v/>
      </c>
      <c r="AE43" s="1181"/>
      <c r="AF43" s="1181"/>
      <c r="AG43" s="1181"/>
      <c r="AH43" s="1181"/>
      <c r="AI43" s="1181"/>
      <c r="AJ43" s="1181"/>
      <c r="AK43" s="1181"/>
      <c r="AL43" s="1182"/>
      <c r="AM43" s="83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582" t="str">
        <f t="shared" ref="AP43:AP57" si="1">IF(T43="","",T43)</f>
        <v>Наименование тарифа</v>
      </c>
      <c r="AS43" s="538">
        <v>23</v>
      </c>
    </row>
    <row r="44" spans="1:45" ht="24" customHeight="1">
      <c r="A44" s="857" t="s">
        <v>169</v>
      </c>
      <c r="B44" s="857" t="s">
        <v>170</v>
      </c>
      <c r="E44" s="1195"/>
      <c r="F44" s="1194">
        <v>1</v>
      </c>
      <c r="Q44" s="836"/>
      <c r="R44" s="837"/>
      <c r="S44" s="832" t="str">
        <f>INDEX(PT_DIFFERENTIATION_NUM_TER,MATCH(B44,PT_DIFFERENTIATION_TER_ID,0))</f>
        <v>.</v>
      </c>
      <c r="T44" s="838" t="s">
        <v>408</v>
      </c>
      <c r="U44" s="833"/>
      <c r="V44" s="1180"/>
      <c r="W44" s="1181"/>
      <c r="X44" s="1181"/>
      <c r="Y44" s="1181"/>
      <c r="Z44" s="1181"/>
      <c r="AA44" s="1181"/>
      <c r="AB44" s="1181"/>
      <c r="AC44" s="1182"/>
      <c r="AD44" s="1180" t="str">
        <f>INDEX(PT_DIFFERENTIATION_TER,MATCH(B44,PT_DIFFERENTIATION_TER_ID,0))</f>
        <v/>
      </c>
      <c r="AE44" s="1181"/>
      <c r="AF44" s="1181"/>
      <c r="AG44" s="1181"/>
      <c r="AH44" s="1181"/>
      <c r="AI44" s="1181"/>
      <c r="AJ44" s="1181"/>
      <c r="AK44" s="1181"/>
      <c r="AL44" s="1182"/>
      <c r="AM44" s="835" t="s">
        <v>409</v>
      </c>
      <c r="AP44" s="582" t="str">
        <f t="shared" si="1"/>
        <v>Территория действия тарифа</v>
      </c>
      <c r="AS44" s="538">
        <v>23</v>
      </c>
    </row>
    <row r="45" spans="1:45" ht="24" customHeight="1">
      <c r="A45" s="857" t="s">
        <v>169</v>
      </c>
      <c r="B45" s="857" t="s">
        <v>170</v>
      </c>
      <c r="C45" s="857" t="s">
        <v>171</v>
      </c>
      <c r="E45" s="1195"/>
      <c r="F45" s="1195"/>
      <c r="G45" s="1194">
        <v>1</v>
      </c>
      <c r="Q45" s="836"/>
      <c r="R45" s="837"/>
      <c r="S45" s="832" t="str">
        <f>INDEX(PT_DIFFERENTIATION_NUM_CS,MATCH(C45,PT_DIFFERENTIATION_CS_ID,0))</f>
        <v>..</v>
      </c>
      <c r="T45" s="839" t="s">
        <v>410</v>
      </c>
      <c r="U45" s="833"/>
      <c r="V45" s="1180"/>
      <c r="W45" s="1181"/>
      <c r="X45" s="1181"/>
      <c r="Y45" s="1181"/>
      <c r="Z45" s="1181"/>
      <c r="AA45" s="1181"/>
      <c r="AB45" s="1181"/>
      <c r="AC45" s="1182"/>
      <c r="AD45" s="1180" t="str">
        <f>INDEX(PT_DIFFERENTIATION_CS,MATCH(C45,PT_DIFFERENTIATION_CS_ID,0))</f>
        <v/>
      </c>
      <c r="AE45" s="1181"/>
      <c r="AF45" s="1181"/>
      <c r="AG45" s="1181"/>
      <c r="AH45" s="1181"/>
      <c r="AI45" s="1181"/>
      <c r="AJ45" s="1181"/>
      <c r="AK45" s="1181"/>
      <c r="AL45" s="1182"/>
      <c r="AM45" s="835" t="s">
        <v>411</v>
      </c>
      <c r="AP45" s="582" t="str">
        <f t="shared" si="1"/>
        <v xml:space="preserve">Наименование системы теплоснабжения </v>
      </c>
      <c r="AS45" s="538">
        <v>23</v>
      </c>
    </row>
    <row r="46" spans="1:45" ht="24" customHeight="1">
      <c r="A46" s="857" t="s">
        <v>169</v>
      </c>
      <c r="B46" s="857" t="s">
        <v>170</v>
      </c>
      <c r="C46" s="857" t="s">
        <v>171</v>
      </c>
      <c r="D46" s="857" t="s">
        <v>172</v>
      </c>
      <c r="E46" s="1195"/>
      <c r="F46" s="1195"/>
      <c r="G46" s="1195"/>
      <c r="H46" s="1194">
        <v>1</v>
      </c>
      <c r="Q46" s="836"/>
      <c r="R46" s="837"/>
      <c r="S46" s="832" t="str">
        <f>INDEX(PT_DIFFERENTIATION_NUM_IST_TE,MATCH(D46,PT_DIFFERENTIATION_IST_TE_ID,0))</f>
        <v>...</v>
      </c>
      <c r="T46" s="840" t="s">
        <v>412</v>
      </c>
      <c r="U46" s="833"/>
      <c r="V46" s="1180"/>
      <c r="W46" s="1181"/>
      <c r="X46" s="1181"/>
      <c r="Y46" s="1181"/>
      <c r="Z46" s="1181"/>
      <c r="AA46" s="1181"/>
      <c r="AB46" s="1181"/>
      <c r="AC46" s="1182"/>
      <c r="AD46" s="1180" t="str">
        <f>INDEX(PT_DIFFERENTIATION_IST_TE,MATCH(D46,PT_DIFFERENTIATION_IST_TE_ID,0))</f>
        <v/>
      </c>
      <c r="AE46" s="1181"/>
      <c r="AF46" s="1181"/>
      <c r="AG46" s="1181"/>
      <c r="AH46" s="1181"/>
      <c r="AI46" s="1181"/>
      <c r="AJ46" s="1181"/>
      <c r="AK46" s="1181"/>
      <c r="AL46" s="1182"/>
      <c r="AM46" s="835" t="s">
        <v>413</v>
      </c>
      <c r="AP46" s="582" t="str">
        <f t="shared" si="1"/>
        <v xml:space="preserve">Источник тепловой энергии  </v>
      </c>
      <c r="AS46" s="538">
        <v>23</v>
      </c>
    </row>
    <row r="47" spans="1:45" ht="49.5" customHeight="1">
      <c r="A47" s="857" t="s">
        <v>169</v>
      </c>
      <c r="B47" s="857" t="s">
        <v>170</v>
      </c>
      <c r="C47" s="857" t="s">
        <v>171</v>
      </c>
      <c r="D47" s="857" t="s">
        <v>172</v>
      </c>
      <c r="E47" s="1195"/>
      <c r="F47" s="1195"/>
      <c r="G47" s="1195"/>
      <c r="H47" s="1195"/>
      <c r="I47" s="1192" t="str">
        <f>S46&amp;".1"</f>
        <v>....1</v>
      </c>
      <c r="L47" s="841" t="s">
        <v>414</v>
      </c>
      <c r="P47" s="1193">
        <v>1</v>
      </c>
      <c r="R47" s="842"/>
      <c r="S47" s="832" t="str">
        <f>$I47</f>
        <v>....1</v>
      </c>
      <c r="T47" s="843" t="s">
        <v>415</v>
      </c>
      <c r="U47" s="833"/>
      <c r="V47" s="1183"/>
      <c r="W47" s="1184"/>
      <c r="X47" s="1184"/>
      <c r="Y47" s="1184"/>
      <c r="Z47" s="1184"/>
      <c r="AA47" s="1184"/>
      <c r="AB47" s="1184"/>
      <c r="AC47" s="1185"/>
      <c r="AD47" s="1183"/>
      <c r="AE47" s="1184"/>
      <c r="AF47" s="1184"/>
      <c r="AG47" s="1184"/>
      <c r="AH47" s="1184"/>
      <c r="AI47" s="1184"/>
      <c r="AJ47" s="1184"/>
      <c r="AK47" s="1184"/>
      <c r="AL47" s="1185"/>
      <c r="AM47" s="835" t="s">
        <v>416</v>
      </c>
      <c r="AP47" s="582" t="str">
        <f t="shared" si="1"/>
        <v>Схема подключения теплопотребляющей установки к коллектору источника тепловой энергии</v>
      </c>
      <c r="AS47" s="538">
        <v>47</v>
      </c>
    </row>
    <row r="48" spans="1:45" ht="24" customHeight="1">
      <c r="A48" s="857" t="s">
        <v>169</v>
      </c>
      <c r="B48" s="857" t="s">
        <v>170</v>
      </c>
      <c r="C48" s="857" t="s">
        <v>171</v>
      </c>
      <c r="D48" s="857" t="s">
        <v>172</v>
      </c>
      <c r="E48" s="1195"/>
      <c r="F48" s="1195"/>
      <c r="G48" s="1195"/>
      <c r="H48" s="1195"/>
      <c r="I48" s="1214"/>
      <c r="J48" s="1192" t="str">
        <f>I47&amp;".1"</f>
        <v>....1.1</v>
      </c>
      <c r="L48" s="841" t="s">
        <v>417</v>
      </c>
      <c r="P48" s="1031"/>
      <c r="Q48" s="1193">
        <v>1</v>
      </c>
      <c r="R48" s="844"/>
      <c r="S48" s="832" t="str">
        <f>$J48</f>
        <v>....1.1</v>
      </c>
      <c r="T48" s="845" t="s">
        <v>418</v>
      </c>
      <c r="U48" s="833"/>
      <c r="V48" s="1183"/>
      <c r="W48" s="1184"/>
      <c r="X48" s="1184"/>
      <c r="Y48" s="1184"/>
      <c r="Z48" s="1184"/>
      <c r="AA48" s="1184"/>
      <c r="AB48" s="1184"/>
      <c r="AC48" s="1185"/>
      <c r="AD48" s="1183"/>
      <c r="AE48" s="1184"/>
      <c r="AF48" s="1184"/>
      <c r="AG48" s="1184"/>
      <c r="AH48" s="1184"/>
      <c r="AI48" s="1184"/>
      <c r="AJ48" s="1184"/>
      <c r="AK48" s="1184"/>
      <c r="AL48" s="1185"/>
      <c r="AM48" s="835" t="s">
        <v>419</v>
      </c>
      <c r="AP48" s="582" t="str">
        <f t="shared" si="1"/>
        <v>Группа потребителей</v>
      </c>
      <c r="AS48" s="538">
        <v>23</v>
      </c>
    </row>
    <row r="49" spans="1:45" ht="24" customHeight="1">
      <c r="A49" s="857" t="s">
        <v>169</v>
      </c>
      <c r="B49" s="857" t="s">
        <v>170</v>
      </c>
      <c r="C49" s="857" t="s">
        <v>171</v>
      </c>
      <c r="D49" s="857" t="s">
        <v>172</v>
      </c>
      <c r="E49" s="1195"/>
      <c r="F49" s="1195"/>
      <c r="G49" s="1195"/>
      <c r="H49" s="1195"/>
      <c r="I49" s="1214"/>
      <c r="J49" s="1214"/>
      <c r="K49" s="1192" t="str">
        <f>J48&amp;".1"</f>
        <v>....1.1.1</v>
      </c>
      <c r="L49" s="841" t="s">
        <v>420</v>
      </c>
      <c r="P49" s="1031"/>
      <c r="Q49" s="1031"/>
      <c r="R49" s="844">
        <v>1</v>
      </c>
      <c r="S49" s="832" t="str">
        <f>$K49</f>
        <v>....1.1.1</v>
      </c>
      <c r="T49" s="846"/>
      <c r="U49" s="833"/>
      <c r="V49" s="311"/>
      <c r="W49" s="312"/>
      <c r="X49" s="311"/>
      <c r="Y49" s="313"/>
      <c r="Z49" s="1197"/>
      <c r="AA49" s="1058" t="s">
        <v>61</v>
      </c>
      <c r="AB49" s="1197"/>
      <c r="AC49" s="1058" t="s">
        <v>61</v>
      </c>
      <c r="AD49" s="311"/>
      <c r="AE49" s="312"/>
      <c r="AF49" s="311"/>
      <c r="AG49" s="313"/>
      <c r="AH49" s="1197"/>
      <c r="AI49" s="1058" t="s">
        <v>61</v>
      </c>
      <c r="AJ49" s="1215"/>
      <c r="AK49" s="1058" t="s">
        <v>61</v>
      </c>
      <c r="AL49" s="331"/>
      <c r="AM49" s="1189" t="s">
        <v>421</v>
      </c>
      <c r="AN49" s="577" t="e">
        <f ca="1">STRCHECKDATE(V50:AL50)</f>
        <v>#NAME?</v>
      </c>
      <c r="AP49" s="582" t="str">
        <f t="shared" si="1"/>
        <v/>
      </c>
      <c r="AS49" s="538">
        <v>23</v>
      </c>
    </row>
    <row r="50" spans="1:45" ht="1.1499999999999999" customHeight="1">
      <c r="A50" s="857" t="s">
        <v>169</v>
      </c>
      <c r="B50" s="857" t="s">
        <v>170</v>
      </c>
      <c r="C50" s="857" t="s">
        <v>171</v>
      </c>
      <c r="D50" s="857" t="s">
        <v>172</v>
      </c>
      <c r="E50" s="1195"/>
      <c r="F50" s="1195"/>
      <c r="G50" s="1195"/>
      <c r="H50" s="1195"/>
      <c r="I50" s="1214"/>
      <c r="J50" s="1214"/>
      <c r="K50" s="1192"/>
      <c r="P50" s="1031"/>
      <c r="Q50" s="1031"/>
      <c r="R50" s="844"/>
      <c r="S50" s="127"/>
      <c r="T50" s="833"/>
      <c r="U50" s="833"/>
      <c r="V50" s="312"/>
      <c r="W50" s="312"/>
      <c r="X50" s="312"/>
      <c r="Y50" s="314" t="str">
        <f>Z49&amp;"-"&amp;AB49</f>
        <v>-</v>
      </c>
      <c r="Z50" s="1198"/>
      <c r="AA50" s="1058"/>
      <c r="AB50" s="1198"/>
      <c r="AC50" s="1058"/>
      <c r="AD50" s="312"/>
      <c r="AE50" s="312"/>
      <c r="AF50" s="312"/>
      <c r="AG50" s="314" t="str">
        <f>AH49&amp;"-"&amp;AJ49</f>
        <v>-</v>
      </c>
      <c r="AH50" s="1198"/>
      <c r="AI50" s="1058"/>
      <c r="AJ50" s="1216"/>
      <c r="AK50" s="1058"/>
      <c r="AL50" s="332"/>
      <c r="AM50" s="1190"/>
      <c r="AP50" s="582" t="str">
        <f t="shared" si="1"/>
        <v/>
      </c>
      <c r="AS50" s="538">
        <v>1</v>
      </c>
    </row>
    <row r="51" spans="1:45" ht="11.45" customHeight="1">
      <c r="A51" s="857" t="s">
        <v>169</v>
      </c>
      <c r="B51" s="857" t="s">
        <v>170</v>
      </c>
      <c r="C51" s="857" t="s">
        <v>171</v>
      </c>
      <c r="D51" s="857" t="s">
        <v>172</v>
      </c>
      <c r="E51" s="1195"/>
      <c r="F51" s="1195"/>
      <c r="G51" s="1195"/>
      <c r="H51" s="1195"/>
      <c r="I51" s="1214"/>
      <c r="J51" s="1192"/>
      <c r="P51" s="1031"/>
      <c r="Q51" s="1031"/>
      <c r="R51" s="842"/>
      <c r="S51" s="315"/>
      <c r="T51" s="316" t="s">
        <v>422</v>
      </c>
      <c r="U51" s="52"/>
      <c r="V51" s="52"/>
      <c r="W51" s="52"/>
      <c r="X51" s="52"/>
      <c r="Y51" s="52"/>
      <c r="Z51" s="52"/>
      <c r="AA51" s="52"/>
      <c r="AB51" s="52"/>
      <c r="AC51" s="52"/>
      <c r="AD51" s="52"/>
      <c r="AE51" s="52"/>
      <c r="AF51" s="52"/>
      <c r="AG51" s="52"/>
      <c r="AH51" s="52"/>
      <c r="AI51" s="52"/>
      <c r="AJ51" s="52"/>
      <c r="AK51" s="52"/>
      <c r="AL51" s="317"/>
      <c r="AM51" s="1191"/>
      <c r="AP51" s="582" t="str">
        <f t="shared" si="1"/>
        <v>Добавить вид теплоносителя (параметры теплоносителя)</v>
      </c>
      <c r="AS51" s="538">
        <v>11</v>
      </c>
    </row>
    <row r="52" spans="1:45" ht="11.45" customHeight="1">
      <c r="A52" s="857" t="s">
        <v>169</v>
      </c>
      <c r="B52" s="857" t="s">
        <v>170</v>
      </c>
      <c r="C52" s="857" t="s">
        <v>171</v>
      </c>
      <c r="D52" s="857" t="s">
        <v>172</v>
      </c>
      <c r="E52" s="1195"/>
      <c r="F52" s="1195"/>
      <c r="G52" s="1195"/>
      <c r="H52" s="1195"/>
      <c r="I52" s="1192"/>
      <c r="P52" s="1031"/>
      <c r="R52" s="842"/>
      <c r="S52" s="315"/>
      <c r="T52" s="318" t="s">
        <v>423</v>
      </c>
      <c r="U52" s="52"/>
      <c r="V52" s="52"/>
      <c r="W52" s="52"/>
      <c r="X52" s="52"/>
      <c r="Y52" s="52"/>
      <c r="Z52" s="52"/>
      <c r="AA52" s="52"/>
      <c r="AB52" s="52"/>
      <c r="AC52" s="319"/>
      <c r="AD52" s="52"/>
      <c r="AE52" s="52"/>
      <c r="AF52" s="52"/>
      <c r="AG52" s="52"/>
      <c r="AH52" s="52"/>
      <c r="AI52" s="52"/>
      <c r="AJ52" s="52"/>
      <c r="AK52" s="319"/>
      <c r="AL52" s="52"/>
      <c r="AM52" s="320"/>
      <c r="AP52" s="582" t="str">
        <f t="shared" si="1"/>
        <v>Добавить группу потребителей</v>
      </c>
      <c r="AS52" s="538">
        <v>11</v>
      </c>
    </row>
    <row r="53" spans="1:45" ht="14.65" customHeight="1">
      <c r="A53" s="857" t="s">
        <v>169</v>
      </c>
      <c r="B53" s="857" t="s">
        <v>170</v>
      </c>
      <c r="C53" s="857" t="s">
        <v>171</v>
      </c>
      <c r="D53" s="857" t="s">
        <v>172</v>
      </c>
      <c r="E53" s="1195"/>
      <c r="F53" s="1195"/>
      <c r="G53" s="1195"/>
      <c r="H53" s="1194"/>
      <c r="R53" s="310"/>
      <c r="S53" s="315"/>
      <c r="T53" s="321" t="s">
        <v>424</v>
      </c>
      <c r="U53" s="52"/>
      <c r="V53" s="52"/>
      <c r="W53" s="52"/>
      <c r="X53" s="52"/>
      <c r="Y53" s="52"/>
      <c r="Z53" s="52"/>
      <c r="AA53" s="52"/>
      <c r="AB53" s="52"/>
      <c r="AC53" s="319"/>
      <c r="AD53" s="52"/>
      <c r="AE53" s="52"/>
      <c r="AF53" s="52"/>
      <c r="AG53" s="52"/>
      <c r="AH53" s="52"/>
      <c r="AI53" s="52"/>
      <c r="AJ53" s="52"/>
      <c r="AK53" s="319"/>
      <c r="AL53" s="52"/>
      <c r="AM53" s="320"/>
      <c r="AP53" s="582" t="str">
        <f t="shared" si="1"/>
        <v>Добавить схему подключения</v>
      </c>
      <c r="AS53" s="538">
        <v>14</v>
      </c>
    </row>
    <row r="54" spans="1:45" ht="1.1499999999999999" customHeight="1">
      <c r="A54" s="574" t="s">
        <v>169</v>
      </c>
      <c r="B54" s="574" t="s">
        <v>170</v>
      </c>
      <c r="C54" s="574" t="s">
        <v>171</v>
      </c>
      <c r="E54" s="1195"/>
      <c r="F54" s="1195"/>
      <c r="G54" s="1194"/>
      <c r="T54" s="326" t="s">
        <v>425</v>
      </c>
      <c r="AP54" s="582" t="str">
        <f t="shared" si="1"/>
        <v>Добавить источник для дифференциации</v>
      </c>
      <c r="AS54" s="577">
        <v>1</v>
      </c>
    </row>
    <row r="55" spans="1:45" ht="1.1499999999999999" customHeight="1">
      <c r="A55" s="574" t="s">
        <v>169</v>
      </c>
      <c r="B55" s="574" t="s">
        <v>170</v>
      </c>
      <c r="E55" s="1195"/>
      <c r="F55" s="1194"/>
      <c r="T55" s="326" t="s">
        <v>426</v>
      </c>
      <c r="AP55" s="582" t="str">
        <f t="shared" si="1"/>
        <v>Добавить централизованную систему для дифференциации</v>
      </c>
      <c r="AS55" s="577">
        <v>1</v>
      </c>
    </row>
    <row r="56" spans="1:45" ht="1.1499999999999999" customHeight="1">
      <c r="A56" s="574" t="s">
        <v>169</v>
      </c>
      <c r="E56" s="1194"/>
      <c r="T56" s="326" t="s">
        <v>427</v>
      </c>
      <c r="AP56" s="582" t="str">
        <f t="shared" si="1"/>
        <v>Добавить территорию для дифференциации</v>
      </c>
      <c r="AS56" s="577">
        <v>1</v>
      </c>
    </row>
    <row r="57" spans="1:45" ht="1.1499999999999999" customHeight="1">
      <c r="T57" s="326" t="s">
        <v>459</v>
      </c>
      <c r="AP57" s="582" t="str">
        <f t="shared" si="1"/>
        <v>Добавить наименование тарифа</v>
      </c>
      <c r="AS57" s="577">
        <v>1</v>
      </c>
    </row>
    <row r="58" spans="1:45" ht="11.45" customHeight="1">
      <c r="AS58" s="538">
        <v>11</v>
      </c>
    </row>
    <row r="59" spans="1:45" ht="28.5" customHeight="1">
      <c r="T59" s="1031"/>
      <c r="U59" s="1031"/>
      <c r="V59" s="1031"/>
      <c r="W59" s="1031"/>
      <c r="X59" s="1031"/>
      <c r="Y59" s="1031"/>
      <c r="Z59" s="1031"/>
      <c r="AA59" s="1031"/>
      <c r="AB59" s="1031"/>
      <c r="AC59" s="1031"/>
      <c r="AD59" s="1031"/>
      <c r="AE59" s="1031"/>
      <c r="AF59" s="1031"/>
      <c r="AG59" s="1031"/>
      <c r="AH59" s="1031"/>
      <c r="AI59" s="1031"/>
      <c r="AJ59" s="1031"/>
      <c r="AK59" s="1031"/>
      <c r="AL59" s="1031"/>
      <c r="AM59" s="1031"/>
      <c r="AS59" s="538">
        <v>27</v>
      </c>
    </row>
    <row r="60" spans="1:45" ht="67.150000000000006" customHeight="1">
      <c r="T60" s="1031"/>
      <c r="U60" s="1031"/>
      <c r="V60" s="1031"/>
      <c r="W60" s="1031"/>
      <c r="X60" s="1031"/>
      <c r="Y60" s="1031"/>
      <c r="Z60" s="1031"/>
      <c r="AA60" s="1031"/>
      <c r="AB60" s="1031"/>
      <c r="AC60" s="1031"/>
      <c r="AD60" s="1031"/>
      <c r="AE60" s="1031"/>
      <c r="AF60" s="1031"/>
      <c r="AG60" s="1031"/>
      <c r="AH60" s="1031"/>
      <c r="AI60" s="1031"/>
      <c r="AJ60" s="1031"/>
      <c r="AK60" s="1031"/>
      <c r="AL60" s="1031"/>
      <c r="AM60" s="1031"/>
      <c r="AS60" s="538">
        <v>64</v>
      </c>
    </row>
    <row r="61" spans="1:45" ht="14.65" customHeight="1">
      <c r="AS61" s="538">
        <v>14</v>
      </c>
    </row>
    <row r="62" spans="1:45" ht="18.75" customHeight="1">
      <c r="T62" s="1031"/>
      <c r="U62" s="1031"/>
      <c r="V62" s="1031"/>
      <c r="W62" s="1031"/>
      <c r="X62" s="1031"/>
      <c r="Y62" s="1031"/>
      <c r="Z62" s="1031"/>
      <c r="AA62" s="1031"/>
      <c r="AB62" s="1031"/>
      <c r="AC62" s="1031"/>
      <c r="AD62" s="1031"/>
      <c r="AE62" s="1031"/>
      <c r="AF62" s="1031"/>
      <c r="AG62" s="1031"/>
      <c r="AH62" s="1031"/>
      <c r="AI62" s="1031"/>
      <c r="AJ62" s="1031"/>
      <c r="AK62" s="1031"/>
      <c r="AL62" s="1031"/>
      <c r="AM62" s="1031"/>
      <c r="AS62" s="538">
        <v>18</v>
      </c>
    </row>
    <row r="63" spans="1:45" ht="18.75" customHeight="1">
      <c r="T63" s="1031"/>
      <c r="U63" s="1031"/>
      <c r="V63" s="1031"/>
      <c r="W63" s="1031"/>
      <c r="X63" s="1031"/>
      <c r="Y63" s="1031"/>
      <c r="Z63" s="1031"/>
      <c r="AA63" s="1031"/>
      <c r="AB63" s="1031"/>
      <c r="AC63" s="1031"/>
      <c r="AD63" s="1031"/>
      <c r="AE63" s="1031"/>
      <c r="AF63" s="1031"/>
      <c r="AG63" s="1031"/>
      <c r="AH63" s="1031"/>
      <c r="AI63" s="1031"/>
      <c r="AJ63" s="1031"/>
      <c r="AK63" s="1031"/>
      <c r="AL63" s="1031"/>
      <c r="AM63" s="1031"/>
      <c r="AS63" s="538">
        <v>18</v>
      </c>
    </row>
    <row r="64" spans="1:45" ht="29.25" customHeight="1">
      <c r="T64" s="1031"/>
      <c r="U64" s="1031"/>
      <c r="V64" s="1031"/>
      <c r="W64" s="1031"/>
      <c r="X64" s="1031"/>
      <c r="Y64" s="1031"/>
      <c r="Z64" s="1031"/>
      <c r="AA64" s="1031"/>
      <c r="AB64" s="1031"/>
      <c r="AC64" s="1031"/>
      <c r="AD64" s="1031"/>
      <c r="AE64" s="1031"/>
      <c r="AF64" s="1031"/>
      <c r="AG64" s="1031"/>
      <c r="AH64" s="1031"/>
      <c r="AI64" s="1031"/>
      <c r="AJ64" s="1031"/>
      <c r="AK64" s="1031"/>
      <c r="AL64" s="1031"/>
      <c r="AM64" s="1031"/>
      <c r="AS64" s="538">
        <v>28</v>
      </c>
    </row>
    <row r="65" spans="1:45" ht="22.5" hidden="1" customHeight="1">
      <c r="A65" s="555" t="s">
        <v>81</v>
      </c>
      <c r="B65" s="555">
        <v>0</v>
      </c>
      <c r="C65" s="555">
        <v>0</v>
      </c>
      <c r="D65" s="555">
        <v>0</v>
      </c>
      <c r="E65" s="555">
        <v>0</v>
      </c>
      <c r="F65" s="555">
        <v>0</v>
      </c>
      <c r="G65" s="555">
        <v>0</v>
      </c>
      <c r="H65" s="555">
        <v>0</v>
      </c>
      <c r="I65" s="555">
        <v>0</v>
      </c>
      <c r="J65" s="555">
        <v>0</v>
      </c>
      <c r="K65" s="555">
        <v>0</v>
      </c>
      <c r="L65" s="667">
        <v>0</v>
      </c>
      <c r="M65" s="12">
        <v>0</v>
      </c>
      <c r="N65" s="12">
        <v>0</v>
      </c>
      <c r="O65" s="12">
        <v>0</v>
      </c>
      <c r="P65" s="300">
        <v>3</v>
      </c>
      <c r="Q65" s="821">
        <v>3</v>
      </c>
      <c r="R65" s="821">
        <v>3</v>
      </c>
      <c r="S65" s="553">
        <v>12</v>
      </c>
      <c r="T65" s="538">
        <v>35</v>
      </c>
      <c r="U65" s="538">
        <v>0</v>
      </c>
      <c r="V65" s="538">
        <v>0</v>
      </c>
      <c r="W65" s="538">
        <v>0</v>
      </c>
      <c r="X65" s="538">
        <v>0</v>
      </c>
      <c r="Y65" s="538">
        <v>0</v>
      </c>
      <c r="Z65" s="538">
        <v>0</v>
      </c>
      <c r="AA65" s="538">
        <v>0</v>
      </c>
      <c r="AB65" s="538">
        <v>0</v>
      </c>
      <c r="AC65" s="538">
        <v>0</v>
      </c>
      <c r="AD65" s="538">
        <v>24</v>
      </c>
      <c r="AE65" s="538">
        <v>0</v>
      </c>
      <c r="AF65" s="538">
        <v>24</v>
      </c>
      <c r="AG65" s="538">
        <v>24</v>
      </c>
      <c r="AH65" s="538">
        <v>11</v>
      </c>
      <c r="AI65" s="538">
        <v>3</v>
      </c>
      <c r="AJ65" s="538">
        <v>11</v>
      </c>
      <c r="AK65" s="538">
        <v>0</v>
      </c>
      <c r="AL65" s="538">
        <v>4</v>
      </c>
      <c r="AM65" s="538">
        <v>115</v>
      </c>
      <c r="AN65" s="577">
        <v>10</v>
      </c>
      <c r="AO65" s="577">
        <v>10</v>
      </c>
      <c r="AP65" s="577">
        <v>10</v>
      </c>
      <c r="AQ65" s="577">
        <v>10</v>
      </c>
      <c r="AR65" s="577">
        <v>10</v>
      </c>
      <c r="AS65" s="538">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2" style="1029" hidden="1" customWidth="1"/>
    <col min="10" max="10" width="9.85546875" style="1029" hidden="1" customWidth="1"/>
    <col min="11" max="11" width="11.42578125" style="1029" hidden="1" customWidth="1"/>
    <col min="12" max="12" width="19.140625" style="1029" hidden="1" customWidth="1"/>
    <col min="13" max="14" width="12.28515625" style="1029" hidden="1" customWidth="1"/>
    <col min="15" max="15" width="23.42578125" style="1029" hidden="1" customWidth="1"/>
    <col min="16" max="18" width="3" style="1029" customWidth="1"/>
    <col min="19" max="19" width="12" style="1029" customWidth="1"/>
    <col min="20" max="20" width="31" style="1029" customWidth="1"/>
    <col min="21" max="21" width="0.140625" style="1029" customWidth="1"/>
    <col min="22" max="22" width="24.7109375" style="1029" hidden="1" customWidth="1"/>
    <col min="23" max="23" width="0.140625" style="1029" hidden="1" customWidth="1"/>
    <col min="24" max="25" width="24.7109375" style="1029" hidden="1" customWidth="1"/>
    <col min="26" max="26" width="11.7109375" style="1029" hidden="1" customWidth="1"/>
    <col min="27" max="27" width="3.7109375" style="1029" hidden="1" customWidth="1"/>
    <col min="28" max="28" width="11.7109375" style="1029" hidden="1" customWidth="1"/>
    <col min="29" max="29" width="8.5703125" style="1029" hidden="1" customWidth="1"/>
    <col min="30" max="30" width="24.7109375" style="1029" customWidth="1"/>
    <col min="31" max="31" width="0.140625" style="1029" customWidth="1"/>
    <col min="32" max="33" width="24" style="1029" customWidth="1"/>
    <col min="34" max="34" width="11" style="1029" customWidth="1"/>
    <col min="35" max="35" width="3.7109375" style="1029" customWidth="1"/>
    <col min="36" max="36" width="11" style="1029" customWidth="1"/>
    <col min="37" max="37" width="8.5703125" style="1029" hidden="1" customWidth="1"/>
    <col min="38" max="38" width="4" style="1029" customWidth="1"/>
    <col min="39" max="39" width="115" style="1029" customWidth="1"/>
    <col min="40" max="44" width="10" style="1029" customWidth="1"/>
    <col min="45" max="45" width="10.5703125" style="1029" hidden="1"/>
  </cols>
  <sheetData>
    <row r="1" spans="5:45" ht="22.5" hidden="1" customHeight="1">
      <c r="AS1" s="538" t="s">
        <v>14</v>
      </c>
    </row>
    <row r="2" spans="5:45" ht="21" hidden="1" customHeight="1">
      <c r="E2" s="1194">
        <v>1</v>
      </c>
      <c r="R2" s="310"/>
      <c r="S2" s="832" t="e">
        <f>INDEX(PT_DIFFERENTIATION_NUM_NTAR,MATCH(A2,PT_DIFFERENTIATION_NTAR_ID,0))</f>
        <v>#N/A</v>
      </c>
      <c r="T2" s="795" t="s">
        <v>136</v>
      </c>
      <c r="U2" s="833"/>
      <c r="V2" s="1180"/>
      <c r="W2" s="1181"/>
      <c r="X2" s="1181"/>
      <c r="Y2" s="1181"/>
      <c r="Z2" s="1181"/>
      <c r="AA2" s="1181"/>
      <c r="AB2" s="1181"/>
      <c r="AC2" s="1182"/>
      <c r="AD2" s="1180" t="e">
        <f>INDEX(PT_DIFFERENTIATION_NTAR,MATCH(A2,PT_DIFFERENTIATION_NTAR_ID,0))</f>
        <v>#N/A</v>
      </c>
      <c r="AE2" s="1181"/>
      <c r="AF2" s="1181"/>
      <c r="AG2" s="1181"/>
      <c r="AH2" s="1181"/>
      <c r="AI2" s="1181"/>
      <c r="AJ2" s="1181"/>
      <c r="AK2" s="1181"/>
      <c r="AL2" s="1182"/>
      <c r="AM2" s="835" t="s">
        <v>407</v>
      </c>
      <c r="AP2" s="582" t="str">
        <f t="shared" ref="AP2:AP15" si="0">IF(T2="","",T2)</f>
        <v>Наименование тарифа</v>
      </c>
      <c r="AS2" s="538">
        <v>0</v>
      </c>
    </row>
    <row r="3" spans="5:45" ht="21" hidden="1" customHeight="1">
      <c r="E3" s="1195"/>
      <c r="F3" s="1194">
        <v>1</v>
      </c>
      <c r="Q3" s="836"/>
      <c r="R3" s="837"/>
      <c r="S3" s="832" t="e">
        <f>INDEX(PT_DIFFERENTIATION_NUM_TER,MATCH(B3,PT_DIFFERENTIATION_TER_ID,0))</f>
        <v>#N/A</v>
      </c>
      <c r="T3" s="838" t="s">
        <v>408</v>
      </c>
      <c r="U3" s="833"/>
      <c r="V3" s="1180"/>
      <c r="W3" s="1181"/>
      <c r="X3" s="1181"/>
      <c r="Y3" s="1181"/>
      <c r="Z3" s="1181"/>
      <c r="AA3" s="1181"/>
      <c r="AB3" s="1181"/>
      <c r="AC3" s="1182"/>
      <c r="AD3" s="1180" t="e">
        <f>INDEX(PT_DIFFERENTIATION_TER,MATCH(B3,PT_DIFFERENTIATION_TER_ID,0))</f>
        <v>#N/A</v>
      </c>
      <c r="AE3" s="1181"/>
      <c r="AF3" s="1181"/>
      <c r="AG3" s="1181"/>
      <c r="AH3" s="1181"/>
      <c r="AI3" s="1181"/>
      <c r="AJ3" s="1181"/>
      <c r="AK3" s="1181"/>
      <c r="AL3" s="1182"/>
      <c r="AM3" s="835" t="s">
        <v>409</v>
      </c>
      <c r="AP3" s="582" t="str">
        <f t="shared" si="0"/>
        <v>Территория действия тарифа</v>
      </c>
      <c r="AS3" s="538">
        <v>0</v>
      </c>
    </row>
    <row r="4" spans="5:45" ht="23.25" hidden="1" customHeight="1">
      <c r="E4" s="1195"/>
      <c r="F4" s="1195"/>
      <c r="G4" s="1194">
        <v>1</v>
      </c>
      <c r="Q4" s="836"/>
      <c r="R4" s="837"/>
      <c r="S4" s="832" t="e">
        <f>INDEX(PT_DIFFERENTIATION_NUM_CS,MATCH(C4,PT_DIFFERENTIATION_CS_ID,0))</f>
        <v>#N/A</v>
      </c>
      <c r="T4" s="839" t="s">
        <v>410</v>
      </c>
      <c r="U4" s="833"/>
      <c r="V4" s="1180"/>
      <c r="W4" s="1181"/>
      <c r="X4" s="1181"/>
      <c r="Y4" s="1181"/>
      <c r="Z4" s="1181"/>
      <c r="AA4" s="1181"/>
      <c r="AB4" s="1181"/>
      <c r="AC4" s="1182"/>
      <c r="AD4" s="1180" t="e">
        <f>INDEX(PT_DIFFERENTIATION_CS,MATCH(C4,PT_DIFFERENTIATION_CS_ID,0))</f>
        <v>#N/A</v>
      </c>
      <c r="AE4" s="1181"/>
      <c r="AF4" s="1181"/>
      <c r="AG4" s="1181"/>
      <c r="AH4" s="1181"/>
      <c r="AI4" s="1181"/>
      <c r="AJ4" s="1181"/>
      <c r="AK4" s="1181"/>
      <c r="AL4" s="1182"/>
      <c r="AM4" s="835" t="s">
        <v>411</v>
      </c>
      <c r="AP4" s="582" t="str">
        <f t="shared" si="0"/>
        <v xml:space="preserve">Наименование системы теплоснабжения </v>
      </c>
      <c r="AS4" s="538">
        <v>0</v>
      </c>
    </row>
    <row r="5" spans="5:45" ht="21" hidden="1" customHeight="1">
      <c r="E5" s="1195"/>
      <c r="F5" s="1195"/>
      <c r="G5" s="1195"/>
      <c r="H5" s="1194">
        <v>1</v>
      </c>
      <c r="Q5" s="836"/>
      <c r="R5" s="837"/>
      <c r="S5" s="832" t="e">
        <f>INDEX(PT_DIFFERENTIATION_NUM_IST_TE,MATCH(D5,PT_DIFFERENTIATION_IST_TE_ID,0))</f>
        <v>#N/A</v>
      </c>
      <c r="T5" s="840" t="s">
        <v>412</v>
      </c>
      <c r="U5" s="833"/>
      <c r="V5" s="1180"/>
      <c r="W5" s="1181"/>
      <c r="X5" s="1181"/>
      <c r="Y5" s="1181"/>
      <c r="Z5" s="1181"/>
      <c r="AA5" s="1181"/>
      <c r="AB5" s="1181"/>
      <c r="AC5" s="1182"/>
      <c r="AD5" s="1180" t="e">
        <f>INDEX(PT_DIFFERENTIATION_IST_TE,MATCH(D5,PT_DIFFERENTIATION_IST_TE_ID,0))</f>
        <v>#N/A</v>
      </c>
      <c r="AE5" s="1181"/>
      <c r="AF5" s="1181"/>
      <c r="AG5" s="1181"/>
      <c r="AH5" s="1181"/>
      <c r="AI5" s="1181"/>
      <c r="AJ5" s="1181"/>
      <c r="AK5" s="1181"/>
      <c r="AL5" s="1182"/>
      <c r="AM5" s="835" t="s">
        <v>413</v>
      </c>
      <c r="AP5" s="582" t="str">
        <f t="shared" si="0"/>
        <v xml:space="preserve">Источник тепловой энергии  </v>
      </c>
      <c r="AS5" s="538">
        <v>0</v>
      </c>
    </row>
    <row r="6" spans="5:45" ht="47.25" hidden="1" customHeight="1">
      <c r="E6" s="1195"/>
      <c r="F6" s="1195"/>
      <c r="G6" s="1195"/>
      <c r="H6" s="1195"/>
      <c r="I6" s="1192" t="e">
        <f>S5&amp;".1"</f>
        <v>#N/A</v>
      </c>
      <c r="L6" s="841" t="s">
        <v>414</v>
      </c>
      <c r="P6" s="1193">
        <v>1</v>
      </c>
      <c r="R6" s="842"/>
      <c r="S6" s="832" t="e">
        <f>$I6</f>
        <v>#N/A</v>
      </c>
      <c r="T6" s="843" t="s">
        <v>415</v>
      </c>
      <c r="U6" s="833"/>
      <c r="V6" s="1183"/>
      <c r="W6" s="1184"/>
      <c r="X6" s="1184"/>
      <c r="Y6" s="1184"/>
      <c r="Z6" s="1184"/>
      <c r="AA6" s="1184"/>
      <c r="AB6" s="1184"/>
      <c r="AC6" s="1185"/>
      <c r="AD6" s="1183"/>
      <c r="AE6" s="1184"/>
      <c r="AF6" s="1184"/>
      <c r="AG6" s="1184"/>
      <c r="AH6" s="1184"/>
      <c r="AI6" s="1184"/>
      <c r="AJ6" s="1184"/>
      <c r="AK6" s="1184"/>
      <c r="AL6" s="1185"/>
      <c r="AM6" s="835" t="s">
        <v>416</v>
      </c>
      <c r="AP6" s="582" t="str">
        <f t="shared" si="0"/>
        <v>Схема подключения теплопотребляющей установки к коллектору источника тепловой энергии</v>
      </c>
      <c r="AS6" s="538">
        <v>0</v>
      </c>
    </row>
    <row r="7" spans="5:45" ht="21" hidden="1" customHeight="1">
      <c r="E7" s="1195"/>
      <c r="F7" s="1195"/>
      <c r="G7" s="1195"/>
      <c r="H7" s="1195"/>
      <c r="I7" s="1214"/>
      <c r="J7" s="1192" t="e">
        <f>I6&amp;".1"</f>
        <v>#N/A</v>
      </c>
      <c r="L7" s="841" t="s">
        <v>417</v>
      </c>
      <c r="P7" s="1031"/>
      <c r="Q7" s="1193">
        <v>1</v>
      </c>
      <c r="R7" s="844"/>
      <c r="S7" s="832" t="e">
        <f>$J7</f>
        <v>#N/A</v>
      </c>
      <c r="T7" s="845" t="s">
        <v>418</v>
      </c>
      <c r="U7" s="833"/>
      <c r="V7" s="1183"/>
      <c r="W7" s="1184"/>
      <c r="X7" s="1184"/>
      <c r="Y7" s="1184"/>
      <c r="Z7" s="1184"/>
      <c r="AA7" s="1184"/>
      <c r="AB7" s="1184"/>
      <c r="AC7" s="1185"/>
      <c r="AD7" s="1183"/>
      <c r="AE7" s="1184"/>
      <c r="AF7" s="1184"/>
      <c r="AG7" s="1184"/>
      <c r="AH7" s="1184"/>
      <c r="AI7" s="1184"/>
      <c r="AJ7" s="1184"/>
      <c r="AK7" s="1184"/>
      <c r="AL7" s="1185"/>
      <c r="AM7" s="835" t="s">
        <v>419</v>
      </c>
      <c r="AP7" s="582" t="str">
        <f t="shared" si="0"/>
        <v>Группа потребителей</v>
      </c>
      <c r="AS7" s="538">
        <v>0</v>
      </c>
    </row>
    <row r="8" spans="5:45" ht="21" hidden="1" customHeight="1">
      <c r="E8" s="1195"/>
      <c r="F8" s="1195"/>
      <c r="G8" s="1195"/>
      <c r="H8" s="1195"/>
      <c r="I8" s="1214"/>
      <c r="J8" s="1214"/>
      <c r="K8" s="1192" t="e">
        <f>J7&amp;".1"</f>
        <v>#N/A</v>
      </c>
      <c r="L8" s="841" t="s">
        <v>420</v>
      </c>
      <c r="P8" s="1031"/>
      <c r="Q8" s="1031"/>
      <c r="R8" s="844">
        <v>1</v>
      </c>
      <c r="S8" s="832" t="e">
        <f>$K8</f>
        <v>#N/A</v>
      </c>
      <c r="T8" s="846"/>
      <c r="U8" s="833"/>
      <c r="V8" s="311"/>
      <c r="W8" s="312"/>
      <c r="X8" s="311"/>
      <c r="Y8" s="313"/>
      <c r="Z8" s="1197"/>
      <c r="AA8" s="1058" t="s">
        <v>61</v>
      </c>
      <c r="AB8" s="1197"/>
      <c r="AC8" s="1058" t="s">
        <v>61</v>
      </c>
      <c r="AD8" s="311"/>
      <c r="AE8" s="312"/>
      <c r="AF8" s="311"/>
      <c r="AG8" s="313"/>
      <c r="AH8" s="1197"/>
      <c r="AI8" s="1058" t="s">
        <v>61</v>
      </c>
      <c r="AJ8" s="1197"/>
      <c r="AK8" s="1058" t="s">
        <v>61</v>
      </c>
      <c r="AL8" s="312"/>
      <c r="AM8" s="1189" t="s">
        <v>421</v>
      </c>
      <c r="AN8" s="577" t="e">
        <f ca="1">STRCHECKDATE(V9:AL9)</f>
        <v>#NAME?</v>
      </c>
      <c r="AP8" s="582" t="str">
        <f t="shared" si="0"/>
        <v/>
      </c>
      <c r="AS8" s="538">
        <v>0</v>
      </c>
    </row>
    <row r="9" spans="5:45" ht="0.75" hidden="1" customHeight="1">
      <c r="E9" s="1195"/>
      <c r="F9" s="1195"/>
      <c r="G9" s="1195"/>
      <c r="H9" s="1195"/>
      <c r="I9" s="1214"/>
      <c r="J9" s="1214"/>
      <c r="K9" s="1192"/>
      <c r="P9" s="1031"/>
      <c r="Q9" s="1031"/>
      <c r="R9" s="844"/>
      <c r="S9" s="127"/>
      <c r="T9" s="833"/>
      <c r="U9" s="833"/>
      <c r="V9" s="312"/>
      <c r="W9" s="312"/>
      <c r="X9" s="312"/>
      <c r="Y9" s="314" t="str">
        <f>Z8&amp;"-"&amp;AB8</f>
        <v>-</v>
      </c>
      <c r="Z9" s="1198"/>
      <c r="AA9" s="1058"/>
      <c r="AB9" s="1198"/>
      <c r="AC9" s="1058"/>
      <c r="AD9" s="312"/>
      <c r="AE9" s="312"/>
      <c r="AF9" s="312"/>
      <c r="AG9" s="314" t="str">
        <f>AH8&amp;"-"&amp;AJ8</f>
        <v>-</v>
      </c>
      <c r="AH9" s="1198"/>
      <c r="AI9" s="1058"/>
      <c r="AJ9" s="1198"/>
      <c r="AK9" s="1058"/>
      <c r="AL9" s="312"/>
      <c r="AM9" s="1190"/>
      <c r="AP9" s="582" t="str">
        <f t="shared" si="0"/>
        <v/>
      </c>
      <c r="AS9" s="538">
        <v>0</v>
      </c>
    </row>
    <row r="10" spans="5:45" ht="15" hidden="1" customHeight="1">
      <c r="E10" s="1195"/>
      <c r="F10" s="1195"/>
      <c r="G10" s="1195"/>
      <c r="H10" s="1195"/>
      <c r="I10" s="1214"/>
      <c r="J10" s="1192"/>
      <c r="P10" s="1031"/>
      <c r="Q10" s="1031"/>
      <c r="R10" s="842"/>
      <c r="S10" s="315"/>
      <c r="T10" s="316" t="s">
        <v>422</v>
      </c>
      <c r="U10" s="52"/>
      <c r="V10" s="52"/>
      <c r="W10" s="52"/>
      <c r="X10" s="52"/>
      <c r="Y10" s="52"/>
      <c r="Z10" s="52"/>
      <c r="AA10" s="52"/>
      <c r="AB10" s="52"/>
      <c r="AC10" s="52"/>
      <c r="AD10" s="52"/>
      <c r="AE10" s="52"/>
      <c r="AF10" s="52"/>
      <c r="AG10" s="52"/>
      <c r="AH10" s="52"/>
      <c r="AI10" s="52"/>
      <c r="AJ10" s="52"/>
      <c r="AK10" s="52"/>
      <c r="AL10" s="317"/>
      <c r="AM10" s="1191"/>
      <c r="AP10" s="582" t="str">
        <f t="shared" si="0"/>
        <v>Добавить вид теплоносителя (параметры теплоносителя)</v>
      </c>
      <c r="AS10" s="538">
        <v>0</v>
      </c>
    </row>
    <row r="11" spans="5:45" ht="15" hidden="1" customHeight="1">
      <c r="E11" s="1195"/>
      <c r="F11" s="1195"/>
      <c r="G11" s="1195"/>
      <c r="H11" s="1195"/>
      <c r="I11" s="1192"/>
      <c r="P11" s="1031"/>
      <c r="R11" s="842"/>
      <c r="S11" s="315"/>
      <c r="T11" s="318" t="s">
        <v>423</v>
      </c>
      <c r="U11" s="52"/>
      <c r="V11" s="52"/>
      <c r="W11" s="52"/>
      <c r="X11" s="52"/>
      <c r="Y11" s="52"/>
      <c r="Z11" s="52"/>
      <c r="AA11" s="52"/>
      <c r="AB11" s="52"/>
      <c r="AC11" s="319"/>
      <c r="AD11" s="52"/>
      <c r="AE11" s="52"/>
      <c r="AF11" s="52"/>
      <c r="AG11" s="52"/>
      <c r="AH11" s="52"/>
      <c r="AI11" s="52"/>
      <c r="AJ11" s="52"/>
      <c r="AK11" s="319"/>
      <c r="AL11" s="52"/>
      <c r="AM11" s="320"/>
      <c r="AP11" s="582" t="str">
        <f t="shared" si="0"/>
        <v>Добавить группу потребителей</v>
      </c>
      <c r="AS11" s="538">
        <v>0</v>
      </c>
    </row>
    <row r="12" spans="5:45" ht="14.25" hidden="1" customHeight="1">
      <c r="E12" s="1195"/>
      <c r="F12" s="1195"/>
      <c r="G12" s="1195"/>
      <c r="H12" s="1194"/>
      <c r="R12" s="310"/>
      <c r="S12" s="315"/>
      <c r="T12" s="321" t="s">
        <v>424</v>
      </c>
      <c r="U12" s="52"/>
      <c r="V12" s="52"/>
      <c r="W12" s="52"/>
      <c r="X12" s="52"/>
      <c r="Y12" s="52"/>
      <c r="Z12" s="52"/>
      <c r="AA12" s="52"/>
      <c r="AB12" s="52"/>
      <c r="AC12" s="319"/>
      <c r="AD12" s="52"/>
      <c r="AE12" s="52"/>
      <c r="AF12" s="52"/>
      <c r="AG12" s="52"/>
      <c r="AH12" s="52"/>
      <c r="AI12" s="52"/>
      <c r="AJ12" s="52"/>
      <c r="AK12" s="319"/>
      <c r="AL12" s="52"/>
      <c r="AM12" s="320"/>
      <c r="AP12" s="582" t="str">
        <f t="shared" si="0"/>
        <v>Добавить схему подключения</v>
      </c>
      <c r="AS12" s="538">
        <v>0</v>
      </c>
    </row>
    <row r="13" spans="5:45" ht="0.75" hidden="1" customHeight="1">
      <c r="E13" s="1195"/>
      <c r="F13" s="1195"/>
      <c r="G13" s="1194"/>
      <c r="S13" s="322"/>
      <c r="T13" s="323" t="s">
        <v>425</v>
      </c>
      <c r="U13" s="324"/>
      <c r="V13" s="324"/>
      <c r="W13" s="324"/>
      <c r="X13" s="324"/>
      <c r="Y13" s="324"/>
      <c r="Z13" s="324"/>
      <c r="AA13" s="324"/>
      <c r="AB13" s="324"/>
      <c r="AC13" s="324"/>
      <c r="AD13" s="324"/>
      <c r="AE13" s="324"/>
      <c r="AF13" s="324"/>
      <c r="AG13" s="324"/>
      <c r="AH13" s="324"/>
      <c r="AI13" s="324"/>
      <c r="AJ13" s="324"/>
      <c r="AK13" s="324"/>
      <c r="AL13" s="324"/>
      <c r="AM13" s="324"/>
      <c r="AP13" s="582" t="str">
        <f t="shared" si="0"/>
        <v>Добавить источник для дифференциации</v>
      </c>
      <c r="AS13" s="577">
        <v>0</v>
      </c>
    </row>
    <row r="14" spans="5:45" ht="0.75" hidden="1" customHeight="1">
      <c r="E14" s="1195"/>
      <c r="F14" s="1194"/>
      <c r="T14" s="325" t="s">
        <v>426</v>
      </c>
      <c r="AP14" s="582" t="str">
        <f t="shared" si="0"/>
        <v>Добавить централизованную систему для дифференциации</v>
      </c>
      <c r="AS14" s="577">
        <v>0</v>
      </c>
    </row>
    <row r="15" spans="5:45" ht="0.75" hidden="1" customHeight="1">
      <c r="E15" s="1194"/>
      <c r="T15" s="326" t="s">
        <v>427</v>
      </c>
      <c r="AP15" s="582" t="str">
        <f t="shared" si="0"/>
        <v>Добавить территорию для дифференциации</v>
      </c>
      <c r="AS15" s="577">
        <v>0</v>
      </c>
    </row>
    <row r="16" spans="5:45" ht="14.25" hidden="1" customHeight="1">
      <c r="AS16" s="538">
        <v>0</v>
      </c>
    </row>
    <row r="17" spans="15:45" ht="14.25" hidden="1" customHeight="1">
      <c r="AD17" s="275"/>
      <c r="AE17" s="275"/>
      <c r="AF17" s="275"/>
      <c r="AG17" s="327"/>
      <c r="AH17" s="1199"/>
      <c r="AI17" s="1200" t="s">
        <v>61</v>
      </c>
      <c r="AJ17" s="1199"/>
      <c r="AK17" s="1200" t="s">
        <v>61</v>
      </c>
      <c r="AS17" s="538">
        <v>0</v>
      </c>
    </row>
    <row r="18" spans="15:45" ht="14.25" hidden="1" customHeight="1">
      <c r="AD18" s="275"/>
      <c r="AE18" s="275"/>
      <c r="AF18" s="275"/>
      <c r="AG18" s="314" t="str">
        <f>AH17&amp;"-"&amp;AJ17</f>
        <v>-</v>
      </c>
      <c r="AH18" s="1200"/>
      <c r="AI18" s="1200"/>
      <c r="AJ18" s="1200"/>
      <c r="AK18" s="1200"/>
      <c r="AS18" s="538">
        <v>0</v>
      </c>
    </row>
    <row r="19" spans="15:45" ht="14.25" hidden="1" customHeight="1">
      <c r="AS19" s="538">
        <v>0</v>
      </c>
    </row>
    <row r="20" spans="15:45" ht="22.5" hidden="1" customHeight="1">
      <c r="O20" s="328" t="s">
        <v>428</v>
      </c>
      <c r="Z20" s="328"/>
      <c r="AB20" s="328"/>
      <c r="AH20" s="328"/>
      <c r="AJ20" s="328"/>
      <c r="AS20" s="555">
        <v>0</v>
      </c>
    </row>
    <row r="21" spans="15:45" ht="14.25" hidden="1" customHeight="1">
      <c r="AS21" s="555">
        <v>0</v>
      </c>
    </row>
    <row r="22" spans="15:45" ht="14.25" hidden="1" customHeight="1">
      <c r="O22" s="841" t="s">
        <v>429</v>
      </c>
      <c r="T22" s="555" t="s">
        <v>430</v>
      </c>
      <c r="AA22" s="598" t="s">
        <v>431</v>
      </c>
      <c r="AC22" s="598" t="s">
        <v>432</v>
      </c>
      <c r="AD22" s="555" t="s">
        <v>430</v>
      </c>
      <c r="AI22" s="598" t="s">
        <v>433</v>
      </c>
      <c r="AK22" s="598" t="s">
        <v>432</v>
      </c>
      <c r="AS22" s="555">
        <v>0</v>
      </c>
    </row>
    <row r="23" spans="15:45" ht="14.25" hidden="1" customHeight="1">
      <c r="AS23" s="538">
        <v>0</v>
      </c>
    </row>
    <row r="24" spans="15:45" ht="14.25" hidden="1" customHeight="1">
      <c r="AS24" s="538">
        <v>0</v>
      </c>
    </row>
    <row r="25" spans="15:45" ht="14.65" customHeight="1">
      <c r="Q25" s="756"/>
      <c r="R25" s="756"/>
      <c r="S25" s="847"/>
      <c r="T25" s="556"/>
      <c r="U25" s="556"/>
      <c r="AS25" s="538">
        <v>14</v>
      </c>
    </row>
    <row r="26" spans="15:45" ht="14.65" customHeight="1">
      <c r="Q26" s="756"/>
      <c r="R26" s="756"/>
      <c r="S26" s="11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178"/>
      <c r="U26" s="1178"/>
      <c r="V26" s="1178"/>
      <c r="W26" s="1178"/>
      <c r="X26" s="1178"/>
      <c r="Y26" s="1178"/>
      <c r="Z26" s="1178"/>
      <c r="AA26" s="1178"/>
      <c r="AB26" s="1178"/>
      <c r="AC26" s="1178"/>
      <c r="AD26" s="1178"/>
      <c r="AE26" s="1178"/>
      <c r="AF26" s="1178"/>
      <c r="AG26" s="1178"/>
      <c r="AH26" s="1178"/>
      <c r="AI26" s="1178"/>
      <c r="AJ26" s="1178"/>
      <c r="AS26" s="538">
        <v>14</v>
      </c>
    </row>
    <row r="27" spans="15:45" ht="14.65" customHeight="1">
      <c r="Q27" s="756"/>
      <c r="R27" s="756"/>
      <c r="S27" s="1127" t="str">
        <f>IF(org=0,"Не определено",org)</f>
        <v>АО "НИЖЕГОРОДСКИЙ ВОДОКАНАЛ"</v>
      </c>
      <c r="T27" s="1127"/>
      <c r="U27" s="1127"/>
      <c r="V27" s="1127"/>
      <c r="W27" s="1127"/>
      <c r="X27" s="1127"/>
      <c r="Y27" s="1127"/>
      <c r="Z27" s="1127"/>
      <c r="AA27" s="1127"/>
      <c r="AB27" s="1127"/>
      <c r="AC27" s="1127"/>
      <c r="AD27" s="1127"/>
      <c r="AE27" s="1127"/>
      <c r="AF27" s="1127"/>
      <c r="AG27" s="1127"/>
      <c r="AH27" s="1127"/>
      <c r="AI27" s="1127"/>
      <c r="AJ27" s="1127"/>
      <c r="AS27" s="538">
        <v>14</v>
      </c>
    </row>
    <row r="28" spans="15:45" ht="14.25" hidden="1" customHeight="1">
      <c r="Q28" s="756"/>
      <c r="R28" s="756"/>
      <c r="S28" s="847"/>
      <c r="T28" s="556"/>
      <c r="U28" s="556"/>
      <c r="V28" s="826"/>
      <c r="W28" s="826"/>
      <c r="X28" s="826"/>
      <c r="Y28" s="826"/>
      <c r="Z28" s="826"/>
      <c r="AA28" s="826"/>
      <c r="AB28" s="826"/>
      <c r="AC28" s="826"/>
      <c r="AD28" s="826"/>
      <c r="AE28" s="826"/>
      <c r="AF28" s="826"/>
      <c r="AG28" s="826"/>
      <c r="AH28" s="826"/>
      <c r="AI28" s="826"/>
      <c r="AJ28" s="826"/>
      <c r="AK28" s="826"/>
      <c r="AS28" s="538">
        <v>0</v>
      </c>
    </row>
    <row r="29" spans="15:45" ht="25.5" hidden="1" customHeight="1">
      <c r="S29" s="1186" t="s">
        <v>41</v>
      </c>
      <c r="T29" s="1186"/>
      <c r="U29" s="849"/>
      <c r="V29" s="1187" t="str">
        <f>IF(TITLE_NAME_OR_PR_CHANGE="",IF(TITLE_NAME_OR_PR="","",TITLE_NAME_OR_PR),TITLE_NAME_OR_PR_CHANGE)</f>
        <v/>
      </c>
      <c r="W29" s="1187"/>
      <c r="X29" s="1187"/>
      <c r="Y29" s="1187"/>
      <c r="Z29" s="1187"/>
      <c r="AA29" s="1187"/>
      <c r="AB29" s="1187"/>
      <c r="AD29" s="1187" t="str">
        <f>IF(TITLE_NAME_OR_PR_CHANGE="",IF(TITLE_NAME_OR_PR="","",TITLE_NAME_OR_PR),TITLE_NAME_OR_PR_CHANGE)</f>
        <v/>
      </c>
      <c r="AE29" s="1187"/>
      <c r="AF29" s="1187"/>
      <c r="AG29" s="1187"/>
      <c r="AH29" s="1187"/>
      <c r="AI29" s="1187"/>
      <c r="AJ29" s="1187"/>
      <c r="AS29" s="592">
        <v>0</v>
      </c>
    </row>
    <row r="30" spans="15:45" ht="18.75" hidden="1" customHeight="1">
      <c r="S30" s="1186" t="s">
        <v>434</v>
      </c>
      <c r="T30" s="1186"/>
      <c r="U30" s="849"/>
      <c r="V30" s="1196" t="str">
        <f>IF(TITLE_DATE_PR_CHANGE="",IF(TITLE_DATE_PR="","",TITLE_DATE_PR),TITLE_DATE_PR_CHANGE)</f>
        <v/>
      </c>
      <c r="W30" s="1196"/>
      <c r="X30" s="1196"/>
      <c r="Y30" s="1196"/>
      <c r="Z30" s="1196"/>
      <c r="AA30" s="1196"/>
      <c r="AB30" s="1196"/>
      <c r="AD30" s="1196" t="str">
        <f>IF(TITLE_DATE_PR_CHANGE="",IF(TITLE_DATE_PR="","",TITLE_DATE_PR),TITLE_DATE_PR_CHANGE)</f>
        <v/>
      </c>
      <c r="AE30" s="1196"/>
      <c r="AF30" s="1196"/>
      <c r="AG30" s="1196"/>
      <c r="AH30" s="1196"/>
      <c r="AI30" s="1196"/>
      <c r="AJ30" s="1196"/>
      <c r="AS30" s="592">
        <v>0</v>
      </c>
    </row>
    <row r="31" spans="15:45" ht="18.75" hidden="1" customHeight="1">
      <c r="S31" s="1186" t="s">
        <v>435</v>
      </c>
      <c r="T31" s="1186"/>
      <c r="U31" s="849"/>
      <c r="V31" s="1187" t="str">
        <f>IF(TITLE_NUMBER_PR_CHANGE="",IF(TITLE_NUMBER_PR="","",TITLE_NUMBER_PR),TITLE_NUMBER_PR_CHANGE)</f>
        <v/>
      </c>
      <c r="W31" s="1187"/>
      <c r="X31" s="1187"/>
      <c r="Y31" s="1187"/>
      <c r="Z31" s="1187"/>
      <c r="AA31" s="1187"/>
      <c r="AB31" s="1187"/>
      <c r="AD31" s="1187" t="str">
        <f>IF(TITLE_NUMBER_PR_CHANGE="",IF(TITLE_NUMBER_PR="","",TITLE_NUMBER_PR),TITLE_NUMBER_PR_CHANGE)</f>
        <v/>
      </c>
      <c r="AE31" s="1187"/>
      <c r="AF31" s="1187"/>
      <c r="AG31" s="1187"/>
      <c r="AH31" s="1187"/>
      <c r="AI31" s="1187"/>
      <c r="AJ31" s="1187"/>
      <c r="AS31" s="592">
        <v>0</v>
      </c>
    </row>
    <row r="32" spans="15:45" ht="18.75" hidden="1" customHeight="1">
      <c r="S32" s="1186" t="s">
        <v>42</v>
      </c>
      <c r="T32" s="1186"/>
      <c r="U32" s="849"/>
      <c r="V32" s="1187" t="str">
        <f>IF(TITLE_IST_PUB_CHANGE="",IF(TITLE_IST_PUB="","",TITLE_IST_PUB),TITLE_IST_PUB_CHANGE)</f>
        <v/>
      </c>
      <c r="W32" s="1187"/>
      <c r="X32" s="1187"/>
      <c r="Y32" s="1187"/>
      <c r="Z32" s="1187"/>
      <c r="AA32" s="1187"/>
      <c r="AB32" s="1187"/>
      <c r="AD32" s="1187" t="str">
        <f>IF(TITLE_IST_PUB_CHANGE="",IF(TITLE_IST_PUB="","",TITLE_IST_PUB),TITLE_IST_PUB_CHANGE)</f>
        <v/>
      </c>
      <c r="AE32" s="1187"/>
      <c r="AF32" s="1187"/>
      <c r="AG32" s="1187"/>
      <c r="AH32" s="1187"/>
      <c r="AI32" s="1187"/>
      <c r="AJ32" s="1187"/>
      <c r="AS32" s="592">
        <v>0</v>
      </c>
    </row>
    <row r="33" spans="1:45" ht="14.25" hidden="1" customHeight="1">
      <c r="Q33" s="756"/>
      <c r="R33" s="756"/>
      <c r="S33" s="847"/>
      <c r="T33" s="556"/>
      <c r="U33" s="556"/>
      <c r="V33" s="826"/>
      <c r="W33" s="826"/>
      <c r="X33" s="826"/>
      <c r="Y33" s="826"/>
      <c r="Z33" s="826"/>
      <c r="AA33" s="826"/>
      <c r="AB33" s="826"/>
      <c r="AC33" s="826"/>
      <c r="AD33" s="826"/>
      <c r="AE33" s="826"/>
      <c r="AF33" s="826"/>
      <c r="AG33" s="826"/>
      <c r="AH33" s="826"/>
      <c r="AI33" s="826"/>
      <c r="AJ33" s="826"/>
      <c r="AK33" s="826"/>
      <c r="AS33" s="538">
        <v>0</v>
      </c>
    </row>
    <row r="34" spans="1:45" ht="18.75" hidden="1" customHeight="1">
      <c r="S34" s="1186" t="s">
        <v>436</v>
      </c>
      <c r="T34" s="1186"/>
      <c r="U34" s="849"/>
      <c r="V34" s="1196" t="str">
        <f>IF(TITLE_DATE_PR_CHANGE="",IF(TITLE_DATE_PR="","",TITLE_DATE_PR),TITLE_DATE_PR_CHANGE)</f>
        <v/>
      </c>
      <c r="W34" s="1196"/>
      <c r="X34" s="1196"/>
      <c r="Y34" s="1196"/>
      <c r="Z34" s="1196"/>
      <c r="AA34" s="1196"/>
      <c r="AB34" s="1196"/>
      <c r="AD34" s="1196" t="str">
        <f>IF(TITLE_DATE_PR_CHANGE="",IF(TITLE_DATE_PR="","",TITLE_DATE_PR),TITLE_DATE_PR_CHANGE)</f>
        <v/>
      </c>
      <c r="AE34" s="1196"/>
      <c r="AF34" s="1196"/>
      <c r="AG34" s="1196"/>
      <c r="AH34" s="1196"/>
      <c r="AI34" s="1196"/>
      <c r="AJ34" s="1196"/>
      <c r="AS34" s="592">
        <v>0</v>
      </c>
    </row>
    <row r="35" spans="1:45" ht="18.75" hidden="1" customHeight="1">
      <c r="S35" s="1186" t="s">
        <v>437</v>
      </c>
      <c r="T35" s="1186"/>
      <c r="U35" s="849"/>
      <c r="V35" s="1187" t="str">
        <f>IF(TITLE_NUMBER_PR_CHANGE="",IF(TITLE_NUMBER_PR="","",TITLE_NUMBER_PR),TITLE_NUMBER_PR_CHANGE)</f>
        <v/>
      </c>
      <c r="W35" s="1187"/>
      <c r="X35" s="1187"/>
      <c r="Y35" s="1187"/>
      <c r="Z35" s="1187"/>
      <c r="AA35" s="1187"/>
      <c r="AB35" s="1187"/>
      <c r="AD35" s="1187" t="str">
        <f>IF(TITLE_NUMBER_PR_CHANGE="",IF(TITLE_NUMBER_PR="","",TITLE_NUMBER_PR),TITLE_NUMBER_PR_CHANGE)</f>
        <v/>
      </c>
      <c r="AE35" s="1187"/>
      <c r="AF35" s="1187"/>
      <c r="AG35" s="1187"/>
      <c r="AH35" s="1187"/>
      <c r="AI35" s="1187"/>
      <c r="AJ35" s="1187"/>
      <c r="AS35" s="592">
        <v>0</v>
      </c>
    </row>
    <row r="36" spans="1:45" ht="0" hidden="1" customHeight="1">
      <c r="AC36" s="577" t="s">
        <v>438</v>
      </c>
      <c r="AK36" s="577" t="s">
        <v>438</v>
      </c>
      <c r="AS36" s="592">
        <v>0</v>
      </c>
    </row>
    <row r="37" spans="1:45" ht="14.65" customHeight="1">
      <c r="Q37" s="756"/>
      <c r="R37" s="756"/>
      <c r="S37" s="847"/>
      <c r="T37" s="556"/>
      <c r="U37" s="850"/>
      <c r="V37" s="1188"/>
      <c r="W37" s="1188"/>
      <c r="X37" s="1188"/>
      <c r="Y37" s="1188"/>
      <c r="Z37" s="1188"/>
      <c r="AA37" s="1188"/>
      <c r="AB37" s="1188"/>
      <c r="AC37" s="1188"/>
      <c r="AD37" s="1188"/>
      <c r="AE37" s="1188"/>
      <c r="AF37" s="1188"/>
      <c r="AG37" s="1188"/>
      <c r="AH37" s="1188"/>
      <c r="AI37" s="1188"/>
      <c r="AJ37" s="1188"/>
      <c r="AK37" s="1188"/>
      <c r="AS37" s="538">
        <v>14</v>
      </c>
    </row>
    <row r="38" spans="1:45" ht="14.65" customHeight="1">
      <c r="Q38" s="756"/>
      <c r="R38" s="756"/>
      <c r="S38" s="1066" t="s">
        <v>311</v>
      </c>
      <c r="T38" s="1066"/>
      <c r="U38" s="1066"/>
      <c r="V38" s="1066"/>
      <c r="W38" s="1066"/>
      <c r="X38" s="1066"/>
      <c r="Y38" s="1066"/>
      <c r="Z38" s="1066"/>
      <c r="AA38" s="1066"/>
      <c r="AB38" s="1066"/>
      <c r="AC38" s="1066"/>
      <c r="AD38" s="1066"/>
      <c r="AE38" s="1066"/>
      <c r="AF38" s="1066"/>
      <c r="AG38" s="1066"/>
      <c r="AH38" s="1066"/>
      <c r="AI38" s="1066"/>
      <c r="AJ38" s="1066"/>
      <c r="AK38" s="1066"/>
      <c r="AL38" s="1066"/>
      <c r="AM38" s="1066" t="s">
        <v>312</v>
      </c>
      <c r="AS38" s="538">
        <v>14</v>
      </c>
    </row>
    <row r="39" spans="1:45" ht="14.65" customHeight="1">
      <c r="Q39" s="756"/>
      <c r="R39" s="756"/>
      <c r="S39" s="1202" t="s">
        <v>87</v>
      </c>
      <c r="T39" s="1154" t="s">
        <v>439</v>
      </c>
      <c r="U39" s="817"/>
      <c r="V39" s="1203" t="s">
        <v>440</v>
      </c>
      <c r="W39" s="1204"/>
      <c r="X39" s="1204"/>
      <c r="Y39" s="1204"/>
      <c r="Z39" s="1204"/>
      <c r="AA39" s="1204"/>
      <c r="AB39" s="1205"/>
      <c r="AC39" s="1206" t="s">
        <v>441</v>
      </c>
      <c r="AD39" s="1203" t="s">
        <v>440</v>
      </c>
      <c r="AE39" s="1204"/>
      <c r="AF39" s="1204"/>
      <c r="AG39" s="1204"/>
      <c r="AH39" s="1204"/>
      <c r="AI39" s="1204"/>
      <c r="AJ39" s="1205"/>
      <c r="AK39" s="1206" t="s">
        <v>442</v>
      </c>
      <c r="AL39" s="1209" t="s">
        <v>443</v>
      </c>
      <c r="AM39" s="1066"/>
      <c r="AS39" s="538">
        <v>14</v>
      </c>
    </row>
    <row r="40" spans="1:45" ht="35.65" customHeight="1">
      <c r="Q40" s="756"/>
      <c r="R40" s="756"/>
      <c r="S40" s="1202"/>
      <c r="T40" s="1154"/>
      <c r="U40" s="822"/>
      <c r="V40" s="1126" t="s">
        <v>444</v>
      </c>
      <c r="W40" s="1212" t="s">
        <v>445</v>
      </c>
      <c r="X40" s="1048" t="s">
        <v>446</v>
      </c>
      <c r="Y40" s="1047"/>
      <c r="Z40" s="1048" t="s">
        <v>460</v>
      </c>
      <c r="AA40" s="1053"/>
      <c r="AB40" s="1047"/>
      <c r="AC40" s="1207"/>
      <c r="AD40" s="1126" t="s">
        <v>444</v>
      </c>
      <c r="AE40" s="1212" t="s">
        <v>445</v>
      </c>
      <c r="AF40" s="1048" t="s">
        <v>446</v>
      </c>
      <c r="AG40" s="1047"/>
      <c r="AH40" s="1048" t="s">
        <v>447</v>
      </c>
      <c r="AI40" s="1053"/>
      <c r="AJ40" s="1047"/>
      <c r="AK40" s="1207"/>
      <c r="AL40" s="1210"/>
      <c r="AM40" s="1066"/>
      <c r="AS40" s="538">
        <v>34</v>
      </c>
    </row>
    <row r="41" spans="1:45" ht="35.65" customHeight="1">
      <c r="B41" s="598" t="s">
        <v>148</v>
      </c>
      <c r="C41" s="598" t="s">
        <v>149</v>
      </c>
      <c r="D41" s="598" t="s">
        <v>150</v>
      </c>
      <c r="E41" s="841" t="s">
        <v>448</v>
      </c>
      <c r="F41" s="841" t="s">
        <v>449</v>
      </c>
      <c r="G41" s="841" t="s">
        <v>450</v>
      </c>
      <c r="H41" s="841" t="s">
        <v>451</v>
      </c>
      <c r="I41" s="841" t="s">
        <v>452</v>
      </c>
      <c r="J41" s="841" t="s">
        <v>453</v>
      </c>
      <c r="K41" s="841" t="s">
        <v>454</v>
      </c>
      <c r="L41" s="841" t="s">
        <v>429</v>
      </c>
      <c r="Q41" s="756"/>
      <c r="R41" s="756"/>
      <c r="S41" s="1202"/>
      <c r="T41" s="1154"/>
      <c r="U41" s="852"/>
      <c r="V41" s="1173"/>
      <c r="W41" s="1213"/>
      <c r="X41" s="602" t="s">
        <v>455</v>
      </c>
      <c r="Y41" s="602" t="s">
        <v>456</v>
      </c>
      <c r="Z41" s="602" t="s">
        <v>457</v>
      </c>
      <c r="AA41" s="1162" t="s">
        <v>458</v>
      </c>
      <c r="AB41" s="1164"/>
      <c r="AC41" s="1208"/>
      <c r="AD41" s="1173"/>
      <c r="AE41" s="1213"/>
      <c r="AF41" s="602" t="s">
        <v>455</v>
      </c>
      <c r="AG41" s="602" t="s">
        <v>456</v>
      </c>
      <c r="AH41" s="602" t="s">
        <v>457</v>
      </c>
      <c r="AI41" s="1162" t="s">
        <v>458</v>
      </c>
      <c r="AJ41" s="1164"/>
      <c r="AK41" s="1208"/>
      <c r="AL41" s="1211"/>
      <c r="AM41" s="1066"/>
      <c r="AS41" s="538">
        <v>34</v>
      </c>
    </row>
    <row r="42" spans="1:45" ht="11.25" hidden="1" customHeight="1">
      <c r="Q42" s="853"/>
      <c r="R42" s="854">
        <v>1</v>
      </c>
      <c r="S42" s="329" t="s">
        <v>114</v>
      </c>
      <c r="T42" s="330" t="s">
        <v>102</v>
      </c>
      <c r="U42" s="855" t="str">
        <f ca="1">OFFSET(U42,0,-1)</f>
        <v>2</v>
      </c>
      <c r="V42" s="856">
        <f ca="1">OFFSET(V42,0,-1)+1</f>
        <v>3</v>
      </c>
      <c r="W42" s="856"/>
      <c r="X42" s="856">
        <f ca="1">OFFSET(X42,0,-1)+1</f>
        <v>1</v>
      </c>
      <c r="Y42" s="856">
        <f ca="1">OFFSET(Y42,0,-1)+1</f>
        <v>2</v>
      </c>
      <c r="Z42" s="856">
        <f ca="1">OFFSET(Z42,0,-1)+1</f>
        <v>3</v>
      </c>
      <c r="AA42" s="1201">
        <f ca="1">OFFSET(AA42,0,-1)+1</f>
        <v>4</v>
      </c>
      <c r="AB42" s="1201"/>
      <c r="AC42" s="856">
        <f ca="1">OFFSET(AC42,0,-2)+1</f>
        <v>5</v>
      </c>
      <c r="AD42" s="856">
        <f ca="1">OFFSET(AD42,0,-1)+1</f>
        <v>6</v>
      </c>
      <c r="AE42" s="856"/>
      <c r="AF42" s="856">
        <f ca="1">OFFSET(AF42,0,-1)+1</f>
        <v>1</v>
      </c>
      <c r="AG42" s="856">
        <f ca="1">OFFSET(AG42,0,-1)+1</f>
        <v>2</v>
      </c>
      <c r="AH42" s="856">
        <f ca="1">OFFSET(AH42,0,-1)+1</f>
        <v>3</v>
      </c>
      <c r="AI42" s="1201">
        <f ca="1">OFFSET(AI42,0,-1)+1</f>
        <v>4</v>
      </c>
      <c r="AJ42" s="1201"/>
      <c r="AK42" s="856">
        <f ca="1">OFFSET(AK42,0,-2)+1</f>
        <v>5</v>
      </c>
      <c r="AL42" s="855">
        <f ca="1">OFFSET(AL42,0,-1)</f>
        <v>5</v>
      </c>
      <c r="AM42" s="856">
        <f ca="1">OFFSET(AM42,0,-1)+1</f>
        <v>6</v>
      </c>
      <c r="AS42" s="681">
        <v>0</v>
      </c>
    </row>
    <row r="43" spans="1:45" ht="21.95" customHeight="1">
      <c r="A43" s="857" t="s">
        <v>174</v>
      </c>
      <c r="E43" s="1194">
        <v>1</v>
      </c>
      <c r="R43" s="310"/>
      <c r="S43" s="832">
        <f>INDEX(PT_DIFFERENTIATION_NUM_NTAR,MATCH(A43,PT_DIFFERENTIATION_NTAR_ID,0))</f>
        <v>0</v>
      </c>
      <c r="T43" s="795" t="s">
        <v>136</v>
      </c>
      <c r="U43" s="833"/>
      <c r="V43" s="1180"/>
      <c r="W43" s="1181"/>
      <c r="X43" s="1181"/>
      <c r="Y43" s="1181"/>
      <c r="Z43" s="1181"/>
      <c r="AA43" s="1181"/>
      <c r="AB43" s="1181"/>
      <c r="AC43" s="1182"/>
      <c r="AD43" s="1180" t="str">
        <f>INDEX(PT_DIFFERENTIATION_NTAR,MATCH(A43,PT_DIFFERENTIATION_NTAR_ID,0))</f>
        <v/>
      </c>
      <c r="AE43" s="1181"/>
      <c r="AF43" s="1181"/>
      <c r="AG43" s="1181"/>
      <c r="AH43" s="1181"/>
      <c r="AI43" s="1181"/>
      <c r="AJ43" s="1181"/>
      <c r="AK43" s="1181"/>
      <c r="AL43" s="1182"/>
      <c r="AM43" s="83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582" t="str">
        <f t="shared" ref="AP43:AP57" si="1">IF(T43="","",T43)</f>
        <v>Наименование тарифа</v>
      </c>
      <c r="AS43" s="538">
        <v>21</v>
      </c>
    </row>
    <row r="44" spans="1:45" ht="21.95" customHeight="1">
      <c r="A44" s="857" t="s">
        <v>174</v>
      </c>
      <c r="B44" s="857" t="s">
        <v>175</v>
      </c>
      <c r="E44" s="1195"/>
      <c r="F44" s="1194">
        <v>1</v>
      </c>
      <c r="Q44" s="836"/>
      <c r="R44" s="837"/>
      <c r="S44" s="832" t="str">
        <f>INDEX(PT_DIFFERENTIATION_NUM_TER,MATCH(B44,PT_DIFFERENTIATION_TER_ID,0))</f>
        <v>.</v>
      </c>
      <c r="T44" s="838" t="s">
        <v>408</v>
      </c>
      <c r="U44" s="833"/>
      <c r="V44" s="1180"/>
      <c r="W44" s="1181"/>
      <c r="X44" s="1181"/>
      <c r="Y44" s="1181"/>
      <c r="Z44" s="1181"/>
      <c r="AA44" s="1181"/>
      <c r="AB44" s="1181"/>
      <c r="AC44" s="1182"/>
      <c r="AD44" s="1180" t="str">
        <f>INDEX(PT_DIFFERENTIATION_TER,MATCH(B44,PT_DIFFERENTIATION_TER_ID,0))</f>
        <v/>
      </c>
      <c r="AE44" s="1181"/>
      <c r="AF44" s="1181"/>
      <c r="AG44" s="1181"/>
      <c r="AH44" s="1181"/>
      <c r="AI44" s="1181"/>
      <c r="AJ44" s="1181"/>
      <c r="AK44" s="1181"/>
      <c r="AL44" s="1182"/>
      <c r="AM44" s="835" t="s">
        <v>409</v>
      </c>
      <c r="AP44" s="582" t="str">
        <f t="shared" si="1"/>
        <v>Территория действия тарифа</v>
      </c>
      <c r="AS44" s="538">
        <v>21</v>
      </c>
    </row>
    <row r="45" spans="1:45" ht="24" customHeight="1">
      <c r="A45" s="857" t="s">
        <v>174</v>
      </c>
      <c r="B45" s="857" t="s">
        <v>175</v>
      </c>
      <c r="C45" s="857" t="s">
        <v>176</v>
      </c>
      <c r="E45" s="1195"/>
      <c r="F45" s="1195"/>
      <c r="G45" s="1194">
        <v>1</v>
      </c>
      <c r="Q45" s="836"/>
      <c r="R45" s="837"/>
      <c r="S45" s="832" t="str">
        <f>INDEX(PT_DIFFERENTIATION_NUM_CS,MATCH(C45,PT_DIFFERENTIATION_CS_ID,0))</f>
        <v>..</v>
      </c>
      <c r="T45" s="839" t="s">
        <v>410</v>
      </c>
      <c r="U45" s="833"/>
      <c r="V45" s="1180"/>
      <c r="W45" s="1181"/>
      <c r="X45" s="1181"/>
      <c r="Y45" s="1181"/>
      <c r="Z45" s="1181"/>
      <c r="AA45" s="1181"/>
      <c r="AB45" s="1181"/>
      <c r="AC45" s="1182"/>
      <c r="AD45" s="1180" t="str">
        <f>INDEX(PT_DIFFERENTIATION_CS,MATCH(C45,PT_DIFFERENTIATION_CS_ID,0))</f>
        <v/>
      </c>
      <c r="AE45" s="1181"/>
      <c r="AF45" s="1181"/>
      <c r="AG45" s="1181"/>
      <c r="AH45" s="1181"/>
      <c r="AI45" s="1181"/>
      <c r="AJ45" s="1181"/>
      <c r="AK45" s="1181"/>
      <c r="AL45" s="1182"/>
      <c r="AM45" s="835" t="s">
        <v>411</v>
      </c>
      <c r="AP45" s="582" t="str">
        <f t="shared" si="1"/>
        <v xml:space="preserve">Наименование системы теплоснабжения </v>
      </c>
      <c r="AS45" s="538">
        <v>23</v>
      </c>
    </row>
    <row r="46" spans="1:45" ht="21.95" customHeight="1">
      <c r="A46" s="857" t="s">
        <v>174</v>
      </c>
      <c r="B46" s="857" t="s">
        <v>175</v>
      </c>
      <c r="C46" s="857" t="s">
        <v>176</v>
      </c>
      <c r="D46" s="857" t="s">
        <v>177</v>
      </c>
      <c r="E46" s="1195"/>
      <c r="F46" s="1195"/>
      <c r="G46" s="1195"/>
      <c r="H46" s="1194">
        <v>1</v>
      </c>
      <c r="Q46" s="836"/>
      <c r="R46" s="837"/>
      <c r="S46" s="832" t="str">
        <f>INDEX(PT_DIFFERENTIATION_NUM_IST_TE,MATCH(D46,PT_DIFFERENTIATION_IST_TE_ID,0))</f>
        <v>...</v>
      </c>
      <c r="T46" s="840" t="s">
        <v>412</v>
      </c>
      <c r="U46" s="833"/>
      <c r="V46" s="1180"/>
      <c r="W46" s="1181"/>
      <c r="X46" s="1181"/>
      <c r="Y46" s="1181"/>
      <c r="Z46" s="1181"/>
      <c r="AA46" s="1181"/>
      <c r="AB46" s="1181"/>
      <c r="AC46" s="1182"/>
      <c r="AD46" s="1180" t="str">
        <f>INDEX(PT_DIFFERENTIATION_IST_TE,MATCH(D46,PT_DIFFERENTIATION_IST_TE_ID,0))</f>
        <v/>
      </c>
      <c r="AE46" s="1181"/>
      <c r="AF46" s="1181"/>
      <c r="AG46" s="1181"/>
      <c r="AH46" s="1181"/>
      <c r="AI46" s="1181"/>
      <c r="AJ46" s="1181"/>
      <c r="AK46" s="1181"/>
      <c r="AL46" s="1182"/>
      <c r="AM46" s="835" t="s">
        <v>413</v>
      </c>
      <c r="AP46" s="582" t="str">
        <f t="shared" si="1"/>
        <v xml:space="preserve">Источник тепловой энергии  </v>
      </c>
      <c r="AS46" s="538">
        <v>21</v>
      </c>
    </row>
    <row r="47" spans="1:45" ht="49.5" customHeight="1">
      <c r="A47" s="857" t="s">
        <v>174</v>
      </c>
      <c r="B47" s="857" t="s">
        <v>175</v>
      </c>
      <c r="C47" s="857" t="s">
        <v>176</v>
      </c>
      <c r="D47" s="857" t="s">
        <v>177</v>
      </c>
      <c r="E47" s="1195"/>
      <c r="F47" s="1195"/>
      <c r="G47" s="1195"/>
      <c r="H47" s="1195"/>
      <c r="I47" s="1192" t="str">
        <f>S46&amp;".1"</f>
        <v>....1</v>
      </c>
      <c r="L47" s="841" t="s">
        <v>414</v>
      </c>
      <c r="P47" s="1193">
        <v>1</v>
      </c>
      <c r="R47" s="842"/>
      <c r="S47" s="832" t="str">
        <f>$I47</f>
        <v>....1</v>
      </c>
      <c r="T47" s="843" t="s">
        <v>415</v>
      </c>
      <c r="U47" s="833"/>
      <c r="V47" s="1183"/>
      <c r="W47" s="1184"/>
      <c r="X47" s="1184"/>
      <c r="Y47" s="1184"/>
      <c r="Z47" s="1184"/>
      <c r="AA47" s="1184"/>
      <c r="AB47" s="1184"/>
      <c r="AC47" s="1185"/>
      <c r="AD47" s="1183"/>
      <c r="AE47" s="1184"/>
      <c r="AF47" s="1184"/>
      <c r="AG47" s="1184"/>
      <c r="AH47" s="1184"/>
      <c r="AI47" s="1184"/>
      <c r="AJ47" s="1184"/>
      <c r="AK47" s="1184"/>
      <c r="AL47" s="1185"/>
      <c r="AM47" s="835" t="s">
        <v>416</v>
      </c>
      <c r="AP47" s="582" t="str">
        <f t="shared" si="1"/>
        <v>Схема подключения теплопотребляющей установки к коллектору источника тепловой энергии</v>
      </c>
      <c r="AS47" s="538">
        <v>47</v>
      </c>
    </row>
    <row r="48" spans="1:45" ht="21.95" customHeight="1">
      <c r="A48" s="857" t="s">
        <v>174</v>
      </c>
      <c r="B48" s="857" t="s">
        <v>175</v>
      </c>
      <c r="C48" s="857" t="s">
        <v>176</v>
      </c>
      <c r="D48" s="857" t="s">
        <v>177</v>
      </c>
      <c r="E48" s="1195"/>
      <c r="F48" s="1195"/>
      <c r="G48" s="1195"/>
      <c r="H48" s="1195"/>
      <c r="I48" s="1214"/>
      <c r="J48" s="1192" t="str">
        <f>I47&amp;".1"</f>
        <v>....1.1</v>
      </c>
      <c r="L48" s="841" t="s">
        <v>417</v>
      </c>
      <c r="P48" s="1031"/>
      <c r="Q48" s="1193">
        <v>1</v>
      </c>
      <c r="R48" s="844"/>
      <c r="S48" s="832" t="str">
        <f>$J48</f>
        <v>....1.1</v>
      </c>
      <c r="T48" s="845" t="s">
        <v>418</v>
      </c>
      <c r="U48" s="833"/>
      <c r="V48" s="1183"/>
      <c r="W48" s="1184"/>
      <c r="X48" s="1184"/>
      <c r="Y48" s="1184"/>
      <c r="Z48" s="1184"/>
      <c r="AA48" s="1184"/>
      <c r="AB48" s="1184"/>
      <c r="AC48" s="1185"/>
      <c r="AD48" s="1183"/>
      <c r="AE48" s="1184"/>
      <c r="AF48" s="1184"/>
      <c r="AG48" s="1184"/>
      <c r="AH48" s="1184"/>
      <c r="AI48" s="1184"/>
      <c r="AJ48" s="1184"/>
      <c r="AK48" s="1184"/>
      <c r="AL48" s="1185"/>
      <c r="AM48" s="835" t="s">
        <v>419</v>
      </c>
      <c r="AP48" s="582" t="str">
        <f t="shared" si="1"/>
        <v>Группа потребителей</v>
      </c>
      <c r="AS48" s="538">
        <v>21</v>
      </c>
    </row>
    <row r="49" spans="1:45" ht="21.95" customHeight="1">
      <c r="A49" s="857" t="s">
        <v>174</v>
      </c>
      <c r="B49" s="857" t="s">
        <v>175</v>
      </c>
      <c r="C49" s="857" t="s">
        <v>176</v>
      </c>
      <c r="D49" s="857" t="s">
        <v>177</v>
      </c>
      <c r="E49" s="1195"/>
      <c r="F49" s="1195"/>
      <c r="G49" s="1195"/>
      <c r="H49" s="1195"/>
      <c r="I49" s="1214"/>
      <c r="J49" s="1214"/>
      <c r="K49" s="1192" t="str">
        <f>J48&amp;".1"</f>
        <v>....1.1.1</v>
      </c>
      <c r="L49" s="841" t="s">
        <v>420</v>
      </c>
      <c r="P49" s="1031"/>
      <c r="Q49" s="1031"/>
      <c r="R49" s="844">
        <v>1</v>
      </c>
      <c r="S49" s="832" t="str">
        <f>$K49</f>
        <v>....1.1.1</v>
      </c>
      <c r="T49" s="846"/>
      <c r="U49" s="833"/>
      <c r="V49" s="311"/>
      <c r="W49" s="312"/>
      <c r="X49" s="311"/>
      <c r="Y49" s="313"/>
      <c r="Z49" s="1197"/>
      <c r="AA49" s="1058" t="s">
        <v>61</v>
      </c>
      <c r="AB49" s="1197"/>
      <c r="AC49" s="1058" t="s">
        <v>61</v>
      </c>
      <c r="AD49" s="311"/>
      <c r="AE49" s="312"/>
      <c r="AF49" s="311"/>
      <c r="AG49" s="313"/>
      <c r="AH49" s="1197"/>
      <c r="AI49" s="1058" t="s">
        <v>61</v>
      </c>
      <c r="AJ49" s="1215"/>
      <c r="AK49" s="1058" t="s">
        <v>61</v>
      </c>
      <c r="AL49" s="331"/>
      <c r="AM49" s="1189" t="s">
        <v>421</v>
      </c>
      <c r="AN49" s="577" t="e">
        <f ca="1">STRCHECKDATE(V50:AL50)</f>
        <v>#NAME?</v>
      </c>
      <c r="AP49" s="582" t="str">
        <f t="shared" si="1"/>
        <v/>
      </c>
      <c r="AS49" s="538">
        <v>21</v>
      </c>
    </row>
    <row r="50" spans="1:45" ht="1.1499999999999999" customHeight="1">
      <c r="A50" s="857" t="s">
        <v>174</v>
      </c>
      <c r="B50" s="857" t="s">
        <v>175</v>
      </c>
      <c r="C50" s="857" t="s">
        <v>176</v>
      </c>
      <c r="D50" s="857" t="s">
        <v>177</v>
      </c>
      <c r="E50" s="1195"/>
      <c r="F50" s="1195"/>
      <c r="G50" s="1195"/>
      <c r="H50" s="1195"/>
      <c r="I50" s="1214"/>
      <c r="J50" s="1214"/>
      <c r="K50" s="1192"/>
      <c r="P50" s="1031"/>
      <c r="Q50" s="1031"/>
      <c r="R50" s="844"/>
      <c r="S50" s="127"/>
      <c r="T50" s="833"/>
      <c r="U50" s="833"/>
      <c r="V50" s="312"/>
      <c r="W50" s="312"/>
      <c r="X50" s="312"/>
      <c r="Y50" s="314" t="str">
        <f>Z49&amp;"-"&amp;AB49</f>
        <v>-</v>
      </c>
      <c r="Z50" s="1198"/>
      <c r="AA50" s="1058"/>
      <c r="AB50" s="1198"/>
      <c r="AC50" s="1058"/>
      <c r="AD50" s="312"/>
      <c r="AE50" s="312"/>
      <c r="AF50" s="312"/>
      <c r="AG50" s="314" t="str">
        <f>AH49&amp;"-"&amp;AJ49</f>
        <v>-</v>
      </c>
      <c r="AH50" s="1198"/>
      <c r="AI50" s="1058"/>
      <c r="AJ50" s="1216"/>
      <c r="AK50" s="1058"/>
      <c r="AL50" s="332"/>
      <c r="AM50" s="1190"/>
      <c r="AP50" s="582" t="str">
        <f t="shared" si="1"/>
        <v/>
      </c>
      <c r="AS50" s="538">
        <v>1</v>
      </c>
    </row>
    <row r="51" spans="1:45" ht="11.45" customHeight="1">
      <c r="A51" s="857" t="s">
        <v>174</v>
      </c>
      <c r="B51" s="857" t="s">
        <v>175</v>
      </c>
      <c r="C51" s="857" t="s">
        <v>176</v>
      </c>
      <c r="D51" s="857" t="s">
        <v>177</v>
      </c>
      <c r="E51" s="1195"/>
      <c r="F51" s="1195"/>
      <c r="G51" s="1195"/>
      <c r="H51" s="1195"/>
      <c r="I51" s="1214"/>
      <c r="J51" s="1192"/>
      <c r="P51" s="1031"/>
      <c r="Q51" s="1031"/>
      <c r="R51" s="842"/>
      <c r="S51" s="315"/>
      <c r="T51" s="316" t="s">
        <v>422</v>
      </c>
      <c r="U51" s="52"/>
      <c r="V51" s="52"/>
      <c r="W51" s="52"/>
      <c r="X51" s="52"/>
      <c r="Y51" s="52"/>
      <c r="Z51" s="52"/>
      <c r="AA51" s="52"/>
      <c r="AB51" s="52"/>
      <c r="AC51" s="52"/>
      <c r="AD51" s="52"/>
      <c r="AE51" s="52"/>
      <c r="AF51" s="52"/>
      <c r="AG51" s="52"/>
      <c r="AH51" s="52"/>
      <c r="AI51" s="52"/>
      <c r="AJ51" s="52"/>
      <c r="AK51" s="52"/>
      <c r="AL51" s="317"/>
      <c r="AM51" s="1191"/>
      <c r="AP51" s="582" t="str">
        <f t="shared" si="1"/>
        <v>Добавить вид теплоносителя (параметры теплоносителя)</v>
      </c>
      <c r="AS51" s="538">
        <v>11</v>
      </c>
    </row>
    <row r="52" spans="1:45" ht="11.45" customHeight="1">
      <c r="A52" s="857" t="s">
        <v>174</v>
      </c>
      <c r="B52" s="857" t="s">
        <v>175</v>
      </c>
      <c r="C52" s="857" t="s">
        <v>176</v>
      </c>
      <c r="D52" s="857" t="s">
        <v>177</v>
      </c>
      <c r="E52" s="1195"/>
      <c r="F52" s="1195"/>
      <c r="G52" s="1195"/>
      <c r="H52" s="1195"/>
      <c r="I52" s="1192"/>
      <c r="P52" s="1031"/>
      <c r="R52" s="842"/>
      <c r="S52" s="315"/>
      <c r="T52" s="318" t="s">
        <v>423</v>
      </c>
      <c r="U52" s="52"/>
      <c r="V52" s="52"/>
      <c r="W52" s="52"/>
      <c r="X52" s="52"/>
      <c r="Y52" s="52"/>
      <c r="Z52" s="52"/>
      <c r="AA52" s="52"/>
      <c r="AB52" s="52"/>
      <c r="AC52" s="319"/>
      <c r="AD52" s="52"/>
      <c r="AE52" s="52"/>
      <c r="AF52" s="52"/>
      <c r="AG52" s="52"/>
      <c r="AH52" s="52"/>
      <c r="AI52" s="52"/>
      <c r="AJ52" s="52"/>
      <c r="AK52" s="319"/>
      <c r="AL52" s="52"/>
      <c r="AM52" s="320"/>
      <c r="AP52" s="582" t="str">
        <f t="shared" si="1"/>
        <v>Добавить группу потребителей</v>
      </c>
      <c r="AS52" s="538">
        <v>11</v>
      </c>
    </row>
    <row r="53" spans="1:45" ht="14.65" customHeight="1">
      <c r="A53" s="857" t="s">
        <v>174</v>
      </c>
      <c r="B53" s="857" t="s">
        <v>175</v>
      </c>
      <c r="C53" s="857" t="s">
        <v>176</v>
      </c>
      <c r="D53" s="857" t="s">
        <v>177</v>
      </c>
      <c r="E53" s="1195"/>
      <c r="F53" s="1195"/>
      <c r="G53" s="1195"/>
      <c r="H53" s="1194"/>
      <c r="R53" s="310"/>
      <c r="S53" s="315"/>
      <c r="T53" s="321" t="s">
        <v>424</v>
      </c>
      <c r="U53" s="52"/>
      <c r="V53" s="52"/>
      <c r="W53" s="52"/>
      <c r="X53" s="52"/>
      <c r="Y53" s="52"/>
      <c r="Z53" s="52"/>
      <c r="AA53" s="52"/>
      <c r="AB53" s="52"/>
      <c r="AC53" s="319"/>
      <c r="AD53" s="52"/>
      <c r="AE53" s="52"/>
      <c r="AF53" s="52"/>
      <c r="AG53" s="52"/>
      <c r="AH53" s="52"/>
      <c r="AI53" s="52"/>
      <c r="AJ53" s="52"/>
      <c r="AK53" s="319"/>
      <c r="AL53" s="52"/>
      <c r="AM53" s="320"/>
      <c r="AP53" s="582" t="str">
        <f t="shared" si="1"/>
        <v>Добавить схему подключения</v>
      </c>
      <c r="AS53" s="538">
        <v>14</v>
      </c>
    </row>
    <row r="54" spans="1:45" ht="1.1499999999999999" customHeight="1">
      <c r="A54" s="574" t="s">
        <v>174</v>
      </c>
      <c r="B54" s="574" t="s">
        <v>175</v>
      </c>
      <c r="C54" s="574" t="s">
        <v>176</v>
      </c>
      <c r="E54" s="1195"/>
      <c r="F54" s="1195"/>
      <c r="G54" s="1194"/>
      <c r="T54" s="326" t="s">
        <v>425</v>
      </c>
      <c r="AP54" s="582" t="str">
        <f t="shared" si="1"/>
        <v>Добавить источник для дифференциации</v>
      </c>
      <c r="AS54" s="577">
        <v>1</v>
      </c>
    </row>
    <row r="55" spans="1:45" ht="1.1499999999999999" customHeight="1">
      <c r="A55" s="574" t="s">
        <v>174</v>
      </c>
      <c r="B55" s="574" t="s">
        <v>175</v>
      </c>
      <c r="E55" s="1195"/>
      <c r="F55" s="1194"/>
      <c r="T55" s="326" t="s">
        <v>426</v>
      </c>
      <c r="AP55" s="582" t="str">
        <f t="shared" si="1"/>
        <v>Добавить централизованную систему для дифференциации</v>
      </c>
      <c r="AS55" s="577">
        <v>1</v>
      </c>
    </row>
    <row r="56" spans="1:45" ht="1.1499999999999999" customHeight="1">
      <c r="A56" s="574" t="s">
        <v>174</v>
      </c>
      <c r="E56" s="1194"/>
      <c r="T56" s="326" t="s">
        <v>427</v>
      </c>
      <c r="AP56" s="582" t="str">
        <f t="shared" si="1"/>
        <v>Добавить территорию для дифференциации</v>
      </c>
      <c r="AS56" s="577">
        <v>1</v>
      </c>
    </row>
    <row r="57" spans="1:45" ht="1.1499999999999999" customHeight="1">
      <c r="T57" s="326" t="s">
        <v>459</v>
      </c>
      <c r="AP57" s="582" t="str">
        <f t="shared" si="1"/>
        <v>Добавить наименование тарифа</v>
      </c>
      <c r="AS57" s="577">
        <v>1</v>
      </c>
    </row>
    <row r="58" spans="1:45" ht="11.45" customHeight="1">
      <c r="AS58" s="538">
        <v>11</v>
      </c>
    </row>
    <row r="59" spans="1:45" ht="28.5" customHeight="1">
      <c r="T59" s="1031"/>
      <c r="U59" s="1031"/>
      <c r="V59" s="1031"/>
      <c r="W59" s="1031"/>
      <c r="X59" s="1031"/>
      <c r="Y59" s="1031"/>
      <c r="Z59" s="1031"/>
      <c r="AA59" s="1031"/>
      <c r="AB59" s="1031"/>
      <c r="AC59" s="1031"/>
      <c r="AD59" s="1031"/>
      <c r="AE59" s="1031"/>
      <c r="AF59" s="1031"/>
      <c r="AG59" s="1031"/>
      <c r="AH59" s="1031"/>
      <c r="AI59" s="1031"/>
      <c r="AJ59" s="1031"/>
      <c r="AK59" s="1031"/>
      <c r="AL59" s="1031"/>
      <c r="AM59" s="1031"/>
      <c r="AS59" s="538">
        <v>27</v>
      </c>
    </row>
    <row r="60" spans="1:45" ht="65.25" customHeight="1">
      <c r="T60" s="1031"/>
      <c r="U60" s="1031"/>
      <c r="V60" s="1031"/>
      <c r="W60" s="1031"/>
      <c r="X60" s="1031"/>
      <c r="Y60" s="1031"/>
      <c r="Z60" s="1031"/>
      <c r="AA60" s="1031"/>
      <c r="AB60" s="1031"/>
      <c r="AC60" s="1031"/>
      <c r="AD60" s="1031"/>
      <c r="AE60" s="1031"/>
      <c r="AF60" s="1031"/>
      <c r="AG60" s="1031"/>
      <c r="AH60" s="1031"/>
      <c r="AI60" s="1031"/>
      <c r="AJ60" s="1031"/>
      <c r="AK60" s="1031"/>
      <c r="AL60" s="1031"/>
      <c r="AM60" s="1031"/>
      <c r="AS60" s="538">
        <v>62</v>
      </c>
    </row>
    <row r="61" spans="1:45" ht="14.65" customHeight="1">
      <c r="AS61" s="538">
        <v>14</v>
      </c>
    </row>
    <row r="62" spans="1:45" ht="18.75" customHeight="1">
      <c r="T62" s="1031"/>
      <c r="U62" s="1031"/>
      <c r="V62" s="1031"/>
      <c r="W62" s="1031"/>
      <c r="X62" s="1031"/>
      <c r="Y62" s="1031"/>
      <c r="Z62" s="1031"/>
      <c r="AA62" s="1031"/>
      <c r="AB62" s="1031"/>
      <c r="AC62" s="1031"/>
      <c r="AD62" s="1031"/>
      <c r="AE62" s="1031"/>
      <c r="AF62" s="1031"/>
      <c r="AG62" s="1031"/>
      <c r="AH62" s="1031"/>
      <c r="AI62" s="1031"/>
      <c r="AJ62" s="1031"/>
      <c r="AK62" s="1031"/>
      <c r="AL62" s="1031"/>
      <c r="AM62" s="1031"/>
      <c r="AS62" s="538">
        <v>18</v>
      </c>
    </row>
    <row r="63" spans="1:45" ht="18.75" customHeight="1">
      <c r="T63" s="1031"/>
      <c r="U63" s="1031"/>
      <c r="V63" s="1031"/>
      <c r="W63" s="1031"/>
      <c r="X63" s="1031"/>
      <c r="Y63" s="1031"/>
      <c r="Z63" s="1031"/>
      <c r="AA63" s="1031"/>
      <c r="AB63" s="1031"/>
      <c r="AC63" s="1031"/>
      <c r="AD63" s="1031"/>
      <c r="AE63" s="1031"/>
      <c r="AF63" s="1031"/>
      <c r="AG63" s="1031"/>
      <c r="AH63" s="1031"/>
      <c r="AI63" s="1031"/>
      <c r="AJ63" s="1031"/>
      <c r="AK63" s="1031"/>
      <c r="AL63" s="1031"/>
      <c r="AM63" s="1031"/>
      <c r="AS63" s="538">
        <v>18</v>
      </c>
    </row>
    <row r="64" spans="1:45" ht="29.25" customHeight="1">
      <c r="T64" s="1031"/>
      <c r="U64" s="1031"/>
      <c r="V64" s="1031"/>
      <c r="W64" s="1031"/>
      <c r="X64" s="1031"/>
      <c r="Y64" s="1031"/>
      <c r="Z64" s="1031"/>
      <c r="AA64" s="1031"/>
      <c r="AB64" s="1031"/>
      <c r="AC64" s="1031"/>
      <c r="AD64" s="1031"/>
      <c r="AE64" s="1031"/>
      <c r="AF64" s="1031"/>
      <c r="AG64" s="1031"/>
      <c r="AH64" s="1031"/>
      <c r="AI64" s="1031"/>
      <c r="AJ64" s="1031"/>
      <c r="AK64" s="1031"/>
      <c r="AL64" s="1031"/>
      <c r="AM64" s="1031"/>
      <c r="AS64" s="538">
        <v>28</v>
      </c>
    </row>
    <row r="65" spans="1:45" ht="22.5" hidden="1" customHeight="1">
      <c r="A65" s="555" t="s">
        <v>81</v>
      </c>
      <c r="B65" s="555">
        <v>0</v>
      </c>
      <c r="C65" s="555">
        <v>0</v>
      </c>
      <c r="D65" s="555">
        <v>0</v>
      </c>
      <c r="E65" s="555">
        <v>0</v>
      </c>
      <c r="F65" s="555">
        <v>0</v>
      </c>
      <c r="G65" s="555">
        <v>0</v>
      </c>
      <c r="H65" s="555">
        <v>0</v>
      </c>
      <c r="I65" s="555">
        <v>0</v>
      </c>
      <c r="J65" s="555">
        <v>0</v>
      </c>
      <c r="K65" s="555">
        <v>0</v>
      </c>
      <c r="L65" s="667">
        <v>0</v>
      </c>
      <c r="M65" s="12">
        <v>0</v>
      </c>
      <c r="N65" s="12">
        <v>0</v>
      </c>
      <c r="O65" s="12">
        <v>0</v>
      </c>
      <c r="P65" s="300">
        <v>3</v>
      </c>
      <c r="Q65" s="821">
        <v>3</v>
      </c>
      <c r="R65" s="821">
        <v>3</v>
      </c>
      <c r="S65" s="553">
        <v>12</v>
      </c>
      <c r="T65" s="538">
        <v>31</v>
      </c>
      <c r="U65" s="538">
        <v>0</v>
      </c>
      <c r="V65" s="538">
        <v>0</v>
      </c>
      <c r="W65" s="538">
        <v>0</v>
      </c>
      <c r="X65" s="538">
        <v>0</v>
      </c>
      <c r="Y65" s="538">
        <v>0</v>
      </c>
      <c r="Z65" s="538">
        <v>0</v>
      </c>
      <c r="AA65" s="538">
        <v>0</v>
      </c>
      <c r="AB65" s="538">
        <v>0</v>
      </c>
      <c r="AC65" s="538">
        <v>0</v>
      </c>
      <c r="AD65" s="538">
        <v>24</v>
      </c>
      <c r="AE65" s="538">
        <v>0</v>
      </c>
      <c r="AF65" s="538">
        <v>24</v>
      </c>
      <c r="AG65" s="538">
        <v>24</v>
      </c>
      <c r="AH65" s="538">
        <v>11</v>
      </c>
      <c r="AI65" s="538">
        <v>3</v>
      </c>
      <c r="AJ65" s="538">
        <v>11</v>
      </c>
      <c r="AK65" s="538">
        <v>0</v>
      </c>
      <c r="AL65" s="538">
        <v>4</v>
      </c>
      <c r="AM65" s="538">
        <v>115</v>
      </c>
      <c r="AN65" s="577">
        <v>10</v>
      </c>
      <c r="AO65" s="577">
        <v>10</v>
      </c>
      <c r="AP65" s="577">
        <v>10</v>
      </c>
      <c r="AQ65" s="577">
        <v>10</v>
      </c>
      <c r="AR65" s="577">
        <v>10</v>
      </c>
      <c r="AS65" s="538">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2" style="1029" hidden="1" customWidth="1"/>
    <col min="10" max="10" width="9.85546875" style="1029" hidden="1" customWidth="1"/>
    <col min="11" max="11" width="11.42578125" style="1029" hidden="1" customWidth="1"/>
    <col min="12" max="12" width="19.140625" style="1029" hidden="1" customWidth="1"/>
    <col min="13" max="14" width="12.28515625" style="1029" hidden="1" customWidth="1"/>
    <col min="15" max="15" width="23.42578125" style="1029" hidden="1" customWidth="1"/>
    <col min="16" max="18" width="3" style="1029" customWidth="1"/>
    <col min="19" max="19" width="12" style="1029" customWidth="1"/>
    <col min="20" max="20" width="31" style="1029" customWidth="1"/>
    <col min="21" max="21" width="0.140625" style="1029" customWidth="1"/>
    <col min="22" max="22" width="24.7109375" style="1029" hidden="1" customWidth="1"/>
    <col min="23" max="23" width="0.140625" style="1029" hidden="1" customWidth="1"/>
    <col min="24" max="25" width="24.7109375" style="1029" hidden="1" customWidth="1"/>
    <col min="26" max="26" width="11.7109375" style="1029" hidden="1" customWidth="1"/>
    <col min="27" max="27" width="3.7109375" style="1029" hidden="1" customWidth="1"/>
    <col min="28" max="28" width="11.7109375" style="1029" hidden="1" customWidth="1"/>
    <col min="29" max="29" width="8.5703125" style="1029" hidden="1" customWidth="1"/>
    <col min="30" max="30" width="24.7109375" style="1029" customWidth="1"/>
    <col min="31" max="31" width="0.140625" style="1029" customWidth="1"/>
    <col min="32" max="33" width="24" style="1029" customWidth="1"/>
    <col min="34" max="34" width="11" style="1029" customWidth="1"/>
    <col min="35" max="35" width="3.7109375" style="1029" customWidth="1"/>
    <col min="36" max="36" width="11" style="1029" customWidth="1"/>
    <col min="37" max="37" width="8.5703125" style="1029" hidden="1" customWidth="1"/>
    <col min="38" max="38" width="4" style="1029" customWidth="1"/>
    <col min="39" max="39" width="115" style="1029" customWidth="1"/>
    <col min="40" max="44" width="10" style="1029" customWidth="1"/>
    <col min="45" max="45" width="10.5703125" style="1029" hidden="1"/>
  </cols>
  <sheetData>
    <row r="1" spans="5:45" ht="22.5" hidden="1" customHeight="1">
      <c r="AS1" s="538" t="s">
        <v>14</v>
      </c>
    </row>
    <row r="2" spans="5:45" ht="21" hidden="1" customHeight="1">
      <c r="E2" s="1217">
        <v>1</v>
      </c>
      <c r="R2" s="310"/>
      <c r="S2" s="832" t="e">
        <f>INDEX(PT_DIFFERENTIATION_NUM_NTAR,MATCH(A2,PT_DIFFERENTIATION_NTAR_ID,0))</f>
        <v>#N/A</v>
      </c>
      <c r="T2" s="795" t="s">
        <v>136</v>
      </c>
      <c r="U2" s="833"/>
      <c r="V2" s="1180"/>
      <c r="W2" s="1181"/>
      <c r="X2" s="1181"/>
      <c r="Y2" s="1181"/>
      <c r="Z2" s="1181"/>
      <c r="AA2" s="1181"/>
      <c r="AB2" s="1181"/>
      <c r="AC2" s="1182"/>
      <c r="AD2" s="1180" t="e">
        <f>INDEX(PT_DIFFERENTIATION_NTAR,MATCH(A2,PT_DIFFERENTIATION_NTAR_ID,0))</f>
        <v>#N/A</v>
      </c>
      <c r="AE2" s="1181"/>
      <c r="AF2" s="1181"/>
      <c r="AG2" s="1181"/>
      <c r="AH2" s="1181"/>
      <c r="AI2" s="1181"/>
      <c r="AJ2" s="1181"/>
      <c r="AK2" s="1181"/>
      <c r="AL2" s="1182"/>
      <c r="AM2" s="835" t="s">
        <v>407</v>
      </c>
      <c r="AP2" s="582" t="str">
        <f t="shared" ref="AP2:AP15" si="0">IF(T2="","",T2)</f>
        <v>Наименование тарифа</v>
      </c>
      <c r="AS2" s="538">
        <v>0</v>
      </c>
    </row>
    <row r="3" spans="5:45" ht="21" hidden="1" customHeight="1">
      <c r="E3" s="1218"/>
      <c r="F3" s="1217">
        <v>1</v>
      </c>
      <c r="Q3" s="836"/>
      <c r="R3" s="837"/>
      <c r="S3" s="832" t="e">
        <f>INDEX(PT_DIFFERENTIATION_NUM_TER,MATCH(B3,PT_DIFFERENTIATION_TER_ID,0))</f>
        <v>#N/A</v>
      </c>
      <c r="T3" s="838" t="s">
        <v>408</v>
      </c>
      <c r="U3" s="833"/>
      <c r="V3" s="1180"/>
      <c r="W3" s="1181"/>
      <c r="X3" s="1181"/>
      <c r="Y3" s="1181"/>
      <c r="Z3" s="1181"/>
      <c r="AA3" s="1181"/>
      <c r="AB3" s="1181"/>
      <c r="AC3" s="1182"/>
      <c r="AD3" s="1180" t="e">
        <f>INDEX(PT_DIFFERENTIATION_TER,MATCH(B3,PT_DIFFERENTIATION_TER_ID,0))</f>
        <v>#N/A</v>
      </c>
      <c r="AE3" s="1181"/>
      <c r="AF3" s="1181"/>
      <c r="AG3" s="1181"/>
      <c r="AH3" s="1181"/>
      <c r="AI3" s="1181"/>
      <c r="AJ3" s="1181"/>
      <c r="AK3" s="1181"/>
      <c r="AL3" s="1182"/>
      <c r="AM3" s="835" t="s">
        <v>409</v>
      </c>
      <c r="AP3" s="582" t="str">
        <f t="shared" si="0"/>
        <v>Территория действия тарифа</v>
      </c>
      <c r="AS3" s="538">
        <v>0</v>
      </c>
    </row>
    <row r="4" spans="5:45" ht="23.25" hidden="1" customHeight="1">
      <c r="E4" s="1218"/>
      <c r="F4" s="1218"/>
      <c r="G4" s="1217">
        <v>1</v>
      </c>
      <c r="Q4" s="836"/>
      <c r="R4" s="837"/>
      <c r="S4" s="832" t="e">
        <f>INDEX(PT_DIFFERENTIATION_NUM_CS,MATCH(C4,PT_DIFFERENTIATION_CS_ID,0))</f>
        <v>#N/A</v>
      </c>
      <c r="T4" s="839" t="s">
        <v>410</v>
      </c>
      <c r="U4" s="833"/>
      <c r="V4" s="1180"/>
      <c r="W4" s="1181"/>
      <c r="X4" s="1181"/>
      <c r="Y4" s="1181"/>
      <c r="Z4" s="1181"/>
      <c r="AA4" s="1181"/>
      <c r="AB4" s="1181"/>
      <c r="AC4" s="1182"/>
      <c r="AD4" s="1180" t="e">
        <f>INDEX(PT_DIFFERENTIATION_CS,MATCH(C4,PT_DIFFERENTIATION_CS_ID,0))</f>
        <v>#N/A</v>
      </c>
      <c r="AE4" s="1181"/>
      <c r="AF4" s="1181"/>
      <c r="AG4" s="1181"/>
      <c r="AH4" s="1181"/>
      <c r="AI4" s="1181"/>
      <c r="AJ4" s="1181"/>
      <c r="AK4" s="1181"/>
      <c r="AL4" s="1182"/>
      <c r="AM4" s="835" t="s">
        <v>411</v>
      </c>
      <c r="AP4" s="582" t="str">
        <f t="shared" si="0"/>
        <v xml:space="preserve">Наименование системы теплоснабжения </v>
      </c>
      <c r="AS4" s="538">
        <v>0</v>
      </c>
    </row>
    <row r="5" spans="5:45" ht="21" hidden="1" customHeight="1">
      <c r="E5" s="1218"/>
      <c r="F5" s="1218"/>
      <c r="G5" s="1218"/>
      <c r="H5" s="1217">
        <v>1</v>
      </c>
      <c r="Q5" s="836"/>
      <c r="R5" s="837"/>
      <c r="S5" s="832" t="e">
        <f>INDEX(PT_DIFFERENTIATION_NUM_IST_TE,MATCH(D5,PT_DIFFERENTIATION_IST_TE_ID,0))</f>
        <v>#N/A</v>
      </c>
      <c r="T5" s="840" t="s">
        <v>412</v>
      </c>
      <c r="U5" s="833"/>
      <c r="V5" s="1180"/>
      <c r="W5" s="1181"/>
      <c r="X5" s="1181"/>
      <c r="Y5" s="1181"/>
      <c r="Z5" s="1181"/>
      <c r="AA5" s="1181"/>
      <c r="AB5" s="1181"/>
      <c r="AC5" s="1182"/>
      <c r="AD5" s="1180" t="e">
        <f>INDEX(PT_DIFFERENTIATION_IST_TE,MATCH(D5,PT_DIFFERENTIATION_IST_TE_ID,0))</f>
        <v>#N/A</v>
      </c>
      <c r="AE5" s="1181"/>
      <c r="AF5" s="1181"/>
      <c r="AG5" s="1181"/>
      <c r="AH5" s="1181"/>
      <c r="AI5" s="1181"/>
      <c r="AJ5" s="1181"/>
      <c r="AK5" s="1181"/>
      <c r="AL5" s="1182"/>
      <c r="AM5" s="835" t="s">
        <v>413</v>
      </c>
      <c r="AP5" s="582" t="str">
        <f t="shared" si="0"/>
        <v xml:space="preserve">Источник тепловой энергии  </v>
      </c>
      <c r="AS5" s="538">
        <v>0</v>
      </c>
    </row>
    <row r="6" spans="5:45" ht="47.25" hidden="1" customHeight="1">
      <c r="E6" s="1218"/>
      <c r="F6" s="1218"/>
      <c r="G6" s="1218"/>
      <c r="H6" s="1218"/>
      <c r="I6" s="1066" t="e">
        <f>S5&amp;".1"</f>
        <v>#N/A</v>
      </c>
      <c r="L6" s="873" t="s">
        <v>414</v>
      </c>
      <c r="P6" s="1193">
        <v>1</v>
      </c>
      <c r="R6" s="842"/>
      <c r="S6" s="832" t="e">
        <f>$I6</f>
        <v>#N/A</v>
      </c>
      <c r="T6" s="843" t="s">
        <v>415</v>
      </c>
      <c r="U6" s="833"/>
      <c r="V6" s="1183"/>
      <c r="W6" s="1184"/>
      <c r="X6" s="1184"/>
      <c r="Y6" s="1184"/>
      <c r="Z6" s="1184"/>
      <c r="AA6" s="1184"/>
      <c r="AB6" s="1184"/>
      <c r="AC6" s="1185"/>
      <c r="AD6" s="1183"/>
      <c r="AE6" s="1184"/>
      <c r="AF6" s="1184"/>
      <c r="AG6" s="1184"/>
      <c r="AH6" s="1184"/>
      <c r="AI6" s="1184"/>
      <c r="AJ6" s="1184"/>
      <c r="AK6" s="1184"/>
      <c r="AL6" s="1185"/>
      <c r="AM6" s="835" t="s">
        <v>416</v>
      </c>
      <c r="AP6" s="582" t="str">
        <f t="shared" si="0"/>
        <v>Схема подключения теплопотребляющей установки к коллектору источника тепловой энергии</v>
      </c>
      <c r="AS6" s="538">
        <v>0</v>
      </c>
    </row>
    <row r="7" spans="5:45" ht="21" hidden="1" customHeight="1">
      <c r="E7" s="1218"/>
      <c r="F7" s="1218"/>
      <c r="G7" s="1218"/>
      <c r="H7" s="1218"/>
      <c r="I7" s="1048"/>
      <c r="J7" s="1066" t="e">
        <f>I6&amp;".1"</f>
        <v>#N/A</v>
      </c>
      <c r="L7" s="873" t="s">
        <v>417</v>
      </c>
      <c r="P7" s="1031"/>
      <c r="Q7" s="1193">
        <v>1</v>
      </c>
      <c r="R7" s="844"/>
      <c r="S7" s="832" t="e">
        <f>$J7</f>
        <v>#N/A</v>
      </c>
      <c r="T7" s="845" t="s">
        <v>418</v>
      </c>
      <c r="U7" s="833"/>
      <c r="V7" s="1183"/>
      <c r="W7" s="1184"/>
      <c r="X7" s="1184"/>
      <c r="Y7" s="1184"/>
      <c r="Z7" s="1184"/>
      <c r="AA7" s="1184"/>
      <c r="AB7" s="1184"/>
      <c r="AC7" s="1185"/>
      <c r="AD7" s="1183"/>
      <c r="AE7" s="1184"/>
      <c r="AF7" s="1184"/>
      <c r="AG7" s="1184"/>
      <c r="AH7" s="1184"/>
      <c r="AI7" s="1184"/>
      <c r="AJ7" s="1184"/>
      <c r="AK7" s="1184"/>
      <c r="AL7" s="1185"/>
      <c r="AM7" s="835" t="s">
        <v>419</v>
      </c>
      <c r="AP7" s="582" t="str">
        <f t="shared" si="0"/>
        <v>Группа потребителей</v>
      </c>
      <c r="AS7" s="538">
        <v>0</v>
      </c>
    </row>
    <row r="8" spans="5:45" ht="21" hidden="1" customHeight="1">
      <c r="E8" s="1218"/>
      <c r="F8" s="1218"/>
      <c r="G8" s="1218"/>
      <c r="H8" s="1218"/>
      <c r="I8" s="1048"/>
      <c r="J8" s="1048"/>
      <c r="K8" s="1066" t="e">
        <f>J7&amp;".1"</f>
        <v>#N/A</v>
      </c>
      <c r="L8" s="873" t="s">
        <v>420</v>
      </c>
      <c r="P8" s="1031"/>
      <c r="Q8" s="1031"/>
      <c r="R8" s="844">
        <v>1</v>
      </c>
      <c r="S8" s="832" t="e">
        <f>$K8</f>
        <v>#N/A</v>
      </c>
      <c r="T8" s="846"/>
      <c r="U8" s="833"/>
      <c r="V8" s="311"/>
      <c r="W8" s="312"/>
      <c r="X8" s="311"/>
      <c r="Y8" s="313"/>
      <c r="Z8" s="1197"/>
      <c r="AA8" s="1058" t="s">
        <v>61</v>
      </c>
      <c r="AB8" s="1197"/>
      <c r="AC8" s="1058" t="s">
        <v>61</v>
      </c>
      <c r="AD8" s="311"/>
      <c r="AE8" s="312"/>
      <c r="AF8" s="311"/>
      <c r="AG8" s="313"/>
      <c r="AH8" s="1197"/>
      <c r="AI8" s="1058" t="s">
        <v>61</v>
      </c>
      <c r="AJ8" s="1197"/>
      <c r="AK8" s="1058" t="s">
        <v>61</v>
      </c>
      <c r="AL8" s="312"/>
      <c r="AM8" s="1189" t="s">
        <v>421</v>
      </c>
      <c r="AN8" s="577" t="e">
        <f ca="1">STRCHECKDATE(V9:AL9)</f>
        <v>#NAME?</v>
      </c>
      <c r="AP8" s="582" t="str">
        <f t="shared" si="0"/>
        <v/>
      </c>
      <c r="AS8" s="538">
        <v>0</v>
      </c>
    </row>
    <row r="9" spans="5:45" ht="0.75" hidden="1" customHeight="1">
      <c r="E9" s="1218"/>
      <c r="F9" s="1218"/>
      <c r="G9" s="1218"/>
      <c r="H9" s="1218"/>
      <c r="I9" s="1048"/>
      <c r="J9" s="1048"/>
      <c r="K9" s="1066"/>
      <c r="P9" s="1031"/>
      <c r="Q9" s="1031"/>
      <c r="R9" s="844"/>
      <c r="S9" s="127"/>
      <c r="T9" s="833"/>
      <c r="U9" s="833"/>
      <c r="V9" s="312"/>
      <c r="W9" s="312"/>
      <c r="X9" s="312"/>
      <c r="Y9" s="314" t="str">
        <f>Z8&amp;"-"&amp;AB8</f>
        <v>-</v>
      </c>
      <c r="Z9" s="1198"/>
      <c r="AA9" s="1058"/>
      <c r="AB9" s="1198"/>
      <c r="AC9" s="1058"/>
      <c r="AD9" s="312"/>
      <c r="AE9" s="312"/>
      <c r="AF9" s="312"/>
      <c r="AG9" s="314" t="str">
        <f>AH8&amp;"-"&amp;AJ8</f>
        <v>-</v>
      </c>
      <c r="AH9" s="1198"/>
      <c r="AI9" s="1058"/>
      <c r="AJ9" s="1198"/>
      <c r="AK9" s="1058"/>
      <c r="AL9" s="312"/>
      <c r="AM9" s="1190"/>
      <c r="AP9" s="582" t="str">
        <f t="shared" si="0"/>
        <v/>
      </c>
      <c r="AS9" s="538">
        <v>0</v>
      </c>
    </row>
    <row r="10" spans="5:45" ht="15" hidden="1" customHeight="1">
      <c r="E10" s="1218"/>
      <c r="F10" s="1218"/>
      <c r="G10" s="1218"/>
      <c r="H10" s="1218"/>
      <c r="I10" s="1048"/>
      <c r="J10" s="1066"/>
      <c r="P10" s="1031"/>
      <c r="Q10" s="1031"/>
      <c r="R10" s="842"/>
      <c r="S10" s="315"/>
      <c r="T10" s="316" t="s">
        <v>422</v>
      </c>
      <c r="U10" s="52"/>
      <c r="V10" s="52"/>
      <c r="W10" s="52"/>
      <c r="X10" s="52"/>
      <c r="Y10" s="52"/>
      <c r="Z10" s="52"/>
      <c r="AA10" s="52"/>
      <c r="AB10" s="52"/>
      <c r="AC10" s="52"/>
      <c r="AD10" s="52"/>
      <c r="AE10" s="52"/>
      <c r="AF10" s="52"/>
      <c r="AG10" s="52"/>
      <c r="AH10" s="52"/>
      <c r="AI10" s="52"/>
      <c r="AJ10" s="52"/>
      <c r="AK10" s="52"/>
      <c r="AL10" s="317"/>
      <c r="AM10" s="1191"/>
      <c r="AP10" s="582" t="str">
        <f t="shared" si="0"/>
        <v>Добавить вид теплоносителя (параметры теплоносителя)</v>
      </c>
      <c r="AS10" s="538">
        <v>0</v>
      </c>
    </row>
    <row r="11" spans="5:45" ht="15" hidden="1" customHeight="1">
      <c r="E11" s="1218"/>
      <c r="F11" s="1218"/>
      <c r="G11" s="1218"/>
      <c r="H11" s="1218"/>
      <c r="I11" s="1066"/>
      <c r="P11" s="1031"/>
      <c r="R11" s="842"/>
      <c r="S11" s="315"/>
      <c r="T11" s="318" t="s">
        <v>423</v>
      </c>
      <c r="U11" s="52"/>
      <c r="V11" s="52"/>
      <c r="W11" s="52"/>
      <c r="X11" s="52"/>
      <c r="Y11" s="52"/>
      <c r="Z11" s="52"/>
      <c r="AA11" s="52"/>
      <c r="AB11" s="52"/>
      <c r="AC11" s="319"/>
      <c r="AD11" s="52"/>
      <c r="AE11" s="52"/>
      <c r="AF11" s="52"/>
      <c r="AG11" s="52"/>
      <c r="AH11" s="52"/>
      <c r="AI11" s="52"/>
      <c r="AJ11" s="52"/>
      <c r="AK11" s="319"/>
      <c r="AL11" s="52"/>
      <c r="AM11" s="320"/>
      <c r="AP11" s="582" t="str">
        <f t="shared" si="0"/>
        <v>Добавить группу потребителей</v>
      </c>
      <c r="AS11" s="538">
        <v>0</v>
      </c>
    </row>
    <row r="12" spans="5:45" ht="14.25" hidden="1" customHeight="1">
      <c r="E12" s="1218"/>
      <c r="F12" s="1218"/>
      <c r="G12" s="1218"/>
      <c r="H12" s="1217"/>
      <c r="R12" s="310"/>
      <c r="S12" s="315"/>
      <c r="T12" s="321" t="s">
        <v>424</v>
      </c>
      <c r="U12" s="52"/>
      <c r="V12" s="52"/>
      <c r="W12" s="52"/>
      <c r="X12" s="52"/>
      <c r="Y12" s="52"/>
      <c r="Z12" s="52"/>
      <c r="AA12" s="52"/>
      <c r="AB12" s="52"/>
      <c r="AC12" s="319"/>
      <c r="AD12" s="52"/>
      <c r="AE12" s="52"/>
      <c r="AF12" s="52"/>
      <c r="AG12" s="52"/>
      <c r="AH12" s="52"/>
      <c r="AI12" s="52"/>
      <c r="AJ12" s="52"/>
      <c r="AK12" s="319"/>
      <c r="AL12" s="52"/>
      <c r="AM12" s="320"/>
      <c r="AP12" s="582" t="str">
        <f t="shared" si="0"/>
        <v>Добавить схему подключения</v>
      </c>
      <c r="AS12" s="538">
        <v>0</v>
      </c>
    </row>
    <row r="13" spans="5:45" ht="0.75" hidden="1" customHeight="1">
      <c r="E13" s="1218"/>
      <c r="F13" s="1218"/>
      <c r="G13" s="1217"/>
      <c r="S13" s="322"/>
      <c r="T13" s="323" t="s">
        <v>425</v>
      </c>
      <c r="U13" s="324"/>
      <c r="V13" s="324"/>
      <c r="W13" s="324"/>
      <c r="X13" s="324"/>
      <c r="Y13" s="324"/>
      <c r="Z13" s="324"/>
      <c r="AA13" s="324"/>
      <c r="AB13" s="324"/>
      <c r="AC13" s="324"/>
      <c r="AD13" s="324"/>
      <c r="AE13" s="324"/>
      <c r="AF13" s="324"/>
      <c r="AG13" s="324"/>
      <c r="AH13" s="324"/>
      <c r="AI13" s="324"/>
      <c r="AJ13" s="324"/>
      <c r="AK13" s="324"/>
      <c r="AL13" s="324"/>
      <c r="AM13" s="324"/>
      <c r="AP13" s="582" t="str">
        <f t="shared" si="0"/>
        <v>Добавить источник для дифференциации</v>
      </c>
      <c r="AS13" s="577">
        <v>0</v>
      </c>
    </row>
    <row r="14" spans="5:45" ht="0.75" hidden="1" customHeight="1">
      <c r="E14" s="1218"/>
      <c r="F14" s="1217"/>
      <c r="T14" s="325" t="s">
        <v>426</v>
      </c>
      <c r="AP14" s="582" t="str">
        <f t="shared" si="0"/>
        <v>Добавить централизованную систему для дифференциации</v>
      </c>
      <c r="AS14" s="577">
        <v>0</v>
      </c>
    </row>
    <row r="15" spans="5:45" ht="0.75" hidden="1" customHeight="1">
      <c r="E15" s="1217"/>
      <c r="T15" s="326" t="s">
        <v>427</v>
      </c>
      <c r="AP15" s="582" t="str">
        <f t="shared" si="0"/>
        <v>Добавить территорию для дифференциации</v>
      </c>
      <c r="AS15" s="577">
        <v>0</v>
      </c>
    </row>
    <row r="16" spans="5:45" ht="14.25" hidden="1" customHeight="1">
      <c r="AS16" s="538">
        <v>0</v>
      </c>
    </row>
    <row r="17" spans="15:45" ht="14.25" hidden="1" customHeight="1">
      <c r="AD17" s="275"/>
      <c r="AE17" s="275"/>
      <c r="AF17" s="275"/>
      <c r="AG17" s="327"/>
      <c r="AH17" s="1199"/>
      <c r="AI17" s="1200" t="s">
        <v>61</v>
      </c>
      <c r="AJ17" s="1199"/>
      <c r="AK17" s="1200" t="s">
        <v>61</v>
      </c>
      <c r="AS17" s="538">
        <v>0</v>
      </c>
    </row>
    <row r="18" spans="15:45" ht="14.25" hidden="1" customHeight="1">
      <c r="AD18" s="275"/>
      <c r="AE18" s="275"/>
      <c r="AF18" s="275"/>
      <c r="AG18" s="314" t="str">
        <f>AH17&amp;"-"&amp;AJ17</f>
        <v>-</v>
      </c>
      <c r="AH18" s="1200"/>
      <c r="AI18" s="1200"/>
      <c r="AJ18" s="1200"/>
      <c r="AK18" s="1200"/>
      <c r="AS18" s="538">
        <v>0</v>
      </c>
    </row>
    <row r="19" spans="15:45" ht="14.25" hidden="1" customHeight="1">
      <c r="AS19" s="538">
        <v>0</v>
      </c>
    </row>
    <row r="20" spans="15:45" ht="14.25" hidden="1" customHeight="1">
      <c r="O20" s="348" t="s">
        <v>428</v>
      </c>
      <c r="Z20" s="328"/>
      <c r="AB20" s="328"/>
      <c r="AH20" s="328"/>
      <c r="AJ20" s="328"/>
      <c r="AS20" s="555">
        <v>0</v>
      </c>
    </row>
    <row r="21" spans="15:45" ht="14.25" hidden="1" customHeight="1">
      <c r="AS21" s="555">
        <v>0</v>
      </c>
    </row>
    <row r="22" spans="15:45" ht="14.25" hidden="1" customHeight="1">
      <c r="O22" s="873" t="s">
        <v>429</v>
      </c>
      <c r="T22" s="555" t="s">
        <v>430</v>
      </c>
      <c r="AA22" s="598" t="s">
        <v>431</v>
      </c>
      <c r="AC22" s="598" t="s">
        <v>432</v>
      </c>
      <c r="AD22" s="555" t="s">
        <v>430</v>
      </c>
      <c r="AI22" s="598" t="s">
        <v>433</v>
      </c>
      <c r="AK22" s="598" t="s">
        <v>432</v>
      </c>
      <c r="AS22" s="555">
        <v>0</v>
      </c>
    </row>
    <row r="23" spans="15:45" ht="14.25" hidden="1" customHeight="1">
      <c r="AS23" s="538">
        <v>0</v>
      </c>
    </row>
    <row r="24" spans="15:45" ht="14.25" hidden="1" customHeight="1">
      <c r="AS24" s="538">
        <v>0</v>
      </c>
    </row>
    <row r="25" spans="15:45" ht="14.65" customHeight="1">
      <c r="Q25" s="756"/>
      <c r="R25" s="756"/>
      <c r="S25" s="847"/>
      <c r="T25" s="556"/>
      <c r="U25" s="556"/>
      <c r="AS25" s="538">
        <v>14</v>
      </c>
    </row>
    <row r="26" spans="15:45" ht="14.65" customHeight="1">
      <c r="Q26" s="756"/>
      <c r="R26" s="756"/>
      <c r="S26" s="11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178"/>
      <c r="U26" s="1178"/>
      <c r="V26" s="1178"/>
      <c r="W26" s="1178"/>
      <c r="X26" s="1178"/>
      <c r="Y26" s="1178"/>
      <c r="Z26" s="1178"/>
      <c r="AA26" s="1178"/>
      <c r="AB26" s="1178"/>
      <c r="AC26" s="1178"/>
      <c r="AD26" s="1178"/>
      <c r="AE26" s="1178"/>
      <c r="AF26" s="1178"/>
      <c r="AG26" s="1178"/>
      <c r="AH26" s="1178"/>
      <c r="AI26" s="1178"/>
      <c r="AJ26" s="1178"/>
      <c r="AS26" s="538">
        <v>14</v>
      </c>
    </row>
    <row r="27" spans="15:45" ht="14.65" customHeight="1">
      <c r="Q27" s="756"/>
      <c r="R27" s="756"/>
      <c r="S27" s="1127" t="str">
        <f>IF(org=0,"Не определено",org)</f>
        <v>АО "НИЖЕГОРОДСКИЙ ВОДОКАНАЛ"</v>
      </c>
      <c r="T27" s="1127"/>
      <c r="U27" s="1127"/>
      <c r="V27" s="1127"/>
      <c r="W27" s="1127"/>
      <c r="X27" s="1127"/>
      <c r="Y27" s="1127"/>
      <c r="Z27" s="1127"/>
      <c r="AA27" s="1127"/>
      <c r="AB27" s="1127"/>
      <c r="AC27" s="1127"/>
      <c r="AD27" s="1127"/>
      <c r="AE27" s="1127"/>
      <c r="AF27" s="1127"/>
      <c r="AG27" s="1127"/>
      <c r="AH27" s="1127"/>
      <c r="AI27" s="1127"/>
      <c r="AJ27" s="1127"/>
      <c r="AS27" s="538">
        <v>14</v>
      </c>
    </row>
    <row r="28" spans="15:45" ht="14.25" hidden="1" customHeight="1">
      <c r="Q28" s="756"/>
      <c r="R28" s="756"/>
      <c r="S28" s="847"/>
      <c r="T28" s="556"/>
      <c r="U28" s="556"/>
      <c r="V28" s="826"/>
      <c r="W28" s="826"/>
      <c r="X28" s="826"/>
      <c r="Y28" s="826"/>
      <c r="Z28" s="826"/>
      <c r="AA28" s="826"/>
      <c r="AB28" s="826"/>
      <c r="AC28" s="826"/>
      <c r="AD28" s="826"/>
      <c r="AE28" s="826"/>
      <c r="AF28" s="826"/>
      <c r="AG28" s="826"/>
      <c r="AH28" s="826"/>
      <c r="AI28" s="826"/>
      <c r="AJ28" s="826"/>
      <c r="AK28" s="826"/>
      <c r="AS28" s="538">
        <v>0</v>
      </c>
    </row>
    <row r="29" spans="15:45" ht="25.5" hidden="1" customHeight="1">
      <c r="S29" s="1186" t="s">
        <v>41</v>
      </c>
      <c r="T29" s="1186"/>
      <c r="U29" s="849"/>
      <c r="V29" s="1187" t="str">
        <f>IF(TITLE_NAME_OR_PR_CHANGE="",IF(TITLE_NAME_OR_PR="","",TITLE_NAME_OR_PR),TITLE_NAME_OR_PR_CHANGE)</f>
        <v/>
      </c>
      <c r="W29" s="1187"/>
      <c r="X29" s="1187"/>
      <c r="Y29" s="1187"/>
      <c r="Z29" s="1187"/>
      <c r="AA29" s="1187"/>
      <c r="AB29" s="1187"/>
      <c r="AD29" s="1187" t="str">
        <f>IF(TITLE_NAME_OR_PR_CHANGE="",IF(TITLE_NAME_OR_PR="","",TITLE_NAME_OR_PR),TITLE_NAME_OR_PR_CHANGE)</f>
        <v/>
      </c>
      <c r="AE29" s="1187"/>
      <c r="AF29" s="1187"/>
      <c r="AG29" s="1187"/>
      <c r="AH29" s="1187"/>
      <c r="AI29" s="1187"/>
      <c r="AJ29" s="1187"/>
      <c r="AS29" s="592">
        <v>0</v>
      </c>
    </row>
    <row r="30" spans="15:45" ht="18.75" hidden="1" customHeight="1">
      <c r="S30" s="1186" t="s">
        <v>434</v>
      </c>
      <c r="T30" s="1186"/>
      <c r="U30" s="849"/>
      <c r="V30" s="1196" t="str">
        <f>IF(TITLE_DATE_PR_CHANGE="",IF(TITLE_DATE_PR="","",TITLE_DATE_PR),TITLE_DATE_PR_CHANGE)</f>
        <v/>
      </c>
      <c r="W30" s="1196"/>
      <c r="X30" s="1196"/>
      <c r="Y30" s="1196"/>
      <c r="Z30" s="1196"/>
      <c r="AA30" s="1196"/>
      <c r="AB30" s="1196"/>
      <c r="AD30" s="1196" t="str">
        <f>IF(TITLE_DATE_PR_CHANGE="",IF(TITLE_DATE_PR="","",TITLE_DATE_PR),TITLE_DATE_PR_CHANGE)</f>
        <v/>
      </c>
      <c r="AE30" s="1196"/>
      <c r="AF30" s="1196"/>
      <c r="AG30" s="1196"/>
      <c r="AH30" s="1196"/>
      <c r="AI30" s="1196"/>
      <c r="AJ30" s="1196"/>
      <c r="AS30" s="592">
        <v>0</v>
      </c>
    </row>
    <row r="31" spans="15:45" ht="18.75" hidden="1" customHeight="1">
      <c r="S31" s="1186" t="s">
        <v>435</v>
      </c>
      <c r="T31" s="1186"/>
      <c r="U31" s="849"/>
      <c r="V31" s="1187" t="str">
        <f>IF(TITLE_NUMBER_PR_CHANGE="",IF(TITLE_NUMBER_PR="","",TITLE_NUMBER_PR),TITLE_NUMBER_PR_CHANGE)</f>
        <v/>
      </c>
      <c r="W31" s="1187"/>
      <c r="X31" s="1187"/>
      <c r="Y31" s="1187"/>
      <c r="Z31" s="1187"/>
      <c r="AA31" s="1187"/>
      <c r="AB31" s="1187"/>
      <c r="AD31" s="1187" t="str">
        <f>IF(TITLE_NUMBER_PR_CHANGE="",IF(TITLE_NUMBER_PR="","",TITLE_NUMBER_PR),TITLE_NUMBER_PR_CHANGE)</f>
        <v/>
      </c>
      <c r="AE31" s="1187"/>
      <c r="AF31" s="1187"/>
      <c r="AG31" s="1187"/>
      <c r="AH31" s="1187"/>
      <c r="AI31" s="1187"/>
      <c r="AJ31" s="1187"/>
      <c r="AS31" s="592">
        <v>0</v>
      </c>
    </row>
    <row r="32" spans="15:45" ht="18.75" hidden="1" customHeight="1">
      <c r="S32" s="1186" t="s">
        <v>42</v>
      </c>
      <c r="T32" s="1186"/>
      <c r="U32" s="849"/>
      <c r="V32" s="1187" t="str">
        <f>IF(TITLE_IST_PUB_CHANGE="",IF(TITLE_IST_PUB="","",TITLE_IST_PUB),TITLE_IST_PUB_CHANGE)</f>
        <v/>
      </c>
      <c r="W32" s="1187"/>
      <c r="X32" s="1187"/>
      <c r="Y32" s="1187"/>
      <c r="Z32" s="1187"/>
      <c r="AA32" s="1187"/>
      <c r="AB32" s="1187"/>
      <c r="AD32" s="1187" t="str">
        <f>IF(TITLE_IST_PUB_CHANGE="",IF(TITLE_IST_PUB="","",TITLE_IST_PUB),TITLE_IST_PUB_CHANGE)</f>
        <v/>
      </c>
      <c r="AE32" s="1187"/>
      <c r="AF32" s="1187"/>
      <c r="AG32" s="1187"/>
      <c r="AH32" s="1187"/>
      <c r="AI32" s="1187"/>
      <c r="AJ32" s="1187"/>
      <c r="AS32" s="592">
        <v>0</v>
      </c>
    </row>
    <row r="33" spans="1:45" ht="14.25" hidden="1" customHeight="1">
      <c r="Q33" s="756"/>
      <c r="R33" s="756"/>
      <c r="S33" s="847"/>
      <c r="T33" s="556"/>
      <c r="U33" s="556"/>
      <c r="V33" s="826"/>
      <c r="W33" s="826"/>
      <c r="X33" s="826"/>
      <c r="Y33" s="826"/>
      <c r="Z33" s="826"/>
      <c r="AA33" s="826"/>
      <c r="AB33" s="826"/>
      <c r="AC33" s="826"/>
      <c r="AD33" s="826"/>
      <c r="AE33" s="826"/>
      <c r="AF33" s="826"/>
      <c r="AG33" s="826"/>
      <c r="AH33" s="826"/>
      <c r="AI33" s="826"/>
      <c r="AJ33" s="826"/>
      <c r="AK33" s="826"/>
      <c r="AS33" s="538">
        <v>0</v>
      </c>
    </row>
    <row r="34" spans="1:45" ht="18.75" hidden="1" customHeight="1">
      <c r="S34" s="1186" t="s">
        <v>436</v>
      </c>
      <c r="T34" s="1186"/>
      <c r="U34" s="849"/>
      <c r="V34" s="1196" t="str">
        <f>IF(TITLE_DATE_PR_CHANGE="",IF(TITLE_DATE_PR="","",TITLE_DATE_PR),TITLE_DATE_PR_CHANGE)</f>
        <v/>
      </c>
      <c r="W34" s="1196"/>
      <c r="X34" s="1196"/>
      <c r="Y34" s="1196"/>
      <c r="Z34" s="1196"/>
      <c r="AA34" s="1196"/>
      <c r="AB34" s="1196"/>
      <c r="AD34" s="1196" t="str">
        <f>IF(TITLE_DATE_PR_CHANGE="",IF(TITLE_DATE_PR="","",TITLE_DATE_PR),TITLE_DATE_PR_CHANGE)</f>
        <v/>
      </c>
      <c r="AE34" s="1196"/>
      <c r="AF34" s="1196"/>
      <c r="AG34" s="1196"/>
      <c r="AH34" s="1196"/>
      <c r="AI34" s="1196"/>
      <c r="AJ34" s="1196"/>
      <c r="AS34" s="592">
        <v>0</v>
      </c>
    </row>
    <row r="35" spans="1:45" ht="18.75" hidden="1" customHeight="1">
      <c r="S35" s="1186" t="s">
        <v>437</v>
      </c>
      <c r="T35" s="1186"/>
      <c r="U35" s="849"/>
      <c r="V35" s="1187" t="str">
        <f>IF(TITLE_NUMBER_PR_CHANGE="",IF(TITLE_NUMBER_PR="","",TITLE_NUMBER_PR),TITLE_NUMBER_PR_CHANGE)</f>
        <v/>
      </c>
      <c r="W35" s="1187"/>
      <c r="X35" s="1187"/>
      <c r="Y35" s="1187"/>
      <c r="Z35" s="1187"/>
      <c r="AA35" s="1187"/>
      <c r="AB35" s="1187"/>
      <c r="AD35" s="1187" t="str">
        <f>IF(TITLE_NUMBER_PR_CHANGE="",IF(TITLE_NUMBER_PR="","",TITLE_NUMBER_PR),TITLE_NUMBER_PR_CHANGE)</f>
        <v/>
      </c>
      <c r="AE35" s="1187"/>
      <c r="AF35" s="1187"/>
      <c r="AG35" s="1187"/>
      <c r="AH35" s="1187"/>
      <c r="AI35" s="1187"/>
      <c r="AJ35" s="1187"/>
      <c r="AS35" s="592">
        <v>0</v>
      </c>
    </row>
    <row r="36" spans="1:45" ht="0" hidden="1" customHeight="1">
      <c r="AC36" s="577" t="s">
        <v>438</v>
      </c>
      <c r="AK36" s="577" t="s">
        <v>438</v>
      </c>
      <c r="AS36" s="592">
        <v>0</v>
      </c>
    </row>
    <row r="37" spans="1:45" ht="14.65" customHeight="1">
      <c r="Q37" s="756"/>
      <c r="R37" s="756"/>
      <c r="S37" s="847"/>
      <c r="T37" s="556"/>
      <c r="U37" s="850"/>
      <c r="V37" s="1188"/>
      <c r="W37" s="1188"/>
      <c r="X37" s="1188"/>
      <c r="Y37" s="1188"/>
      <c r="Z37" s="1188"/>
      <c r="AA37" s="1188"/>
      <c r="AB37" s="1188"/>
      <c r="AC37" s="1188"/>
      <c r="AD37" s="1188"/>
      <c r="AE37" s="1188"/>
      <c r="AF37" s="1188"/>
      <c r="AG37" s="1188"/>
      <c r="AH37" s="1188"/>
      <c r="AI37" s="1188"/>
      <c r="AJ37" s="1188"/>
      <c r="AK37" s="1188"/>
      <c r="AS37" s="538">
        <v>14</v>
      </c>
    </row>
    <row r="38" spans="1:45" ht="14.65" customHeight="1">
      <c r="Q38" s="756"/>
      <c r="R38" s="756"/>
      <c r="S38" s="1066" t="s">
        <v>311</v>
      </c>
      <c r="T38" s="1066"/>
      <c r="U38" s="1066"/>
      <c r="V38" s="1066"/>
      <c r="W38" s="1066"/>
      <c r="X38" s="1066"/>
      <c r="Y38" s="1066"/>
      <c r="Z38" s="1066"/>
      <c r="AA38" s="1066"/>
      <c r="AB38" s="1066"/>
      <c r="AC38" s="1066"/>
      <c r="AD38" s="1066"/>
      <c r="AE38" s="1066"/>
      <c r="AF38" s="1066"/>
      <c r="AG38" s="1066"/>
      <c r="AH38" s="1066"/>
      <c r="AI38" s="1066"/>
      <c r="AJ38" s="1066"/>
      <c r="AK38" s="1066"/>
      <c r="AL38" s="1066"/>
      <c r="AM38" s="1066" t="s">
        <v>312</v>
      </c>
      <c r="AS38" s="538">
        <v>14</v>
      </c>
    </row>
    <row r="39" spans="1:45" ht="14.65" customHeight="1">
      <c r="Q39" s="756"/>
      <c r="R39" s="756"/>
      <c r="S39" s="1202" t="s">
        <v>87</v>
      </c>
      <c r="T39" s="1154" t="s">
        <v>439</v>
      </c>
      <c r="U39" s="817"/>
      <c r="V39" s="1203" t="s">
        <v>440</v>
      </c>
      <c r="W39" s="1204"/>
      <c r="X39" s="1204"/>
      <c r="Y39" s="1204"/>
      <c r="Z39" s="1204"/>
      <c r="AA39" s="1204"/>
      <c r="AB39" s="1205"/>
      <c r="AC39" s="1206" t="s">
        <v>441</v>
      </c>
      <c r="AD39" s="1203" t="s">
        <v>440</v>
      </c>
      <c r="AE39" s="1204"/>
      <c r="AF39" s="1204"/>
      <c r="AG39" s="1204"/>
      <c r="AH39" s="1204"/>
      <c r="AI39" s="1204"/>
      <c r="AJ39" s="1205"/>
      <c r="AK39" s="1206" t="s">
        <v>442</v>
      </c>
      <c r="AL39" s="1209" t="s">
        <v>443</v>
      </c>
      <c r="AM39" s="1066"/>
      <c r="AS39" s="538">
        <v>14</v>
      </c>
    </row>
    <row r="40" spans="1:45" ht="35.65" customHeight="1">
      <c r="Q40" s="756"/>
      <c r="R40" s="756"/>
      <c r="S40" s="1202"/>
      <c r="T40" s="1154"/>
      <c r="U40" s="822"/>
      <c r="V40" s="1126" t="s">
        <v>444</v>
      </c>
      <c r="W40" s="1212" t="s">
        <v>445</v>
      </c>
      <c r="X40" s="1048" t="s">
        <v>446</v>
      </c>
      <c r="Y40" s="1047"/>
      <c r="Z40" s="1048" t="s">
        <v>460</v>
      </c>
      <c r="AA40" s="1053"/>
      <c r="AB40" s="1047"/>
      <c r="AC40" s="1207"/>
      <c r="AD40" s="1126" t="s">
        <v>444</v>
      </c>
      <c r="AE40" s="1212" t="s">
        <v>445</v>
      </c>
      <c r="AF40" s="1048" t="s">
        <v>446</v>
      </c>
      <c r="AG40" s="1047"/>
      <c r="AH40" s="1048" t="s">
        <v>447</v>
      </c>
      <c r="AI40" s="1053"/>
      <c r="AJ40" s="1047"/>
      <c r="AK40" s="1207"/>
      <c r="AL40" s="1210"/>
      <c r="AM40" s="1066"/>
      <c r="AS40" s="538">
        <v>34</v>
      </c>
    </row>
    <row r="41" spans="1:45" ht="35.65" customHeight="1">
      <c r="B41" s="600" t="s">
        <v>148</v>
      </c>
      <c r="C41" s="600" t="s">
        <v>149</v>
      </c>
      <c r="D41" s="600" t="s">
        <v>150</v>
      </c>
      <c r="E41" s="873" t="s">
        <v>448</v>
      </c>
      <c r="F41" s="873" t="s">
        <v>449</v>
      </c>
      <c r="G41" s="873" t="s">
        <v>450</v>
      </c>
      <c r="H41" s="873" t="s">
        <v>451</v>
      </c>
      <c r="I41" s="873" t="s">
        <v>452</v>
      </c>
      <c r="J41" s="873" t="s">
        <v>453</v>
      </c>
      <c r="K41" s="873" t="s">
        <v>454</v>
      </c>
      <c r="L41" s="873" t="s">
        <v>429</v>
      </c>
      <c r="Q41" s="756"/>
      <c r="R41" s="756"/>
      <c r="S41" s="1202"/>
      <c r="T41" s="1154"/>
      <c r="U41" s="852"/>
      <c r="V41" s="1173"/>
      <c r="W41" s="1213"/>
      <c r="X41" s="602" t="s">
        <v>455</v>
      </c>
      <c r="Y41" s="602" t="s">
        <v>456</v>
      </c>
      <c r="Z41" s="602" t="s">
        <v>457</v>
      </c>
      <c r="AA41" s="1162" t="s">
        <v>458</v>
      </c>
      <c r="AB41" s="1164"/>
      <c r="AC41" s="1208"/>
      <c r="AD41" s="1173"/>
      <c r="AE41" s="1213"/>
      <c r="AF41" s="602" t="s">
        <v>455</v>
      </c>
      <c r="AG41" s="602" t="s">
        <v>456</v>
      </c>
      <c r="AH41" s="602" t="s">
        <v>457</v>
      </c>
      <c r="AI41" s="1162" t="s">
        <v>458</v>
      </c>
      <c r="AJ41" s="1164"/>
      <c r="AK41" s="1208"/>
      <c r="AL41" s="1211"/>
      <c r="AM41" s="1066"/>
      <c r="AS41" s="538">
        <v>34</v>
      </c>
    </row>
    <row r="42" spans="1:45" ht="11.25" hidden="1" customHeight="1">
      <c r="Q42" s="853"/>
      <c r="R42" s="854">
        <v>1</v>
      </c>
      <c r="S42" s="329" t="s">
        <v>114</v>
      </c>
      <c r="T42" s="330" t="s">
        <v>102</v>
      </c>
      <c r="U42" s="855" t="str">
        <f ca="1">OFFSET(U42,0,-1)</f>
        <v>2</v>
      </c>
      <c r="V42" s="856">
        <f ca="1">OFFSET(V42,0,-1)+1</f>
        <v>3</v>
      </c>
      <c r="W42" s="856"/>
      <c r="X42" s="856">
        <f ca="1">OFFSET(X42,0,-1)+1</f>
        <v>1</v>
      </c>
      <c r="Y42" s="856">
        <f ca="1">OFFSET(Y42,0,-1)+1</f>
        <v>2</v>
      </c>
      <c r="Z42" s="856">
        <f ca="1">OFFSET(Z42,0,-1)+1</f>
        <v>3</v>
      </c>
      <c r="AA42" s="1201">
        <f ca="1">OFFSET(AA42,0,-1)+1</f>
        <v>4</v>
      </c>
      <c r="AB42" s="1201"/>
      <c r="AC42" s="856">
        <f ca="1">OFFSET(AC42,0,-2)+1</f>
        <v>5</v>
      </c>
      <c r="AD42" s="856">
        <f ca="1">OFFSET(AD42,0,-1)+1</f>
        <v>6</v>
      </c>
      <c r="AE42" s="856"/>
      <c r="AF42" s="856">
        <f ca="1">OFFSET(AF42,0,-1)+1</f>
        <v>1</v>
      </c>
      <c r="AG42" s="856">
        <f ca="1">OFFSET(AG42,0,-1)+1</f>
        <v>2</v>
      </c>
      <c r="AH42" s="856">
        <f ca="1">OFFSET(AH42,0,-1)+1</f>
        <v>3</v>
      </c>
      <c r="AI42" s="1201">
        <f ca="1">OFFSET(AI42,0,-1)+1</f>
        <v>4</v>
      </c>
      <c r="AJ42" s="1201"/>
      <c r="AK42" s="856">
        <f ca="1">OFFSET(AK42,0,-2)+1</f>
        <v>5</v>
      </c>
      <c r="AL42" s="855">
        <f ca="1">OFFSET(AL42,0,-1)</f>
        <v>5</v>
      </c>
      <c r="AM42" s="856">
        <f ca="1">OFFSET(AM42,0,-1)+1</f>
        <v>6</v>
      </c>
      <c r="AS42" s="681">
        <v>0</v>
      </c>
    </row>
    <row r="43" spans="1:45" ht="21.95" customHeight="1">
      <c r="A43" s="606" t="s">
        <v>223</v>
      </c>
      <c r="E43" s="1217">
        <v>1</v>
      </c>
      <c r="R43" s="310"/>
      <c r="S43" s="832">
        <f>INDEX(PT_DIFFERENTIATION_NUM_NTAR,MATCH(A43,PT_DIFFERENTIATION_NTAR_ID,0))</f>
        <v>0</v>
      </c>
      <c r="T43" s="795" t="s">
        <v>136</v>
      </c>
      <c r="U43" s="833"/>
      <c r="V43" s="1180"/>
      <c r="W43" s="1181"/>
      <c r="X43" s="1181"/>
      <c r="Y43" s="1181"/>
      <c r="Z43" s="1181"/>
      <c r="AA43" s="1181"/>
      <c r="AB43" s="1181"/>
      <c r="AC43" s="1182"/>
      <c r="AD43" s="1180" t="str">
        <f>INDEX(PT_DIFFERENTIATION_NTAR,MATCH(A43,PT_DIFFERENTIATION_NTAR_ID,0))</f>
        <v/>
      </c>
      <c r="AE43" s="1181"/>
      <c r="AF43" s="1181"/>
      <c r="AG43" s="1181"/>
      <c r="AH43" s="1181"/>
      <c r="AI43" s="1181"/>
      <c r="AJ43" s="1181"/>
      <c r="AK43" s="1181"/>
      <c r="AL43" s="1182"/>
      <c r="AM43" s="83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582" t="str">
        <f t="shared" ref="AP43:AP57" si="1">IF(T43="","",T43)</f>
        <v>Наименование тарифа</v>
      </c>
      <c r="AS43" s="538">
        <v>21</v>
      </c>
    </row>
    <row r="44" spans="1:45" ht="21.95" customHeight="1">
      <c r="A44" s="606" t="s">
        <v>223</v>
      </c>
      <c r="B44" s="606" t="s">
        <v>224</v>
      </c>
      <c r="E44" s="1218"/>
      <c r="F44" s="1217">
        <v>1</v>
      </c>
      <c r="Q44" s="836"/>
      <c r="R44" s="837"/>
      <c r="S44" s="832" t="str">
        <f>INDEX(PT_DIFFERENTIATION_NUM_TER,MATCH(B44,PT_DIFFERENTIATION_TER_ID,0))</f>
        <v>.</v>
      </c>
      <c r="T44" s="838" t="s">
        <v>408</v>
      </c>
      <c r="U44" s="833"/>
      <c r="V44" s="1180"/>
      <c r="W44" s="1181"/>
      <c r="X44" s="1181"/>
      <c r="Y44" s="1181"/>
      <c r="Z44" s="1181"/>
      <c r="AA44" s="1181"/>
      <c r="AB44" s="1181"/>
      <c r="AC44" s="1182"/>
      <c r="AD44" s="1180" t="str">
        <f>INDEX(PT_DIFFERENTIATION_TER,MATCH(B44,PT_DIFFERENTIATION_TER_ID,0))</f>
        <v/>
      </c>
      <c r="AE44" s="1181"/>
      <c r="AF44" s="1181"/>
      <c r="AG44" s="1181"/>
      <c r="AH44" s="1181"/>
      <c r="AI44" s="1181"/>
      <c r="AJ44" s="1181"/>
      <c r="AK44" s="1181"/>
      <c r="AL44" s="1182"/>
      <c r="AM44" s="835" t="s">
        <v>409</v>
      </c>
      <c r="AP44" s="582" t="str">
        <f t="shared" si="1"/>
        <v>Территория действия тарифа</v>
      </c>
      <c r="AS44" s="538">
        <v>21</v>
      </c>
    </row>
    <row r="45" spans="1:45" ht="24" customHeight="1">
      <c r="A45" s="606" t="s">
        <v>223</v>
      </c>
      <c r="B45" s="606" t="s">
        <v>224</v>
      </c>
      <c r="C45" s="606" t="s">
        <v>225</v>
      </c>
      <c r="E45" s="1218"/>
      <c r="F45" s="1218"/>
      <c r="G45" s="1217">
        <v>1</v>
      </c>
      <c r="Q45" s="836"/>
      <c r="R45" s="837"/>
      <c r="S45" s="832" t="str">
        <f>INDEX(PT_DIFFERENTIATION_NUM_CS,MATCH(C45,PT_DIFFERENTIATION_CS_ID,0))</f>
        <v>..</v>
      </c>
      <c r="T45" s="839" t="s">
        <v>410</v>
      </c>
      <c r="U45" s="833"/>
      <c r="V45" s="1180"/>
      <c r="W45" s="1181"/>
      <c r="X45" s="1181"/>
      <c r="Y45" s="1181"/>
      <c r="Z45" s="1181"/>
      <c r="AA45" s="1181"/>
      <c r="AB45" s="1181"/>
      <c r="AC45" s="1182"/>
      <c r="AD45" s="1180" t="str">
        <f>INDEX(PT_DIFFERENTIATION_CS,MATCH(C45,PT_DIFFERENTIATION_CS_ID,0))</f>
        <v/>
      </c>
      <c r="AE45" s="1181"/>
      <c r="AF45" s="1181"/>
      <c r="AG45" s="1181"/>
      <c r="AH45" s="1181"/>
      <c r="AI45" s="1181"/>
      <c r="AJ45" s="1181"/>
      <c r="AK45" s="1181"/>
      <c r="AL45" s="1182"/>
      <c r="AM45" s="835" t="s">
        <v>411</v>
      </c>
      <c r="AP45" s="582" t="str">
        <f t="shared" si="1"/>
        <v xml:space="preserve">Наименование системы теплоснабжения </v>
      </c>
      <c r="AS45" s="538">
        <v>23</v>
      </c>
    </row>
    <row r="46" spans="1:45" ht="21.95" customHeight="1">
      <c r="A46" s="606" t="s">
        <v>223</v>
      </c>
      <c r="B46" s="606" t="s">
        <v>224</v>
      </c>
      <c r="C46" s="606" t="s">
        <v>225</v>
      </c>
      <c r="D46" s="606" t="s">
        <v>226</v>
      </c>
      <c r="E46" s="1218"/>
      <c r="F46" s="1218"/>
      <c r="G46" s="1218"/>
      <c r="H46" s="1217">
        <v>1</v>
      </c>
      <c r="Q46" s="836"/>
      <c r="R46" s="837"/>
      <c r="S46" s="832" t="str">
        <f>INDEX(PT_DIFFERENTIATION_NUM_IST_TE,MATCH(D46,PT_DIFFERENTIATION_IST_TE_ID,0))</f>
        <v>...</v>
      </c>
      <c r="T46" s="840" t="s">
        <v>412</v>
      </c>
      <c r="U46" s="833"/>
      <c r="V46" s="1180"/>
      <c r="W46" s="1181"/>
      <c r="X46" s="1181"/>
      <c r="Y46" s="1181"/>
      <c r="Z46" s="1181"/>
      <c r="AA46" s="1181"/>
      <c r="AB46" s="1181"/>
      <c r="AC46" s="1182"/>
      <c r="AD46" s="1180" t="str">
        <f>INDEX(PT_DIFFERENTIATION_IST_TE,MATCH(D46,PT_DIFFERENTIATION_IST_TE_ID,0))</f>
        <v/>
      </c>
      <c r="AE46" s="1181"/>
      <c r="AF46" s="1181"/>
      <c r="AG46" s="1181"/>
      <c r="AH46" s="1181"/>
      <c r="AI46" s="1181"/>
      <c r="AJ46" s="1181"/>
      <c r="AK46" s="1181"/>
      <c r="AL46" s="1182"/>
      <c r="AM46" s="835" t="s">
        <v>413</v>
      </c>
      <c r="AP46" s="582" t="str">
        <f t="shared" si="1"/>
        <v xml:space="preserve">Источник тепловой энергии  </v>
      </c>
      <c r="AS46" s="538">
        <v>21</v>
      </c>
    </row>
    <row r="47" spans="1:45" ht="49.5" customHeight="1">
      <c r="A47" s="606" t="s">
        <v>223</v>
      </c>
      <c r="B47" s="606" t="s">
        <v>224</v>
      </c>
      <c r="C47" s="606" t="s">
        <v>225</v>
      </c>
      <c r="D47" s="606" t="s">
        <v>226</v>
      </c>
      <c r="E47" s="1218"/>
      <c r="F47" s="1218"/>
      <c r="G47" s="1218"/>
      <c r="H47" s="1218"/>
      <c r="I47" s="1066" t="str">
        <f>S46&amp;".1"</f>
        <v>....1</v>
      </c>
      <c r="L47" s="873" t="s">
        <v>414</v>
      </c>
      <c r="P47" s="1193">
        <v>1</v>
      </c>
      <c r="R47" s="842"/>
      <c r="S47" s="832" t="str">
        <f>$I47</f>
        <v>....1</v>
      </c>
      <c r="T47" s="843" t="s">
        <v>415</v>
      </c>
      <c r="U47" s="833"/>
      <c r="V47" s="1183"/>
      <c r="W47" s="1184"/>
      <c r="X47" s="1184"/>
      <c r="Y47" s="1184"/>
      <c r="Z47" s="1184"/>
      <c r="AA47" s="1184"/>
      <c r="AB47" s="1184"/>
      <c r="AC47" s="1185"/>
      <c r="AD47" s="1183"/>
      <c r="AE47" s="1184"/>
      <c r="AF47" s="1184"/>
      <c r="AG47" s="1184"/>
      <c r="AH47" s="1184"/>
      <c r="AI47" s="1184"/>
      <c r="AJ47" s="1184"/>
      <c r="AK47" s="1184"/>
      <c r="AL47" s="1185"/>
      <c r="AM47" s="835" t="s">
        <v>416</v>
      </c>
      <c r="AP47" s="582" t="str">
        <f t="shared" si="1"/>
        <v>Схема подключения теплопотребляющей установки к коллектору источника тепловой энергии</v>
      </c>
      <c r="AS47" s="538">
        <v>47</v>
      </c>
    </row>
    <row r="48" spans="1:45" ht="21.95" customHeight="1">
      <c r="A48" s="606" t="s">
        <v>223</v>
      </c>
      <c r="B48" s="606" t="s">
        <v>224</v>
      </c>
      <c r="C48" s="606" t="s">
        <v>225</v>
      </c>
      <c r="D48" s="606" t="s">
        <v>226</v>
      </c>
      <c r="E48" s="1218"/>
      <c r="F48" s="1218"/>
      <c r="G48" s="1218"/>
      <c r="H48" s="1218"/>
      <c r="I48" s="1048"/>
      <c r="J48" s="1066" t="str">
        <f>I47&amp;".1"</f>
        <v>....1.1</v>
      </c>
      <c r="L48" s="873" t="s">
        <v>417</v>
      </c>
      <c r="P48" s="1031"/>
      <c r="Q48" s="1193">
        <v>1</v>
      </c>
      <c r="R48" s="844"/>
      <c r="S48" s="832" t="str">
        <f>$J48</f>
        <v>....1.1</v>
      </c>
      <c r="T48" s="845" t="s">
        <v>418</v>
      </c>
      <c r="U48" s="833"/>
      <c r="V48" s="1183"/>
      <c r="W48" s="1184"/>
      <c r="X48" s="1184"/>
      <c r="Y48" s="1184"/>
      <c r="Z48" s="1184"/>
      <c r="AA48" s="1184"/>
      <c r="AB48" s="1184"/>
      <c r="AC48" s="1185"/>
      <c r="AD48" s="1183"/>
      <c r="AE48" s="1184"/>
      <c r="AF48" s="1184"/>
      <c r="AG48" s="1184"/>
      <c r="AH48" s="1184"/>
      <c r="AI48" s="1184"/>
      <c r="AJ48" s="1184"/>
      <c r="AK48" s="1184"/>
      <c r="AL48" s="1185"/>
      <c r="AM48" s="835" t="s">
        <v>419</v>
      </c>
      <c r="AP48" s="582" t="str">
        <f t="shared" si="1"/>
        <v>Группа потребителей</v>
      </c>
      <c r="AS48" s="538">
        <v>21</v>
      </c>
    </row>
    <row r="49" spans="1:45" ht="21.95" customHeight="1">
      <c r="A49" s="606" t="s">
        <v>223</v>
      </c>
      <c r="B49" s="606" t="s">
        <v>224</v>
      </c>
      <c r="C49" s="606" t="s">
        <v>225</v>
      </c>
      <c r="D49" s="606" t="s">
        <v>226</v>
      </c>
      <c r="E49" s="1218"/>
      <c r="F49" s="1218"/>
      <c r="G49" s="1218"/>
      <c r="H49" s="1218"/>
      <c r="I49" s="1048"/>
      <c r="J49" s="1048"/>
      <c r="K49" s="1066" t="str">
        <f>J48&amp;".1"</f>
        <v>....1.1.1</v>
      </c>
      <c r="L49" s="873" t="s">
        <v>420</v>
      </c>
      <c r="P49" s="1031"/>
      <c r="Q49" s="1031"/>
      <c r="R49" s="844">
        <v>1</v>
      </c>
      <c r="S49" s="832" t="str">
        <f>$K49</f>
        <v>....1.1.1</v>
      </c>
      <c r="T49" s="846"/>
      <c r="U49" s="833"/>
      <c r="V49" s="311"/>
      <c r="W49" s="312"/>
      <c r="X49" s="311"/>
      <c r="Y49" s="313"/>
      <c r="Z49" s="1197"/>
      <c r="AA49" s="1058" t="s">
        <v>61</v>
      </c>
      <c r="AB49" s="1197"/>
      <c r="AC49" s="1058" t="s">
        <v>61</v>
      </c>
      <c r="AD49" s="311"/>
      <c r="AE49" s="312"/>
      <c r="AF49" s="311"/>
      <c r="AG49" s="313"/>
      <c r="AH49" s="1197"/>
      <c r="AI49" s="1058" t="s">
        <v>61</v>
      </c>
      <c r="AJ49" s="1215"/>
      <c r="AK49" s="1058" t="s">
        <v>61</v>
      </c>
      <c r="AL49" s="331"/>
      <c r="AM49" s="1189" t="s">
        <v>421</v>
      </c>
      <c r="AN49" s="577" t="e">
        <f ca="1">STRCHECKDATE(V50:AL50)</f>
        <v>#NAME?</v>
      </c>
      <c r="AP49" s="582" t="str">
        <f t="shared" si="1"/>
        <v/>
      </c>
      <c r="AS49" s="538">
        <v>21</v>
      </c>
    </row>
    <row r="50" spans="1:45" ht="1.1499999999999999" customHeight="1">
      <c r="A50" s="606" t="s">
        <v>223</v>
      </c>
      <c r="B50" s="606" t="s">
        <v>224</v>
      </c>
      <c r="C50" s="606" t="s">
        <v>225</v>
      </c>
      <c r="D50" s="606" t="s">
        <v>226</v>
      </c>
      <c r="E50" s="1218"/>
      <c r="F50" s="1218"/>
      <c r="G50" s="1218"/>
      <c r="H50" s="1218"/>
      <c r="I50" s="1048"/>
      <c r="J50" s="1048"/>
      <c r="K50" s="1066"/>
      <c r="P50" s="1031"/>
      <c r="Q50" s="1031"/>
      <c r="R50" s="844"/>
      <c r="S50" s="127"/>
      <c r="T50" s="833"/>
      <c r="U50" s="833"/>
      <c r="V50" s="312"/>
      <c r="W50" s="312"/>
      <c r="X50" s="312"/>
      <c r="Y50" s="314" t="str">
        <f>Z49&amp;"-"&amp;AB49</f>
        <v>-</v>
      </c>
      <c r="Z50" s="1198"/>
      <c r="AA50" s="1058"/>
      <c r="AB50" s="1198"/>
      <c r="AC50" s="1058"/>
      <c r="AD50" s="312"/>
      <c r="AE50" s="312"/>
      <c r="AF50" s="312"/>
      <c r="AG50" s="314" t="str">
        <f>AH49&amp;"-"&amp;AJ49</f>
        <v>-</v>
      </c>
      <c r="AH50" s="1198"/>
      <c r="AI50" s="1058"/>
      <c r="AJ50" s="1216"/>
      <c r="AK50" s="1058"/>
      <c r="AL50" s="332"/>
      <c r="AM50" s="1190"/>
      <c r="AP50" s="582" t="str">
        <f t="shared" si="1"/>
        <v/>
      </c>
      <c r="AS50" s="538">
        <v>1</v>
      </c>
    </row>
    <row r="51" spans="1:45" ht="11.45" customHeight="1">
      <c r="A51" s="606" t="s">
        <v>223</v>
      </c>
      <c r="B51" s="606" t="s">
        <v>224</v>
      </c>
      <c r="C51" s="606" t="s">
        <v>225</v>
      </c>
      <c r="D51" s="606" t="s">
        <v>226</v>
      </c>
      <c r="E51" s="1218"/>
      <c r="F51" s="1218"/>
      <c r="G51" s="1218"/>
      <c r="H51" s="1218"/>
      <c r="I51" s="1048"/>
      <c r="J51" s="1066"/>
      <c r="P51" s="1031"/>
      <c r="Q51" s="1031"/>
      <c r="R51" s="842"/>
      <c r="S51" s="315"/>
      <c r="T51" s="316" t="s">
        <v>422</v>
      </c>
      <c r="U51" s="52"/>
      <c r="V51" s="52"/>
      <c r="W51" s="52"/>
      <c r="X51" s="52"/>
      <c r="Y51" s="52"/>
      <c r="Z51" s="52"/>
      <c r="AA51" s="52"/>
      <c r="AB51" s="52"/>
      <c r="AC51" s="52"/>
      <c r="AD51" s="52"/>
      <c r="AE51" s="52"/>
      <c r="AF51" s="52"/>
      <c r="AG51" s="52"/>
      <c r="AH51" s="52"/>
      <c r="AI51" s="52"/>
      <c r="AJ51" s="52"/>
      <c r="AK51" s="52"/>
      <c r="AL51" s="317"/>
      <c r="AM51" s="1191"/>
      <c r="AP51" s="582" t="str">
        <f t="shared" si="1"/>
        <v>Добавить вид теплоносителя (параметры теплоносителя)</v>
      </c>
      <c r="AS51" s="538">
        <v>11</v>
      </c>
    </row>
    <row r="52" spans="1:45" ht="11.45" customHeight="1">
      <c r="A52" s="606" t="s">
        <v>223</v>
      </c>
      <c r="B52" s="606" t="s">
        <v>224</v>
      </c>
      <c r="C52" s="606" t="s">
        <v>225</v>
      </c>
      <c r="D52" s="606" t="s">
        <v>226</v>
      </c>
      <c r="E52" s="1218"/>
      <c r="F52" s="1218"/>
      <c r="G52" s="1218"/>
      <c r="H52" s="1218"/>
      <c r="I52" s="1066"/>
      <c r="P52" s="1031"/>
      <c r="R52" s="842"/>
      <c r="S52" s="315"/>
      <c r="T52" s="318" t="s">
        <v>423</v>
      </c>
      <c r="U52" s="52"/>
      <c r="V52" s="52"/>
      <c r="W52" s="52"/>
      <c r="X52" s="52"/>
      <c r="Y52" s="52"/>
      <c r="Z52" s="52"/>
      <c r="AA52" s="52"/>
      <c r="AB52" s="52"/>
      <c r="AC52" s="319"/>
      <c r="AD52" s="52"/>
      <c r="AE52" s="52"/>
      <c r="AF52" s="52"/>
      <c r="AG52" s="52"/>
      <c r="AH52" s="52"/>
      <c r="AI52" s="52"/>
      <c r="AJ52" s="52"/>
      <c r="AK52" s="319"/>
      <c r="AL52" s="52"/>
      <c r="AM52" s="320"/>
      <c r="AP52" s="582" t="str">
        <f t="shared" si="1"/>
        <v>Добавить группу потребителей</v>
      </c>
      <c r="AS52" s="538">
        <v>11</v>
      </c>
    </row>
    <row r="53" spans="1:45" ht="14.65" customHeight="1">
      <c r="A53" s="606" t="s">
        <v>223</v>
      </c>
      <c r="B53" s="606" t="s">
        <v>224</v>
      </c>
      <c r="C53" s="606" t="s">
        <v>225</v>
      </c>
      <c r="D53" s="606" t="s">
        <v>226</v>
      </c>
      <c r="E53" s="1218"/>
      <c r="F53" s="1218"/>
      <c r="G53" s="1218"/>
      <c r="H53" s="1217"/>
      <c r="R53" s="310"/>
      <c r="S53" s="315"/>
      <c r="T53" s="321" t="s">
        <v>424</v>
      </c>
      <c r="U53" s="52"/>
      <c r="V53" s="52"/>
      <c r="W53" s="52"/>
      <c r="X53" s="52"/>
      <c r="Y53" s="52"/>
      <c r="Z53" s="52"/>
      <c r="AA53" s="52"/>
      <c r="AB53" s="52"/>
      <c r="AC53" s="319"/>
      <c r="AD53" s="52"/>
      <c r="AE53" s="52"/>
      <c r="AF53" s="52"/>
      <c r="AG53" s="52"/>
      <c r="AH53" s="52"/>
      <c r="AI53" s="52"/>
      <c r="AJ53" s="52"/>
      <c r="AK53" s="319"/>
      <c r="AL53" s="52"/>
      <c r="AM53" s="320"/>
      <c r="AP53" s="582" t="str">
        <f t="shared" si="1"/>
        <v>Добавить схему подключения</v>
      </c>
      <c r="AS53" s="538">
        <v>14</v>
      </c>
    </row>
    <row r="54" spans="1:45" ht="4.1500000000000004" customHeight="1">
      <c r="A54" s="877" t="s">
        <v>223</v>
      </c>
      <c r="B54" s="877" t="s">
        <v>224</v>
      </c>
      <c r="C54" s="877" t="s">
        <v>225</v>
      </c>
      <c r="E54" s="1218"/>
      <c r="F54" s="1218"/>
      <c r="G54" s="1217"/>
      <c r="T54" s="326" t="s">
        <v>425</v>
      </c>
      <c r="AP54" s="582" t="str">
        <f t="shared" si="1"/>
        <v>Добавить источник для дифференциации</v>
      </c>
      <c r="AS54" s="577">
        <v>4</v>
      </c>
    </row>
    <row r="55" spans="1:45" ht="4.1500000000000004" customHeight="1">
      <c r="A55" s="877" t="s">
        <v>223</v>
      </c>
      <c r="B55" s="877" t="s">
        <v>224</v>
      </c>
      <c r="E55" s="1218"/>
      <c r="F55" s="1217"/>
      <c r="T55" s="326" t="s">
        <v>426</v>
      </c>
      <c r="AP55" s="582" t="str">
        <f t="shared" si="1"/>
        <v>Добавить централизованную систему для дифференциации</v>
      </c>
      <c r="AS55" s="577">
        <v>4</v>
      </c>
    </row>
    <row r="56" spans="1:45" ht="4.1500000000000004" customHeight="1">
      <c r="A56" s="877" t="s">
        <v>223</v>
      </c>
      <c r="E56" s="1217"/>
      <c r="T56" s="326" t="s">
        <v>427</v>
      </c>
      <c r="AP56" s="582" t="str">
        <f t="shared" si="1"/>
        <v>Добавить территорию для дифференциации</v>
      </c>
      <c r="AS56" s="577">
        <v>4</v>
      </c>
    </row>
    <row r="57" spans="1:45" ht="4.1500000000000004" customHeight="1">
      <c r="T57" s="326" t="s">
        <v>459</v>
      </c>
      <c r="AP57" s="582" t="str">
        <f t="shared" si="1"/>
        <v>Добавить наименование тарифа</v>
      </c>
      <c r="AS57" s="577">
        <v>4</v>
      </c>
    </row>
    <row r="58" spans="1:45" ht="11.45" customHeight="1">
      <c r="AS58" s="538">
        <v>11</v>
      </c>
    </row>
    <row r="59" spans="1:45" ht="28.5" customHeight="1">
      <c r="T59" s="1031"/>
      <c r="U59" s="1031"/>
      <c r="V59" s="1031"/>
      <c r="W59" s="1031"/>
      <c r="X59" s="1031"/>
      <c r="Y59" s="1031"/>
      <c r="Z59" s="1031"/>
      <c r="AA59" s="1031"/>
      <c r="AB59" s="1031"/>
      <c r="AC59" s="1031"/>
      <c r="AD59" s="1031"/>
      <c r="AE59" s="1031"/>
      <c r="AF59" s="1031"/>
      <c r="AG59" s="1031"/>
      <c r="AH59" s="1031"/>
      <c r="AI59" s="1031"/>
      <c r="AJ59" s="1031"/>
      <c r="AK59" s="1031"/>
      <c r="AL59" s="1031"/>
      <c r="AM59" s="1031"/>
      <c r="AS59" s="538">
        <v>27</v>
      </c>
    </row>
    <row r="60" spans="1:45" ht="65.25" customHeight="1">
      <c r="T60" s="1031"/>
      <c r="U60" s="1031"/>
      <c r="V60" s="1031"/>
      <c r="W60" s="1031"/>
      <c r="X60" s="1031"/>
      <c r="Y60" s="1031"/>
      <c r="Z60" s="1031"/>
      <c r="AA60" s="1031"/>
      <c r="AB60" s="1031"/>
      <c r="AC60" s="1031"/>
      <c r="AD60" s="1031"/>
      <c r="AE60" s="1031"/>
      <c r="AF60" s="1031"/>
      <c r="AG60" s="1031"/>
      <c r="AH60" s="1031"/>
      <c r="AI60" s="1031"/>
      <c r="AJ60" s="1031"/>
      <c r="AK60" s="1031"/>
      <c r="AL60" s="1031"/>
      <c r="AM60" s="1031"/>
      <c r="AS60" s="538">
        <v>62</v>
      </c>
    </row>
    <row r="61" spans="1:45" ht="14.65" customHeight="1">
      <c r="AS61" s="538">
        <v>14</v>
      </c>
    </row>
    <row r="62" spans="1:45" ht="18.75" customHeight="1">
      <c r="T62" s="1031"/>
      <c r="U62" s="1031"/>
      <c r="V62" s="1031"/>
      <c r="W62" s="1031"/>
      <c r="X62" s="1031"/>
      <c r="Y62" s="1031"/>
      <c r="Z62" s="1031"/>
      <c r="AA62" s="1031"/>
      <c r="AB62" s="1031"/>
      <c r="AC62" s="1031"/>
      <c r="AD62" s="1031"/>
      <c r="AE62" s="1031"/>
      <c r="AF62" s="1031"/>
      <c r="AG62" s="1031"/>
      <c r="AH62" s="1031"/>
      <c r="AI62" s="1031"/>
      <c r="AJ62" s="1031"/>
      <c r="AK62" s="1031"/>
      <c r="AL62" s="1031"/>
      <c r="AM62" s="1031"/>
      <c r="AS62" s="538">
        <v>18</v>
      </c>
    </row>
    <row r="63" spans="1:45" ht="18.75" customHeight="1">
      <c r="T63" s="1031"/>
      <c r="U63" s="1031"/>
      <c r="V63" s="1031"/>
      <c r="W63" s="1031"/>
      <c r="X63" s="1031"/>
      <c r="Y63" s="1031"/>
      <c r="Z63" s="1031"/>
      <c r="AA63" s="1031"/>
      <c r="AB63" s="1031"/>
      <c r="AC63" s="1031"/>
      <c r="AD63" s="1031"/>
      <c r="AE63" s="1031"/>
      <c r="AF63" s="1031"/>
      <c r="AG63" s="1031"/>
      <c r="AH63" s="1031"/>
      <c r="AI63" s="1031"/>
      <c r="AJ63" s="1031"/>
      <c r="AK63" s="1031"/>
      <c r="AL63" s="1031"/>
      <c r="AM63" s="1031"/>
      <c r="AS63" s="538">
        <v>18</v>
      </c>
    </row>
    <row r="64" spans="1:45" ht="29.25" customHeight="1">
      <c r="T64" s="1031"/>
      <c r="U64" s="1031"/>
      <c r="V64" s="1031"/>
      <c r="W64" s="1031"/>
      <c r="X64" s="1031"/>
      <c r="Y64" s="1031"/>
      <c r="Z64" s="1031"/>
      <c r="AA64" s="1031"/>
      <c r="AB64" s="1031"/>
      <c r="AC64" s="1031"/>
      <c r="AD64" s="1031"/>
      <c r="AE64" s="1031"/>
      <c r="AF64" s="1031"/>
      <c r="AG64" s="1031"/>
      <c r="AH64" s="1031"/>
      <c r="AI64" s="1031"/>
      <c r="AJ64" s="1031"/>
      <c r="AK64" s="1031"/>
      <c r="AL64" s="1031"/>
      <c r="AM64" s="1031"/>
      <c r="AS64" s="538">
        <v>28</v>
      </c>
    </row>
    <row r="65" spans="1:45" ht="22.5" hidden="1" customHeight="1">
      <c r="A65" s="538" t="s">
        <v>81</v>
      </c>
      <c r="B65" s="538">
        <v>0</v>
      </c>
      <c r="C65" s="538">
        <v>0</v>
      </c>
      <c r="D65" s="538">
        <v>0</v>
      </c>
      <c r="E65" s="538">
        <v>0</v>
      </c>
      <c r="F65" s="538">
        <v>0</v>
      </c>
      <c r="G65" s="538">
        <v>0</v>
      </c>
      <c r="H65" s="538">
        <v>0</v>
      </c>
      <c r="I65" s="538">
        <v>0</v>
      </c>
      <c r="J65" s="538">
        <v>0</v>
      </c>
      <c r="K65" s="538">
        <v>0</v>
      </c>
      <c r="L65" s="560">
        <v>0</v>
      </c>
      <c r="M65" s="300">
        <v>0</v>
      </c>
      <c r="N65" s="300">
        <v>0</v>
      </c>
      <c r="O65" s="300">
        <v>0</v>
      </c>
      <c r="P65" s="300">
        <v>3</v>
      </c>
      <c r="Q65" s="821">
        <v>3</v>
      </c>
      <c r="R65" s="821">
        <v>3</v>
      </c>
      <c r="S65" s="553">
        <v>12</v>
      </c>
      <c r="T65" s="538">
        <v>31</v>
      </c>
      <c r="U65" s="538">
        <v>0</v>
      </c>
      <c r="V65" s="538">
        <v>0</v>
      </c>
      <c r="W65" s="538">
        <v>0</v>
      </c>
      <c r="X65" s="538">
        <v>0</v>
      </c>
      <c r="Y65" s="538">
        <v>0</v>
      </c>
      <c r="Z65" s="538">
        <v>0</v>
      </c>
      <c r="AA65" s="538">
        <v>0</v>
      </c>
      <c r="AB65" s="538">
        <v>0</v>
      </c>
      <c r="AC65" s="538">
        <v>0</v>
      </c>
      <c r="AD65" s="538">
        <v>24</v>
      </c>
      <c r="AE65" s="538">
        <v>0</v>
      </c>
      <c r="AF65" s="538">
        <v>24</v>
      </c>
      <c r="AG65" s="538">
        <v>24</v>
      </c>
      <c r="AH65" s="538">
        <v>11</v>
      </c>
      <c r="AI65" s="538">
        <v>3</v>
      </c>
      <c r="AJ65" s="538">
        <v>11</v>
      </c>
      <c r="AK65" s="538">
        <v>0</v>
      </c>
      <c r="AL65" s="538">
        <v>4</v>
      </c>
      <c r="AM65" s="538">
        <v>115</v>
      </c>
      <c r="AN65" s="577">
        <v>10</v>
      </c>
      <c r="AO65" s="577">
        <v>10</v>
      </c>
      <c r="AP65" s="577">
        <v>10</v>
      </c>
      <c r="AQ65" s="577">
        <v>10</v>
      </c>
      <c r="AR65" s="577">
        <v>10</v>
      </c>
      <c r="AS65" s="53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2" style="1029" hidden="1" customWidth="1"/>
    <col min="10" max="10" width="9.85546875" style="1029" hidden="1" customWidth="1"/>
    <col min="11" max="11" width="11.42578125" style="1029" hidden="1" customWidth="1"/>
    <col min="12" max="12" width="19.140625" style="1029" hidden="1" customWidth="1"/>
    <col min="13" max="14" width="12.28515625" style="1029" hidden="1" customWidth="1"/>
    <col min="15" max="15" width="23.42578125" style="1029" hidden="1" customWidth="1"/>
    <col min="16" max="18" width="3" style="1029" customWidth="1"/>
    <col min="19" max="19" width="12" style="1029" customWidth="1"/>
    <col min="20" max="20" width="31" style="1029" customWidth="1"/>
    <col min="21" max="21" width="0.140625" style="1029" customWidth="1"/>
    <col min="22" max="22" width="24.7109375" style="1029" hidden="1" customWidth="1"/>
    <col min="23" max="23" width="0.140625" style="1029" hidden="1" customWidth="1"/>
    <col min="24" max="25" width="24.7109375" style="1029" hidden="1" customWidth="1"/>
    <col min="26" max="26" width="11.7109375" style="1029" hidden="1" customWidth="1"/>
    <col min="27" max="27" width="3.7109375" style="1029" hidden="1" customWidth="1"/>
    <col min="28" max="28" width="11.7109375" style="1029" hidden="1" customWidth="1"/>
    <col min="29" max="29" width="8.5703125" style="1029" hidden="1" customWidth="1"/>
    <col min="30" max="30" width="24.7109375" style="1029" customWidth="1"/>
    <col min="31" max="31" width="0.140625" style="1029" customWidth="1"/>
    <col min="32" max="33" width="24" style="1029" customWidth="1"/>
    <col min="34" max="34" width="11" style="1029" customWidth="1"/>
    <col min="35" max="35" width="3.7109375" style="1029" customWidth="1"/>
    <col min="36" max="36" width="11" style="1029" customWidth="1"/>
    <col min="37" max="37" width="8.5703125" style="1029" hidden="1" customWidth="1"/>
    <col min="38" max="38" width="4" style="1029" customWidth="1"/>
    <col min="39" max="39" width="115" style="1029" customWidth="1"/>
    <col min="40" max="44" width="10" style="1029" customWidth="1"/>
    <col min="45" max="45" width="10.5703125" style="1029" hidden="1"/>
  </cols>
  <sheetData>
    <row r="1" spans="5:45" ht="22.5" hidden="1" customHeight="1">
      <c r="AS1" s="538" t="s">
        <v>14</v>
      </c>
    </row>
    <row r="2" spans="5:45" ht="21" hidden="1" customHeight="1">
      <c r="E2" s="1217">
        <v>1</v>
      </c>
      <c r="R2" s="310"/>
      <c r="S2" s="832" t="e">
        <f>INDEX(PT_DIFFERENTIATION_NUM_NTAR,MATCH(A2,PT_DIFFERENTIATION_NTAR_ID,0))</f>
        <v>#N/A</v>
      </c>
      <c r="T2" s="795" t="s">
        <v>136</v>
      </c>
      <c r="U2" s="833"/>
      <c r="V2" s="1180"/>
      <c r="W2" s="1181"/>
      <c r="X2" s="1181"/>
      <c r="Y2" s="1181"/>
      <c r="Z2" s="1181"/>
      <c r="AA2" s="1181"/>
      <c r="AB2" s="1181"/>
      <c r="AC2" s="1182"/>
      <c r="AD2" s="1180" t="e">
        <f>INDEX(PT_DIFFERENTIATION_NTAR,MATCH(A2,PT_DIFFERENTIATION_NTAR_ID,0))</f>
        <v>#N/A</v>
      </c>
      <c r="AE2" s="1181"/>
      <c r="AF2" s="1181"/>
      <c r="AG2" s="1181"/>
      <c r="AH2" s="1181"/>
      <c r="AI2" s="1181"/>
      <c r="AJ2" s="1181"/>
      <c r="AK2" s="1181"/>
      <c r="AL2" s="1182"/>
      <c r="AM2" s="835" t="s">
        <v>407</v>
      </c>
      <c r="AP2" s="582" t="str">
        <f t="shared" ref="AP2:AP15" si="0">IF(T2="","",T2)</f>
        <v>Наименование тарифа</v>
      </c>
      <c r="AS2" s="538">
        <v>0</v>
      </c>
    </row>
    <row r="3" spans="5:45" ht="21" hidden="1" customHeight="1">
      <c r="E3" s="1218"/>
      <c r="F3" s="1217">
        <v>1</v>
      </c>
      <c r="Q3" s="836"/>
      <c r="R3" s="837"/>
      <c r="S3" s="832" t="e">
        <f>INDEX(PT_DIFFERENTIATION_NUM_TER,MATCH(B3,PT_DIFFERENTIATION_TER_ID,0))</f>
        <v>#N/A</v>
      </c>
      <c r="T3" s="838" t="s">
        <v>408</v>
      </c>
      <c r="U3" s="833"/>
      <c r="V3" s="1180"/>
      <c r="W3" s="1181"/>
      <c r="X3" s="1181"/>
      <c r="Y3" s="1181"/>
      <c r="Z3" s="1181"/>
      <c r="AA3" s="1181"/>
      <c r="AB3" s="1181"/>
      <c r="AC3" s="1182"/>
      <c r="AD3" s="1180" t="e">
        <f>INDEX(PT_DIFFERENTIATION_TER,MATCH(B3,PT_DIFFERENTIATION_TER_ID,0))</f>
        <v>#N/A</v>
      </c>
      <c r="AE3" s="1181"/>
      <c r="AF3" s="1181"/>
      <c r="AG3" s="1181"/>
      <c r="AH3" s="1181"/>
      <c r="AI3" s="1181"/>
      <c r="AJ3" s="1181"/>
      <c r="AK3" s="1181"/>
      <c r="AL3" s="1182"/>
      <c r="AM3" s="835" t="s">
        <v>409</v>
      </c>
      <c r="AP3" s="582" t="str">
        <f t="shared" si="0"/>
        <v>Территория действия тарифа</v>
      </c>
      <c r="AS3" s="538">
        <v>0</v>
      </c>
    </row>
    <row r="4" spans="5:45" ht="23.25" hidden="1" customHeight="1">
      <c r="E4" s="1218"/>
      <c r="F4" s="1218"/>
      <c r="G4" s="1217">
        <v>1</v>
      </c>
      <c r="Q4" s="836"/>
      <c r="R4" s="837"/>
      <c r="S4" s="832" t="e">
        <f>INDEX(PT_DIFFERENTIATION_NUM_CS,MATCH(C4,PT_DIFFERENTIATION_CS_ID,0))</f>
        <v>#N/A</v>
      </c>
      <c r="T4" s="839" t="s">
        <v>410</v>
      </c>
      <c r="U4" s="833"/>
      <c r="V4" s="1180"/>
      <c r="W4" s="1181"/>
      <c r="X4" s="1181"/>
      <c r="Y4" s="1181"/>
      <c r="Z4" s="1181"/>
      <c r="AA4" s="1181"/>
      <c r="AB4" s="1181"/>
      <c r="AC4" s="1182"/>
      <c r="AD4" s="1180" t="e">
        <f>INDEX(PT_DIFFERENTIATION_CS,MATCH(C4,PT_DIFFERENTIATION_CS_ID,0))</f>
        <v>#N/A</v>
      </c>
      <c r="AE4" s="1181"/>
      <c r="AF4" s="1181"/>
      <c r="AG4" s="1181"/>
      <c r="AH4" s="1181"/>
      <c r="AI4" s="1181"/>
      <c r="AJ4" s="1181"/>
      <c r="AK4" s="1181"/>
      <c r="AL4" s="1182"/>
      <c r="AM4" s="835" t="s">
        <v>411</v>
      </c>
      <c r="AP4" s="582" t="str">
        <f t="shared" si="0"/>
        <v xml:space="preserve">Наименование системы теплоснабжения </v>
      </c>
      <c r="AS4" s="538">
        <v>0</v>
      </c>
    </row>
    <row r="5" spans="5:45" ht="21" hidden="1" customHeight="1">
      <c r="E5" s="1218"/>
      <c r="F5" s="1218"/>
      <c r="G5" s="1218"/>
      <c r="H5" s="1217">
        <v>1</v>
      </c>
      <c r="Q5" s="836"/>
      <c r="R5" s="837"/>
      <c r="S5" s="832" t="e">
        <f>INDEX(PT_DIFFERENTIATION_NUM_IST_TE,MATCH(D5,PT_DIFFERENTIATION_IST_TE_ID,0))</f>
        <v>#N/A</v>
      </c>
      <c r="T5" s="840" t="s">
        <v>412</v>
      </c>
      <c r="U5" s="833"/>
      <c r="V5" s="1180"/>
      <c r="W5" s="1181"/>
      <c r="X5" s="1181"/>
      <c r="Y5" s="1181"/>
      <c r="Z5" s="1181"/>
      <c r="AA5" s="1181"/>
      <c r="AB5" s="1181"/>
      <c r="AC5" s="1182"/>
      <c r="AD5" s="1180" t="e">
        <f>INDEX(PT_DIFFERENTIATION_IST_TE,MATCH(D5,PT_DIFFERENTIATION_IST_TE_ID,0))</f>
        <v>#N/A</v>
      </c>
      <c r="AE5" s="1181"/>
      <c r="AF5" s="1181"/>
      <c r="AG5" s="1181"/>
      <c r="AH5" s="1181"/>
      <c r="AI5" s="1181"/>
      <c r="AJ5" s="1181"/>
      <c r="AK5" s="1181"/>
      <c r="AL5" s="1182"/>
      <c r="AM5" s="835" t="s">
        <v>413</v>
      </c>
      <c r="AP5" s="582" t="str">
        <f t="shared" si="0"/>
        <v xml:space="preserve">Источник тепловой энергии  </v>
      </c>
      <c r="AS5" s="538">
        <v>0</v>
      </c>
    </row>
    <row r="6" spans="5:45" ht="47.25" hidden="1" customHeight="1">
      <c r="E6" s="1218"/>
      <c r="F6" s="1218"/>
      <c r="G6" s="1218"/>
      <c r="H6" s="1218"/>
      <c r="I6" s="1066" t="e">
        <f>S5&amp;".1"</f>
        <v>#N/A</v>
      </c>
      <c r="L6" s="873" t="s">
        <v>414</v>
      </c>
      <c r="P6" s="1193">
        <v>1</v>
      </c>
      <c r="R6" s="842"/>
      <c r="S6" s="832" t="e">
        <f>$I6</f>
        <v>#N/A</v>
      </c>
      <c r="T6" s="843" t="s">
        <v>415</v>
      </c>
      <c r="U6" s="833"/>
      <c r="V6" s="1183"/>
      <c r="W6" s="1184"/>
      <c r="X6" s="1184"/>
      <c r="Y6" s="1184"/>
      <c r="Z6" s="1184"/>
      <c r="AA6" s="1184"/>
      <c r="AB6" s="1184"/>
      <c r="AC6" s="1185"/>
      <c r="AD6" s="1183"/>
      <c r="AE6" s="1184"/>
      <c r="AF6" s="1184"/>
      <c r="AG6" s="1184"/>
      <c r="AH6" s="1184"/>
      <c r="AI6" s="1184"/>
      <c r="AJ6" s="1184"/>
      <c r="AK6" s="1184"/>
      <c r="AL6" s="1185"/>
      <c r="AM6" s="835" t="s">
        <v>416</v>
      </c>
      <c r="AP6" s="582" t="str">
        <f t="shared" si="0"/>
        <v>Схема подключения теплопотребляющей установки к коллектору источника тепловой энергии</v>
      </c>
      <c r="AS6" s="538">
        <v>0</v>
      </c>
    </row>
    <row r="7" spans="5:45" ht="21" hidden="1" customHeight="1">
      <c r="E7" s="1218"/>
      <c r="F7" s="1218"/>
      <c r="G7" s="1218"/>
      <c r="H7" s="1218"/>
      <c r="I7" s="1048"/>
      <c r="J7" s="1066" t="e">
        <f>I6&amp;".1"</f>
        <v>#N/A</v>
      </c>
      <c r="L7" s="873" t="s">
        <v>417</v>
      </c>
      <c r="P7" s="1031"/>
      <c r="Q7" s="1193">
        <v>1</v>
      </c>
      <c r="R7" s="844"/>
      <c r="S7" s="832" t="e">
        <f>$J7</f>
        <v>#N/A</v>
      </c>
      <c r="T7" s="845" t="s">
        <v>418</v>
      </c>
      <c r="U7" s="833"/>
      <c r="V7" s="1183"/>
      <c r="W7" s="1184"/>
      <c r="X7" s="1184"/>
      <c r="Y7" s="1184"/>
      <c r="Z7" s="1184"/>
      <c r="AA7" s="1184"/>
      <c r="AB7" s="1184"/>
      <c r="AC7" s="1185"/>
      <c r="AD7" s="1183"/>
      <c r="AE7" s="1184"/>
      <c r="AF7" s="1184"/>
      <c r="AG7" s="1184"/>
      <c r="AH7" s="1184"/>
      <c r="AI7" s="1184"/>
      <c r="AJ7" s="1184"/>
      <c r="AK7" s="1184"/>
      <c r="AL7" s="1185"/>
      <c r="AM7" s="835" t="s">
        <v>419</v>
      </c>
      <c r="AP7" s="582" t="str">
        <f t="shared" si="0"/>
        <v>Группа потребителей</v>
      </c>
      <c r="AS7" s="538">
        <v>0</v>
      </c>
    </row>
    <row r="8" spans="5:45" ht="21" hidden="1" customHeight="1">
      <c r="E8" s="1218"/>
      <c r="F8" s="1218"/>
      <c r="G8" s="1218"/>
      <c r="H8" s="1218"/>
      <c r="I8" s="1048"/>
      <c r="J8" s="1048"/>
      <c r="K8" s="1066" t="e">
        <f>J7&amp;".1"</f>
        <v>#N/A</v>
      </c>
      <c r="L8" s="873" t="s">
        <v>420</v>
      </c>
      <c r="P8" s="1031"/>
      <c r="Q8" s="1031"/>
      <c r="R8" s="844">
        <v>1</v>
      </c>
      <c r="S8" s="832" t="e">
        <f>$K8</f>
        <v>#N/A</v>
      </c>
      <c r="T8" s="846"/>
      <c r="U8" s="833"/>
      <c r="V8" s="311"/>
      <c r="W8" s="312"/>
      <c r="X8" s="311"/>
      <c r="Y8" s="313"/>
      <c r="Z8" s="1197"/>
      <c r="AA8" s="1058" t="s">
        <v>61</v>
      </c>
      <c r="AB8" s="1197"/>
      <c r="AC8" s="1058" t="s">
        <v>61</v>
      </c>
      <c r="AD8" s="311"/>
      <c r="AE8" s="312"/>
      <c r="AF8" s="311"/>
      <c r="AG8" s="313"/>
      <c r="AH8" s="1197"/>
      <c r="AI8" s="1058" t="s">
        <v>61</v>
      </c>
      <c r="AJ8" s="1197"/>
      <c r="AK8" s="1058" t="s">
        <v>61</v>
      </c>
      <c r="AL8" s="312"/>
      <c r="AM8" s="1189" t="s">
        <v>421</v>
      </c>
      <c r="AN8" s="577" t="e">
        <f ca="1">STRCHECKDATE(V9:AL9)</f>
        <v>#NAME?</v>
      </c>
      <c r="AP8" s="582" t="str">
        <f t="shared" si="0"/>
        <v/>
      </c>
      <c r="AS8" s="538">
        <v>0</v>
      </c>
    </row>
    <row r="9" spans="5:45" ht="0.75" hidden="1" customHeight="1">
      <c r="E9" s="1218"/>
      <c r="F9" s="1218"/>
      <c r="G9" s="1218"/>
      <c r="H9" s="1218"/>
      <c r="I9" s="1048"/>
      <c r="J9" s="1048"/>
      <c r="K9" s="1066"/>
      <c r="P9" s="1031"/>
      <c r="Q9" s="1031"/>
      <c r="R9" s="844"/>
      <c r="S9" s="127"/>
      <c r="T9" s="833"/>
      <c r="U9" s="833"/>
      <c r="V9" s="312"/>
      <c r="W9" s="312"/>
      <c r="X9" s="312"/>
      <c r="Y9" s="314" t="str">
        <f>Z8&amp;"-"&amp;AB8</f>
        <v>-</v>
      </c>
      <c r="Z9" s="1198"/>
      <c r="AA9" s="1058"/>
      <c r="AB9" s="1198"/>
      <c r="AC9" s="1058"/>
      <c r="AD9" s="312"/>
      <c r="AE9" s="312"/>
      <c r="AF9" s="312"/>
      <c r="AG9" s="314" t="str">
        <f>AH8&amp;"-"&amp;AJ8</f>
        <v>-</v>
      </c>
      <c r="AH9" s="1198"/>
      <c r="AI9" s="1058"/>
      <c r="AJ9" s="1198"/>
      <c r="AK9" s="1058"/>
      <c r="AL9" s="312"/>
      <c r="AM9" s="1190"/>
      <c r="AP9" s="582" t="str">
        <f t="shared" si="0"/>
        <v/>
      </c>
      <c r="AS9" s="538">
        <v>0</v>
      </c>
    </row>
    <row r="10" spans="5:45" ht="15" hidden="1" customHeight="1">
      <c r="E10" s="1218"/>
      <c r="F10" s="1218"/>
      <c r="G10" s="1218"/>
      <c r="H10" s="1218"/>
      <c r="I10" s="1048"/>
      <c r="J10" s="1066"/>
      <c r="P10" s="1031"/>
      <c r="Q10" s="1031"/>
      <c r="R10" s="842"/>
      <c r="S10" s="315"/>
      <c r="T10" s="316" t="s">
        <v>422</v>
      </c>
      <c r="U10" s="52"/>
      <c r="V10" s="52"/>
      <c r="W10" s="52"/>
      <c r="X10" s="52"/>
      <c r="Y10" s="52"/>
      <c r="Z10" s="52"/>
      <c r="AA10" s="52"/>
      <c r="AB10" s="52"/>
      <c r="AC10" s="52"/>
      <c r="AD10" s="52"/>
      <c r="AE10" s="52"/>
      <c r="AF10" s="52"/>
      <c r="AG10" s="52"/>
      <c r="AH10" s="52"/>
      <c r="AI10" s="52"/>
      <c r="AJ10" s="52"/>
      <c r="AK10" s="52"/>
      <c r="AL10" s="317"/>
      <c r="AM10" s="1191"/>
      <c r="AP10" s="582" t="str">
        <f t="shared" si="0"/>
        <v>Добавить вид теплоносителя (параметры теплоносителя)</v>
      </c>
      <c r="AS10" s="538">
        <v>0</v>
      </c>
    </row>
    <row r="11" spans="5:45" ht="15" hidden="1" customHeight="1">
      <c r="E11" s="1218"/>
      <c r="F11" s="1218"/>
      <c r="G11" s="1218"/>
      <c r="H11" s="1218"/>
      <c r="I11" s="1066"/>
      <c r="P11" s="1031"/>
      <c r="R11" s="842"/>
      <c r="S11" s="315"/>
      <c r="T11" s="318" t="s">
        <v>423</v>
      </c>
      <c r="U11" s="52"/>
      <c r="V11" s="52"/>
      <c r="W11" s="52"/>
      <c r="X11" s="52"/>
      <c r="Y11" s="52"/>
      <c r="Z11" s="52"/>
      <c r="AA11" s="52"/>
      <c r="AB11" s="52"/>
      <c r="AC11" s="319"/>
      <c r="AD11" s="52"/>
      <c r="AE11" s="52"/>
      <c r="AF11" s="52"/>
      <c r="AG11" s="52"/>
      <c r="AH11" s="52"/>
      <c r="AI11" s="52"/>
      <c r="AJ11" s="52"/>
      <c r="AK11" s="319"/>
      <c r="AL11" s="52"/>
      <c r="AM11" s="320"/>
      <c r="AP11" s="582" t="str">
        <f t="shared" si="0"/>
        <v>Добавить группу потребителей</v>
      </c>
      <c r="AS11" s="538">
        <v>0</v>
      </c>
    </row>
    <row r="12" spans="5:45" ht="14.25" hidden="1" customHeight="1">
      <c r="E12" s="1218"/>
      <c r="F12" s="1218"/>
      <c r="G12" s="1218"/>
      <c r="H12" s="1217"/>
      <c r="R12" s="310"/>
      <c r="S12" s="315"/>
      <c r="T12" s="321" t="s">
        <v>424</v>
      </c>
      <c r="U12" s="52"/>
      <c r="V12" s="52"/>
      <c r="W12" s="52"/>
      <c r="X12" s="52"/>
      <c r="Y12" s="52"/>
      <c r="Z12" s="52"/>
      <c r="AA12" s="52"/>
      <c r="AB12" s="52"/>
      <c r="AC12" s="319"/>
      <c r="AD12" s="52"/>
      <c r="AE12" s="52"/>
      <c r="AF12" s="52"/>
      <c r="AG12" s="52"/>
      <c r="AH12" s="52"/>
      <c r="AI12" s="52"/>
      <c r="AJ12" s="52"/>
      <c r="AK12" s="319"/>
      <c r="AL12" s="52"/>
      <c r="AM12" s="320"/>
      <c r="AP12" s="582" t="str">
        <f t="shared" si="0"/>
        <v>Добавить схему подключения</v>
      </c>
      <c r="AS12" s="538">
        <v>0</v>
      </c>
    </row>
    <row r="13" spans="5:45" ht="0.75" hidden="1" customHeight="1">
      <c r="E13" s="1218"/>
      <c r="F13" s="1218"/>
      <c r="G13" s="1217"/>
      <c r="S13" s="322"/>
      <c r="T13" s="323" t="s">
        <v>425</v>
      </c>
      <c r="U13" s="324"/>
      <c r="V13" s="324"/>
      <c r="W13" s="324"/>
      <c r="X13" s="324"/>
      <c r="Y13" s="324"/>
      <c r="Z13" s="324"/>
      <c r="AA13" s="324"/>
      <c r="AB13" s="324"/>
      <c r="AC13" s="324"/>
      <c r="AD13" s="324"/>
      <c r="AE13" s="324"/>
      <c r="AF13" s="324"/>
      <c r="AG13" s="324"/>
      <c r="AH13" s="324"/>
      <c r="AI13" s="324"/>
      <c r="AJ13" s="324"/>
      <c r="AK13" s="324"/>
      <c r="AL13" s="324"/>
      <c r="AM13" s="324"/>
      <c r="AP13" s="582" t="str">
        <f t="shared" si="0"/>
        <v>Добавить источник для дифференциации</v>
      </c>
      <c r="AS13" s="577">
        <v>0</v>
      </c>
    </row>
    <row r="14" spans="5:45" ht="0.75" hidden="1" customHeight="1">
      <c r="E14" s="1218"/>
      <c r="F14" s="1217"/>
      <c r="T14" s="325" t="s">
        <v>426</v>
      </c>
      <c r="AP14" s="582" t="str">
        <f t="shared" si="0"/>
        <v>Добавить централизованную систему для дифференциации</v>
      </c>
      <c r="AS14" s="577">
        <v>0</v>
      </c>
    </row>
    <row r="15" spans="5:45" ht="0.75" hidden="1" customHeight="1">
      <c r="E15" s="1217"/>
      <c r="T15" s="326" t="s">
        <v>427</v>
      </c>
      <c r="AP15" s="582" t="str">
        <f t="shared" si="0"/>
        <v>Добавить территорию для дифференциации</v>
      </c>
      <c r="AS15" s="577">
        <v>0</v>
      </c>
    </row>
    <row r="16" spans="5:45" ht="14.25" hidden="1" customHeight="1">
      <c r="AS16" s="538">
        <v>0</v>
      </c>
    </row>
    <row r="17" spans="15:45" ht="14.25" hidden="1" customHeight="1">
      <c r="AD17" s="275"/>
      <c r="AE17" s="275"/>
      <c r="AF17" s="275"/>
      <c r="AG17" s="327"/>
      <c r="AH17" s="1199"/>
      <c r="AI17" s="1200" t="s">
        <v>61</v>
      </c>
      <c r="AJ17" s="1199"/>
      <c r="AK17" s="1200" t="s">
        <v>61</v>
      </c>
      <c r="AS17" s="538">
        <v>0</v>
      </c>
    </row>
    <row r="18" spans="15:45" ht="14.25" hidden="1" customHeight="1">
      <c r="AD18" s="275"/>
      <c r="AE18" s="275"/>
      <c r="AF18" s="275"/>
      <c r="AG18" s="314" t="str">
        <f>AH17&amp;"-"&amp;AJ17</f>
        <v>-</v>
      </c>
      <c r="AH18" s="1200"/>
      <c r="AI18" s="1200"/>
      <c r="AJ18" s="1200"/>
      <c r="AK18" s="1200"/>
      <c r="AS18" s="538">
        <v>0</v>
      </c>
    </row>
    <row r="19" spans="15:45" ht="14.25" hidden="1" customHeight="1">
      <c r="AS19" s="538">
        <v>0</v>
      </c>
    </row>
    <row r="20" spans="15:45" ht="14.25" hidden="1" customHeight="1">
      <c r="O20" s="348" t="s">
        <v>428</v>
      </c>
      <c r="Z20" s="328"/>
      <c r="AB20" s="328"/>
      <c r="AH20" s="328"/>
      <c r="AJ20" s="328"/>
      <c r="AS20" s="555">
        <v>0</v>
      </c>
    </row>
    <row r="21" spans="15:45" ht="14.25" hidden="1" customHeight="1">
      <c r="AS21" s="555">
        <v>0</v>
      </c>
    </row>
    <row r="22" spans="15:45" ht="14.25" hidden="1" customHeight="1">
      <c r="O22" s="873" t="s">
        <v>429</v>
      </c>
      <c r="T22" s="555" t="s">
        <v>430</v>
      </c>
      <c r="AA22" s="598" t="s">
        <v>431</v>
      </c>
      <c r="AC22" s="598" t="s">
        <v>432</v>
      </c>
      <c r="AD22" s="555" t="s">
        <v>430</v>
      </c>
      <c r="AI22" s="598" t="s">
        <v>433</v>
      </c>
      <c r="AK22" s="598" t="s">
        <v>432</v>
      </c>
      <c r="AS22" s="555">
        <v>0</v>
      </c>
    </row>
    <row r="23" spans="15:45" ht="14.25" hidden="1" customHeight="1">
      <c r="AS23" s="538">
        <v>0</v>
      </c>
    </row>
    <row r="24" spans="15:45" ht="14.25" hidden="1" customHeight="1">
      <c r="AS24" s="538">
        <v>0</v>
      </c>
    </row>
    <row r="25" spans="15:45" ht="14.65" customHeight="1">
      <c r="Q25" s="756"/>
      <c r="R25" s="756"/>
      <c r="S25" s="847"/>
      <c r="T25" s="556"/>
      <c r="U25" s="556"/>
      <c r="AS25" s="538">
        <v>14</v>
      </c>
    </row>
    <row r="26" spans="15:45" ht="14.65" customHeight="1">
      <c r="Q26" s="756"/>
      <c r="R26" s="756"/>
      <c r="S26" s="11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178"/>
      <c r="U26" s="1178"/>
      <c r="V26" s="1178"/>
      <c r="W26" s="1178"/>
      <c r="X26" s="1178"/>
      <c r="Y26" s="1178"/>
      <c r="Z26" s="1178"/>
      <c r="AA26" s="1178"/>
      <c r="AB26" s="1178"/>
      <c r="AC26" s="1178"/>
      <c r="AD26" s="1178"/>
      <c r="AE26" s="1178"/>
      <c r="AF26" s="1178"/>
      <c r="AG26" s="1178"/>
      <c r="AH26" s="1178"/>
      <c r="AI26" s="1178"/>
      <c r="AJ26" s="1178"/>
      <c r="AS26" s="538">
        <v>14</v>
      </c>
    </row>
    <row r="27" spans="15:45" ht="14.65" customHeight="1">
      <c r="Q27" s="756"/>
      <c r="R27" s="756"/>
      <c r="S27" s="1127" t="str">
        <f>IF(org=0,"Не определено",org)</f>
        <v>АО "НИЖЕГОРОДСКИЙ ВОДОКАНАЛ"</v>
      </c>
      <c r="T27" s="1127"/>
      <c r="U27" s="1127"/>
      <c r="V27" s="1127"/>
      <c r="W27" s="1127"/>
      <c r="X27" s="1127"/>
      <c r="Y27" s="1127"/>
      <c r="Z27" s="1127"/>
      <c r="AA27" s="1127"/>
      <c r="AB27" s="1127"/>
      <c r="AC27" s="1127"/>
      <c r="AD27" s="1127"/>
      <c r="AE27" s="1127"/>
      <c r="AF27" s="1127"/>
      <c r="AG27" s="1127"/>
      <c r="AH27" s="1127"/>
      <c r="AI27" s="1127"/>
      <c r="AJ27" s="1127"/>
      <c r="AS27" s="538">
        <v>14</v>
      </c>
    </row>
    <row r="28" spans="15:45" ht="14.25" hidden="1" customHeight="1">
      <c r="Q28" s="756"/>
      <c r="R28" s="756"/>
      <c r="S28" s="847"/>
      <c r="T28" s="556"/>
      <c r="U28" s="556"/>
      <c r="V28" s="826"/>
      <c r="W28" s="826"/>
      <c r="X28" s="826"/>
      <c r="Y28" s="826"/>
      <c r="Z28" s="826"/>
      <c r="AA28" s="826"/>
      <c r="AB28" s="826"/>
      <c r="AC28" s="826"/>
      <c r="AD28" s="826"/>
      <c r="AE28" s="826"/>
      <c r="AF28" s="826"/>
      <c r="AG28" s="826"/>
      <c r="AH28" s="826"/>
      <c r="AI28" s="826"/>
      <c r="AJ28" s="826"/>
      <c r="AK28" s="826"/>
      <c r="AS28" s="538">
        <v>0</v>
      </c>
    </row>
    <row r="29" spans="15:45" ht="25.5" hidden="1" customHeight="1">
      <c r="S29" s="1186" t="s">
        <v>41</v>
      </c>
      <c r="T29" s="1186"/>
      <c r="U29" s="849"/>
      <c r="V29" s="1187" t="str">
        <f>IF(TITLE_NAME_OR_PR_CHANGE="",IF(TITLE_NAME_OR_PR="","",TITLE_NAME_OR_PR),TITLE_NAME_OR_PR_CHANGE)</f>
        <v/>
      </c>
      <c r="W29" s="1187"/>
      <c r="X29" s="1187"/>
      <c r="Y29" s="1187"/>
      <c r="Z29" s="1187"/>
      <c r="AA29" s="1187"/>
      <c r="AB29" s="1187"/>
      <c r="AD29" s="1187" t="str">
        <f>IF(TITLE_NAME_OR_PR_CHANGE="",IF(TITLE_NAME_OR_PR="","",TITLE_NAME_OR_PR),TITLE_NAME_OR_PR_CHANGE)</f>
        <v/>
      </c>
      <c r="AE29" s="1187"/>
      <c r="AF29" s="1187"/>
      <c r="AG29" s="1187"/>
      <c r="AH29" s="1187"/>
      <c r="AI29" s="1187"/>
      <c r="AJ29" s="1187"/>
      <c r="AS29" s="592">
        <v>0</v>
      </c>
    </row>
    <row r="30" spans="15:45" ht="18.75" hidden="1" customHeight="1">
      <c r="S30" s="1186" t="s">
        <v>434</v>
      </c>
      <c r="T30" s="1186"/>
      <c r="U30" s="849"/>
      <c r="V30" s="1196" t="str">
        <f>IF(TITLE_DATE_PR_CHANGE="",IF(TITLE_DATE_PR="","",TITLE_DATE_PR),TITLE_DATE_PR_CHANGE)</f>
        <v/>
      </c>
      <c r="W30" s="1196"/>
      <c r="X30" s="1196"/>
      <c r="Y30" s="1196"/>
      <c r="Z30" s="1196"/>
      <c r="AA30" s="1196"/>
      <c r="AB30" s="1196"/>
      <c r="AD30" s="1196" t="str">
        <f>IF(TITLE_DATE_PR_CHANGE="",IF(TITLE_DATE_PR="","",TITLE_DATE_PR),TITLE_DATE_PR_CHANGE)</f>
        <v/>
      </c>
      <c r="AE30" s="1196"/>
      <c r="AF30" s="1196"/>
      <c r="AG30" s="1196"/>
      <c r="AH30" s="1196"/>
      <c r="AI30" s="1196"/>
      <c r="AJ30" s="1196"/>
      <c r="AS30" s="592">
        <v>0</v>
      </c>
    </row>
    <row r="31" spans="15:45" ht="18.75" hidden="1" customHeight="1">
      <c r="S31" s="1186" t="s">
        <v>435</v>
      </c>
      <c r="T31" s="1186"/>
      <c r="U31" s="849"/>
      <c r="V31" s="1187" t="str">
        <f>IF(TITLE_NUMBER_PR_CHANGE="",IF(TITLE_NUMBER_PR="","",TITLE_NUMBER_PR),TITLE_NUMBER_PR_CHANGE)</f>
        <v/>
      </c>
      <c r="W31" s="1187"/>
      <c r="X31" s="1187"/>
      <c r="Y31" s="1187"/>
      <c r="Z31" s="1187"/>
      <c r="AA31" s="1187"/>
      <c r="AB31" s="1187"/>
      <c r="AD31" s="1187" t="str">
        <f>IF(TITLE_NUMBER_PR_CHANGE="",IF(TITLE_NUMBER_PR="","",TITLE_NUMBER_PR),TITLE_NUMBER_PR_CHANGE)</f>
        <v/>
      </c>
      <c r="AE31" s="1187"/>
      <c r="AF31" s="1187"/>
      <c r="AG31" s="1187"/>
      <c r="AH31" s="1187"/>
      <c r="AI31" s="1187"/>
      <c r="AJ31" s="1187"/>
      <c r="AS31" s="592">
        <v>0</v>
      </c>
    </row>
    <row r="32" spans="15:45" ht="18.75" hidden="1" customHeight="1">
      <c r="S32" s="1186" t="s">
        <v>42</v>
      </c>
      <c r="T32" s="1186"/>
      <c r="U32" s="849"/>
      <c r="V32" s="1187" t="str">
        <f>IF(TITLE_IST_PUB_CHANGE="",IF(TITLE_IST_PUB="","",TITLE_IST_PUB),TITLE_IST_PUB_CHANGE)</f>
        <v/>
      </c>
      <c r="W32" s="1187"/>
      <c r="X32" s="1187"/>
      <c r="Y32" s="1187"/>
      <c r="Z32" s="1187"/>
      <c r="AA32" s="1187"/>
      <c r="AB32" s="1187"/>
      <c r="AD32" s="1187" t="str">
        <f>IF(TITLE_IST_PUB_CHANGE="",IF(TITLE_IST_PUB="","",TITLE_IST_PUB),TITLE_IST_PUB_CHANGE)</f>
        <v/>
      </c>
      <c r="AE32" s="1187"/>
      <c r="AF32" s="1187"/>
      <c r="AG32" s="1187"/>
      <c r="AH32" s="1187"/>
      <c r="AI32" s="1187"/>
      <c r="AJ32" s="1187"/>
      <c r="AS32" s="592">
        <v>0</v>
      </c>
    </row>
    <row r="33" spans="1:45" ht="14.25" hidden="1" customHeight="1">
      <c r="Q33" s="756"/>
      <c r="R33" s="756"/>
      <c r="S33" s="847"/>
      <c r="T33" s="556"/>
      <c r="U33" s="556"/>
      <c r="V33" s="826"/>
      <c r="W33" s="826"/>
      <c r="X33" s="826"/>
      <c r="Y33" s="826"/>
      <c r="Z33" s="826"/>
      <c r="AA33" s="826"/>
      <c r="AB33" s="826"/>
      <c r="AC33" s="826"/>
      <c r="AD33" s="826"/>
      <c r="AE33" s="826"/>
      <c r="AF33" s="826"/>
      <c r="AG33" s="826"/>
      <c r="AH33" s="826"/>
      <c r="AI33" s="826"/>
      <c r="AJ33" s="826"/>
      <c r="AK33" s="826"/>
      <c r="AS33" s="538">
        <v>0</v>
      </c>
    </row>
    <row r="34" spans="1:45" ht="18.75" hidden="1" customHeight="1">
      <c r="S34" s="1186" t="s">
        <v>436</v>
      </c>
      <c r="T34" s="1186"/>
      <c r="U34" s="849"/>
      <c r="V34" s="1196" t="str">
        <f>IF(TITLE_DATE_PR_CHANGE="",IF(TITLE_DATE_PR="","",TITLE_DATE_PR),TITLE_DATE_PR_CHANGE)</f>
        <v/>
      </c>
      <c r="W34" s="1196"/>
      <c r="X34" s="1196"/>
      <c r="Y34" s="1196"/>
      <c r="Z34" s="1196"/>
      <c r="AA34" s="1196"/>
      <c r="AB34" s="1196"/>
      <c r="AD34" s="1196" t="str">
        <f>IF(TITLE_DATE_PR_CHANGE="",IF(TITLE_DATE_PR="","",TITLE_DATE_PR),TITLE_DATE_PR_CHANGE)</f>
        <v/>
      </c>
      <c r="AE34" s="1196"/>
      <c r="AF34" s="1196"/>
      <c r="AG34" s="1196"/>
      <c r="AH34" s="1196"/>
      <c r="AI34" s="1196"/>
      <c r="AJ34" s="1196"/>
      <c r="AS34" s="592">
        <v>0</v>
      </c>
    </row>
    <row r="35" spans="1:45" ht="18.75" hidden="1" customHeight="1">
      <c r="S35" s="1186" t="s">
        <v>437</v>
      </c>
      <c r="T35" s="1186"/>
      <c r="U35" s="849"/>
      <c r="V35" s="1187" t="str">
        <f>IF(TITLE_NUMBER_PR_CHANGE="",IF(TITLE_NUMBER_PR="","",TITLE_NUMBER_PR),TITLE_NUMBER_PR_CHANGE)</f>
        <v/>
      </c>
      <c r="W35" s="1187"/>
      <c r="X35" s="1187"/>
      <c r="Y35" s="1187"/>
      <c r="Z35" s="1187"/>
      <c r="AA35" s="1187"/>
      <c r="AB35" s="1187"/>
      <c r="AD35" s="1187" t="str">
        <f>IF(TITLE_NUMBER_PR_CHANGE="",IF(TITLE_NUMBER_PR="","",TITLE_NUMBER_PR),TITLE_NUMBER_PR_CHANGE)</f>
        <v/>
      </c>
      <c r="AE35" s="1187"/>
      <c r="AF35" s="1187"/>
      <c r="AG35" s="1187"/>
      <c r="AH35" s="1187"/>
      <c r="AI35" s="1187"/>
      <c r="AJ35" s="1187"/>
      <c r="AS35" s="592">
        <v>0</v>
      </c>
    </row>
    <row r="36" spans="1:45" ht="0" hidden="1" customHeight="1">
      <c r="AC36" s="577" t="s">
        <v>438</v>
      </c>
      <c r="AK36" s="577" t="s">
        <v>438</v>
      </c>
      <c r="AS36" s="592">
        <v>0</v>
      </c>
    </row>
    <row r="37" spans="1:45" ht="14.65" customHeight="1">
      <c r="Q37" s="756"/>
      <c r="R37" s="756"/>
      <c r="S37" s="847"/>
      <c r="T37" s="556"/>
      <c r="U37" s="850"/>
      <c r="V37" s="1188"/>
      <c r="W37" s="1188"/>
      <c r="X37" s="1188"/>
      <c r="Y37" s="1188"/>
      <c r="Z37" s="1188"/>
      <c r="AA37" s="1188"/>
      <c r="AB37" s="1188"/>
      <c r="AC37" s="1188"/>
      <c r="AD37" s="1188"/>
      <c r="AE37" s="1188"/>
      <c r="AF37" s="1188"/>
      <c r="AG37" s="1188"/>
      <c r="AH37" s="1188"/>
      <c r="AI37" s="1188"/>
      <c r="AJ37" s="1188"/>
      <c r="AK37" s="1188"/>
      <c r="AS37" s="538">
        <v>14</v>
      </c>
    </row>
    <row r="38" spans="1:45" ht="14.65" customHeight="1">
      <c r="Q38" s="756"/>
      <c r="R38" s="756"/>
      <c r="S38" s="1066" t="s">
        <v>311</v>
      </c>
      <c r="T38" s="1066"/>
      <c r="U38" s="1066"/>
      <c r="V38" s="1066"/>
      <c r="W38" s="1066"/>
      <c r="X38" s="1066"/>
      <c r="Y38" s="1066"/>
      <c r="Z38" s="1066"/>
      <c r="AA38" s="1066"/>
      <c r="AB38" s="1066"/>
      <c r="AC38" s="1066"/>
      <c r="AD38" s="1066"/>
      <c r="AE38" s="1066"/>
      <c r="AF38" s="1066"/>
      <c r="AG38" s="1066"/>
      <c r="AH38" s="1066"/>
      <c r="AI38" s="1066"/>
      <c r="AJ38" s="1066"/>
      <c r="AK38" s="1066"/>
      <c r="AL38" s="1066"/>
      <c r="AM38" s="1066" t="s">
        <v>312</v>
      </c>
      <c r="AS38" s="538">
        <v>14</v>
      </c>
    </row>
    <row r="39" spans="1:45" ht="14.65" customHeight="1">
      <c r="Q39" s="756"/>
      <c r="R39" s="756"/>
      <c r="S39" s="1202" t="s">
        <v>87</v>
      </c>
      <c r="T39" s="1154" t="s">
        <v>439</v>
      </c>
      <c r="U39" s="817"/>
      <c r="V39" s="1203" t="s">
        <v>440</v>
      </c>
      <c r="W39" s="1204"/>
      <c r="X39" s="1204"/>
      <c r="Y39" s="1204"/>
      <c r="Z39" s="1204"/>
      <c r="AA39" s="1204"/>
      <c r="AB39" s="1205"/>
      <c r="AC39" s="1206" t="s">
        <v>441</v>
      </c>
      <c r="AD39" s="1203" t="s">
        <v>440</v>
      </c>
      <c r="AE39" s="1204"/>
      <c r="AF39" s="1204"/>
      <c r="AG39" s="1204"/>
      <c r="AH39" s="1204"/>
      <c r="AI39" s="1204"/>
      <c r="AJ39" s="1205"/>
      <c r="AK39" s="1206" t="s">
        <v>442</v>
      </c>
      <c r="AL39" s="1209" t="s">
        <v>443</v>
      </c>
      <c r="AM39" s="1066"/>
      <c r="AS39" s="538">
        <v>14</v>
      </c>
    </row>
    <row r="40" spans="1:45" ht="35.65" customHeight="1">
      <c r="Q40" s="756"/>
      <c r="R40" s="756"/>
      <c r="S40" s="1202"/>
      <c r="T40" s="1154"/>
      <c r="U40" s="822"/>
      <c r="V40" s="1126" t="s">
        <v>444</v>
      </c>
      <c r="W40" s="1212" t="s">
        <v>445</v>
      </c>
      <c r="X40" s="1048" t="s">
        <v>446</v>
      </c>
      <c r="Y40" s="1047"/>
      <c r="Z40" s="1048" t="s">
        <v>460</v>
      </c>
      <c r="AA40" s="1053"/>
      <c r="AB40" s="1047"/>
      <c r="AC40" s="1207"/>
      <c r="AD40" s="1126" t="s">
        <v>444</v>
      </c>
      <c r="AE40" s="1212" t="s">
        <v>445</v>
      </c>
      <c r="AF40" s="1048" t="s">
        <v>446</v>
      </c>
      <c r="AG40" s="1047"/>
      <c r="AH40" s="1048" t="s">
        <v>447</v>
      </c>
      <c r="AI40" s="1053"/>
      <c r="AJ40" s="1047"/>
      <c r="AK40" s="1207"/>
      <c r="AL40" s="1210"/>
      <c r="AM40" s="1066"/>
      <c r="AS40" s="538">
        <v>34</v>
      </c>
    </row>
    <row r="41" spans="1:45" ht="35.65" customHeight="1">
      <c r="B41" s="600" t="s">
        <v>148</v>
      </c>
      <c r="C41" s="600" t="s">
        <v>149</v>
      </c>
      <c r="D41" s="600" t="s">
        <v>150</v>
      </c>
      <c r="E41" s="873" t="s">
        <v>448</v>
      </c>
      <c r="F41" s="873" t="s">
        <v>449</v>
      </c>
      <c r="G41" s="873" t="s">
        <v>450</v>
      </c>
      <c r="H41" s="873" t="s">
        <v>451</v>
      </c>
      <c r="I41" s="873" t="s">
        <v>452</v>
      </c>
      <c r="J41" s="873" t="s">
        <v>453</v>
      </c>
      <c r="K41" s="873" t="s">
        <v>454</v>
      </c>
      <c r="L41" s="873" t="s">
        <v>429</v>
      </c>
      <c r="Q41" s="756"/>
      <c r="R41" s="756"/>
      <c r="S41" s="1202"/>
      <c r="T41" s="1154"/>
      <c r="U41" s="852"/>
      <c r="V41" s="1173"/>
      <c r="W41" s="1213"/>
      <c r="X41" s="602" t="s">
        <v>455</v>
      </c>
      <c r="Y41" s="602" t="s">
        <v>456</v>
      </c>
      <c r="Z41" s="602" t="s">
        <v>457</v>
      </c>
      <c r="AA41" s="1162" t="s">
        <v>458</v>
      </c>
      <c r="AB41" s="1164"/>
      <c r="AC41" s="1208"/>
      <c r="AD41" s="1173"/>
      <c r="AE41" s="1213"/>
      <c r="AF41" s="602" t="s">
        <v>455</v>
      </c>
      <c r="AG41" s="602" t="s">
        <v>456</v>
      </c>
      <c r="AH41" s="602" t="s">
        <v>457</v>
      </c>
      <c r="AI41" s="1162" t="s">
        <v>458</v>
      </c>
      <c r="AJ41" s="1164"/>
      <c r="AK41" s="1208"/>
      <c r="AL41" s="1211"/>
      <c r="AM41" s="1066"/>
      <c r="AS41" s="538">
        <v>34</v>
      </c>
    </row>
    <row r="42" spans="1:45" ht="11.25" hidden="1" customHeight="1">
      <c r="Q42" s="853"/>
      <c r="R42" s="854">
        <v>1</v>
      </c>
      <c r="S42" s="329" t="s">
        <v>114</v>
      </c>
      <c r="T42" s="330" t="s">
        <v>102</v>
      </c>
      <c r="U42" s="855" t="str">
        <f ca="1">OFFSET(U42,0,-1)</f>
        <v>2</v>
      </c>
      <c r="V42" s="856">
        <f ca="1">OFFSET(V42,0,-1)+1</f>
        <v>3</v>
      </c>
      <c r="W42" s="856"/>
      <c r="X42" s="856">
        <f ca="1">OFFSET(X42,0,-1)+1</f>
        <v>1</v>
      </c>
      <c r="Y42" s="856">
        <f ca="1">OFFSET(Y42,0,-1)+1</f>
        <v>2</v>
      </c>
      <c r="Z42" s="856">
        <f ca="1">OFFSET(Z42,0,-1)+1</f>
        <v>3</v>
      </c>
      <c r="AA42" s="1201">
        <f ca="1">OFFSET(AA42,0,-1)+1</f>
        <v>4</v>
      </c>
      <c r="AB42" s="1201"/>
      <c r="AC42" s="856">
        <f ca="1">OFFSET(AC42,0,-2)+1</f>
        <v>5</v>
      </c>
      <c r="AD42" s="856">
        <f ca="1">OFFSET(AD42,0,-1)+1</f>
        <v>6</v>
      </c>
      <c r="AE42" s="856"/>
      <c r="AF42" s="856">
        <f ca="1">OFFSET(AF42,0,-1)+1</f>
        <v>1</v>
      </c>
      <c r="AG42" s="856">
        <f ca="1">OFFSET(AG42,0,-1)+1</f>
        <v>2</v>
      </c>
      <c r="AH42" s="856">
        <f ca="1">OFFSET(AH42,0,-1)+1</f>
        <v>3</v>
      </c>
      <c r="AI42" s="1201">
        <f ca="1">OFFSET(AI42,0,-1)+1</f>
        <v>4</v>
      </c>
      <c r="AJ42" s="1201"/>
      <c r="AK42" s="856">
        <f ca="1">OFFSET(AK42,0,-2)+1</f>
        <v>5</v>
      </c>
      <c r="AL42" s="855">
        <f ca="1">OFFSET(AL42,0,-1)</f>
        <v>5</v>
      </c>
      <c r="AM42" s="856">
        <f ca="1">OFFSET(AM42,0,-1)+1</f>
        <v>6</v>
      </c>
      <c r="AS42" s="681">
        <v>0</v>
      </c>
    </row>
    <row r="43" spans="1:45" ht="21.95" customHeight="1">
      <c r="A43" s="606" t="s">
        <v>223</v>
      </c>
      <c r="E43" s="1217">
        <v>1</v>
      </c>
      <c r="R43" s="310"/>
      <c r="S43" s="832">
        <f>INDEX(PT_DIFFERENTIATION_NUM_NTAR,MATCH(A43,PT_DIFFERENTIATION_NTAR_ID,0))</f>
        <v>0</v>
      </c>
      <c r="T43" s="795" t="s">
        <v>136</v>
      </c>
      <c r="U43" s="833"/>
      <c r="V43" s="1180"/>
      <c r="W43" s="1181"/>
      <c r="X43" s="1181"/>
      <c r="Y43" s="1181"/>
      <c r="Z43" s="1181"/>
      <c r="AA43" s="1181"/>
      <c r="AB43" s="1181"/>
      <c r="AC43" s="1182"/>
      <c r="AD43" s="1180" t="str">
        <f>INDEX(PT_DIFFERENTIATION_NTAR,MATCH(A43,PT_DIFFERENTIATION_NTAR_ID,0))</f>
        <v/>
      </c>
      <c r="AE43" s="1181"/>
      <c r="AF43" s="1181"/>
      <c r="AG43" s="1181"/>
      <c r="AH43" s="1181"/>
      <c r="AI43" s="1181"/>
      <c r="AJ43" s="1181"/>
      <c r="AK43" s="1181"/>
      <c r="AL43" s="1182"/>
      <c r="AM43" s="83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582" t="str">
        <f t="shared" ref="AP43:AP57" si="1">IF(T43="","",T43)</f>
        <v>Наименование тарифа</v>
      </c>
      <c r="AS43" s="538">
        <v>21</v>
      </c>
    </row>
    <row r="44" spans="1:45" ht="21.95" customHeight="1">
      <c r="A44" s="606" t="s">
        <v>223</v>
      </c>
      <c r="B44" s="606" t="s">
        <v>224</v>
      </c>
      <c r="E44" s="1218"/>
      <c r="F44" s="1217">
        <v>1</v>
      </c>
      <c r="Q44" s="836"/>
      <c r="R44" s="837"/>
      <c r="S44" s="832" t="str">
        <f>INDEX(PT_DIFFERENTIATION_NUM_TER,MATCH(B44,PT_DIFFERENTIATION_TER_ID,0))</f>
        <v>.</v>
      </c>
      <c r="T44" s="838" t="s">
        <v>408</v>
      </c>
      <c r="U44" s="833"/>
      <c r="V44" s="1180"/>
      <c r="W44" s="1181"/>
      <c r="X44" s="1181"/>
      <c r="Y44" s="1181"/>
      <c r="Z44" s="1181"/>
      <c r="AA44" s="1181"/>
      <c r="AB44" s="1181"/>
      <c r="AC44" s="1182"/>
      <c r="AD44" s="1180" t="str">
        <f>INDEX(PT_DIFFERENTIATION_TER,MATCH(B44,PT_DIFFERENTIATION_TER_ID,0))</f>
        <v/>
      </c>
      <c r="AE44" s="1181"/>
      <c r="AF44" s="1181"/>
      <c r="AG44" s="1181"/>
      <c r="AH44" s="1181"/>
      <c r="AI44" s="1181"/>
      <c r="AJ44" s="1181"/>
      <c r="AK44" s="1181"/>
      <c r="AL44" s="1182"/>
      <c r="AM44" s="835" t="s">
        <v>409</v>
      </c>
      <c r="AP44" s="582" t="str">
        <f t="shared" si="1"/>
        <v>Территория действия тарифа</v>
      </c>
      <c r="AS44" s="538">
        <v>21</v>
      </c>
    </row>
    <row r="45" spans="1:45" ht="24" customHeight="1">
      <c r="A45" s="606" t="s">
        <v>223</v>
      </c>
      <c r="B45" s="606" t="s">
        <v>224</v>
      </c>
      <c r="C45" s="606" t="s">
        <v>225</v>
      </c>
      <c r="E45" s="1218"/>
      <c r="F45" s="1218"/>
      <c r="G45" s="1217">
        <v>1</v>
      </c>
      <c r="Q45" s="836"/>
      <c r="R45" s="837"/>
      <c r="S45" s="832" t="str">
        <f>INDEX(PT_DIFFERENTIATION_NUM_CS,MATCH(C45,PT_DIFFERENTIATION_CS_ID,0))</f>
        <v>..</v>
      </c>
      <c r="T45" s="839" t="s">
        <v>410</v>
      </c>
      <c r="U45" s="833"/>
      <c r="V45" s="1180"/>
      <c r="W45" s="1181"/>
      <c r="X45" s="1181"/>
      <c r="Y45" s="1181"/>
      <c r="Z45" s="1181"/>
      <c r="AA45" s="1181"/>
      <c r="AB45" s="1181"/>
      <c r="AC45" s="1182"/>
      <c r="AD45" s="1180" t="str">
        <f>INDEX(PT_DIFFERENTIATION_CS,MATCH(C45,PT_DIFFERENTIATION_CS_ID,0))</f>
        <v/>
      </c>
      <c r="AE45" s="1181"/>
      <c r="AF45" s="1181"/>
      <c r="AG45" s="1181"/>
      <c r="AH45" s="1181"/>
      <c r="AI45" s="1181"/>
      <c r="AJ45" s="1181"/>
      <c r="AK45" s="1181"/>
      <c r="AL45" s="1182"/>
      <c r="AM45" s="835" t="s">
        <v>411</v>
      </c>
      <c r="AP45" s="582" t="str">
        <f t="shared" si="1"/>
        <v xml:space="preserve">Наименование системы теплоснабжения </v>
      </c>
      <c r="AS45" s="538">
        <v>23</v>
      </c>
    </row>
    <row r="46" spans="1:45" ht="21.95" customHeight="1">
      <c r="A46" s="606" t="s">
        <v>223</v>
      </c>
      <c r="B46" s="606" t="s">
        <v>224</v>
      </c>
      <c r="C46" s="606" t="s">
        <v>225</v>
      </c>
      <c r="D46" s="606" t="s">
        <v>226</v>
      </c>
      <c r="E46" s="1218"/>
      <c r="F46" s="1218"/>
      <c r="G46" s="1218"/>
      <c r="H46" s="1217">
        <v>1</v>
      </c>
      <c r="Q46" s="836"/>
      <c r="R46" s="837"/>
      <c r="S46" s="832" t="str">
        <f>INDEX(PT_DIFFERENTIATION_NUM_IST_TE,MATCH(D46,PT_DIFFERENTIATION_IST_TE_ID,0))</f>
        <v>...</v>
      </c>
      <c r="T46" s="840" t="s">
        <v>412</v>
      </c>
      <c r="U46" s="833"/>
      <c r="V46" s="1180"/>
      <c r="W46" s="1181"/>
      <c r="X46" s="1181"/>
      <c r="Y46" s="1181"/>
      <c r="Z46" s="1181"/>
      <c r="AA46" s="1181"/>
      <c r="AB46" s="1181"/>
      <c r="AC46" s="1182"/>
      <c r="AD46" s="1180" t="str">
        <f>INDEX(PT_DIFFERENTIATION_IST_TE,MATCH(D46,PT_DIFFERENTIATION_IST_TE_ID,0))</f>
        <v/>
      </c>
      <c r="AE46" s="1181"/>
      <c r="AF46" s="1181"/>
      <c r="AG46" s="1181"/>
      <c r="AH46" s="1181"/>
      <c r="AI46" s="1181"/>
      <c r="AJ46" s="1181"/>
      <c r="AK46" s="1181"/>
      <c r="AL46" s="1182"/>
      <c r="AM46" s="835" t="s">
        <v>413</v>
      </c>
      <c r="AP46" s="582" t="str">
        <f t="shared" si="1"/>
        <v xml:space="preserve">Источник тепловой энергии  </v>
      </c>
      <c r="AS46" s="538">
        <v>21</v>
      </c>
    </row>
    <row r="47" spans="1:45" ht="49.5" customHeight="1">
      <c r="A47" s="606" t="s">
        <v>223</v>
      </c>
      <c r="B47" s="606" t="s">
        <v>224</v>
      </c>
      <c r="C47" s="606" t="s">
        <v>225</v>
      </c>
      <c r="D47" s="606" t="s">
        <v>226</v>
      </c>
      <c r="E47" s="1218"/>
      <c r="F47" s="1218"/>
      <c r="G47" s="1218"/>
      <c r="H47" s="1218"/>
      <c r="I47" s="1066" t="str">
        <f>S46&amp;".1"</f>
        <v>....1</v>
      </c>
      <c r="L47" s="873" t="s">
        <v>414</v>
      </c>
      <c r="P47" s="1193">
        <v>1</v>
      </c>
      <c r="R47" s="842"/>
      <c r="S47" s="832" t="str">
        <f>$I47</f>
        <v>....1</v>
      </c>
      <c r="T47" s="843" t="s">
        <v>415</v>
      </c>
      <c r="U47" s="833"/>
      <c r="V47" s="1183"/>
      <c r="W47" s="1184"/>
      <c r="X47" s="1184"/>
      <c r="Y47" s="1184"/>
      <c r="Z47" s="1184"/>
      <c r="AA47" s="1184"/>
      <c r="AB47" s="1184"/>
      <c r="AC47" s="1185"/>
      <c r="AD47" s="1183"/>
      <c r="AE47" s="1184"/>
      <c r="AF47" s="1184"/>
      <c r="AG47" s="1184"/>
      <c r="AH47" s="1184"/>
      <c r="AI47" s="1184"/>
      <c r="AJ47" s="1184"/>
      <c r="AK47" s="1184"/>
      <c r="AL47" s="1185"/>
      <c r="AM47" s="835" t="s">
        <v>416</v>
      </c>
      <c r="AP47" s="582" t="str">
        <f t="shared" si="1"/>
        <v>Схема подключения теплопотребляющей установки к коллектору источника тепловой энергии</v>
      </c>
      <c r="AS47" s="538">
        <v>47</v>
      </c>
    </row>
    <row r="48" spans="1:45" ht="21.95" customHeight="1">
      <c r="A48" s="606" t="s">
        <v>223</v>
      </c>
      <c r="B48" s="606" t="s">
        <v>224</v>
      </c>
      <c r="C48" s="606" t="s">
        <v>225</v>
      </c>
      <c r="D48" s="606" t="s">
        <v>226</v>
      </c>
      <c r="E48" s="1218"/>
      <c r="F48" s="1218"/>
      <c r="G48" s="1218"/>
      <c r="H48" s="1218"/>
      <c r="I48" s="1048"/>
      <c r="J48" s="1066" t="str">
        <f>I47&amp;".1"</f>
        <v>....1.1</v>
      </c>
      <c r="L48" s="873" t="s">
        <v>417</v>
      </c>
      <c r="P48" s="1031"/>
      <c r="Q48" s="1193">
        <v>1</v>
      </c>
      <c r="R48" s="844"/>
      <c r="S48" s="832" t="str">
        <f>$J48</f>
        <v>....1.1</v>
      </c>
      <c r="T48" s="845" t="s">
        <v>418</v>
      </c>
      <c r="U48" s="833"/>
      <c r="V48" s="1183"/>
      <c r="W48" s="1184"/>
      <c r="X48" s="1184"/>
      <c r="Y48" s="1184"/>
      <c r="Z48" s="1184"/>
      <c r="AA48" s="1184"/>
      <c r="AB48" s="1184"/>
      <c r="AC48" s="1185"/>
      <c r="AD48" s="1183"/>
      <c r="AE48" s="1184"/>
      <c r="AF48" s="1184"/>
      <c r="AG48" s="1184"/>
      <c r="AH48" s="1184"/>
      <c r="AI48" s="1184"/>
      <c r="AJ48" s="1184"/>
      <c r="AK48" s="1184"/>
      <c r="AL48" s="1185"/>
      <c r="AM48" s="835" t="s">
        <v>419</v>
      </c>
      <c r="AP48" s="582" t="str">
        <f t="shared" si="1"/>
        <v>Группа потребителей</v>
      </c>
      <c r="AS48" s="538">
        <v>21</v>
      </c>
    </row>
    <row r="49" spans="1:45" ht="21.95" customHeight="1">
      <c r="A49" s="606" t="s">
        <v>223</v>
      </c>
      <c r="B49" s="606" t="s">
        <v>224</v>
      </c>
      <c r="C49" s="606" t="s">
        <v>225</v>
      </c>
      <c r="D49" s="606" t="s">
        <v>226</v>
      </c>
      <c r="E49" s="1218"/>
      <c r="F49" s="1218"/>
      <c r="G49" s="1218"/>
      <c r="H49" s="1218"/>
      <c r="I49" s="1048"/>
      <c r="J49" s="1048"/>
      <c r="K49" s="1066" t="str">
        <f>J48&amp;".1"</f>
        <v>....1.1.1</v>
      </c>
      <c r="L49" s="873" t="s">
        <v>420</v>
      </c>
      <c r="P49" s="1031"/>
      <c r="Q49" s="1031"/>
      <c r="R49" s="844">
        <v>1</v>
      </c>
      <c r="S49" s="832" t="str">
        <f>$K49</f>
        <v>....1.1.1</v>
      </c>
      <c r="T49" s="846"/>
      <c r="U49" s="833"/>
      <c r="V49" s="311"/>
      <c r="W49" s="312"/>
      <c r="X49" s="311"/>
      <c r="Y49" s="313"/>
      <c r="Z49" s="1197"/>
      <c r="AA49" s="1058" t="s">
        <v>61</v>
      </c>
      <c r="AB49" s="1197"/>
      <c r="AC49" s="1058" t="s">
        <v>61</v>
      </c>
      <c r="AD49" s="311"/>
      <c r="AE49" s="312"/>
      <c r="AF49" s="311"/>
      <c r="AG49" s="313"/>
      <c r="AH49" s="1197"/>
      <c r="AI49" s="1058" t="s">
        <v>61</v>
      </c>
      <c r="AJ49" s="1215"/>
      <c r="AK49" s="1058" t="s">
        <v>61</v>
      </c>
      <c r="AL49" s="331"/>
      <c r="AM49" s="1189" t="s">
        <v>421</v>
      </c>
      <c r="AN49" s="577" t="e">
        <f ca="1">STRCHECKDATE(V50:AL50)</f>
        <v>#NAME?</v>
      </c>
      <c r="AP49" s="582" t="str">
        <f t="shared" si="1"/>
        <v/>
      </c>
      <c r="AS49" s="538">
        <v>21</v>
      </c>
    </row>
    <row r="50" spans="1:45" ht="1.1499999999999999" customHeight="1">
      <c r="A50" s="606" t="s">
        <v>223</v>
      </c>
      <c r="B50" s="606" t="s">
        <v>224</v>
      </c>
      <c r="C50" s="606" t="s">
        <v>225</v>
      </c>
      <c r="D50" s="606" t="s">
        <v>226</v>
      </c>
      <c r="E50" s="1218"/>
      <c r="F50" s="1218"/>
      <c r="G50" s="1218"/>
      <c r="H50" s="1218"/>
      <c r="I50" s="1048"/>
      <c r="J50" s="1048"/>
      <c r="K50" s="1066"/>
      <c r="P50" s="1031"/>
      <c r="Q50" s="1031"/>
      <c r="R50" s="844"/>
      <c r="S50" s="127"/>
      <c r="T50" s="833"/>
      <c r="U50" s="833"/>
      <c r="V50" s="312"/>
      <c r="W50" s="312"/>
      <c r="X50" s="312"/>
      <c r="Y50" s="314" t="str">
        <f>Z49&amp;"-"&amp;AB49</f>
        <v>-</v>
      </c>
      <c r="Z50" s="1198"/>
      <c r="AA50" s="1058"/>
      <c r="AB50" s="1198"/>
      <c r="AC50" s="1058"/>
      <c r="AD50" s="312"/>
      <c r="AE50" s="312"/>
      <c r="AF50" s="312"/>
      <c r="AG50" s="314" t="str">
        <f>AH49&amp;"-"&amp;AJ49</f>
        <v>-</v>
      </c>
      <c r="AH50" s="1198"/>
      <c r="AI50" s="1058"/>
      <c r="AJ50" s="1216"/>
      <c r="AK50" s="1058"/>
      <c r="AL50" s="332"/>
      <c r="AM50" s="1190"/>
      <c r="AP50" s="582" t="str">
        <f t="shared" si="1"/>
        <v/>
      </c>
      <c r="AS50" s="538">
        <v>1</v>
      </c>
    </row>
    <row r="51" spans="1:45" ht="11.45" customHeight="1">
      <c r="A51" s="606" t="s">
        <v>223</v>
      </c>
      <c r="B51" s="606" t="s">
        <v>224</v>
      </c>
      <c r="C51" s="606" t="s">
        <v>225</v>
      </c>
      <c r="D51" s="606" t="s">
        <v>226</v>
      </c>
      <c r="E51" s="1218"/>
      <c r="F51" s="1218"/>
      <c r="G51" s="1218"/>
      <c r="H51" s="1218"/>
      <c r="I51" s="1048"/>
      <c r="J51" s="1066"/>
      <c r="P51" s="1031"/>
      <c r="Q51" s="1031"/>
      <c r="R51" s="842"/>
      <c r="S51" s="315"/>
      <c r="T51" s="316" t="s">
        <v>422</v>
      </c>
      <c r="U51" s="52"/>
      <c r="V51" s="52"/>
      <c r="W51" s="52"/>
      <c r="X51" s="52"/>
      <c r="Y51" s="52"/>
      <c r="Z51" s="52"/>
      <c r="AA51" s="52"/>
      <c r="AB51" s="52"/>
      <c r="AC51" s="52"/>
      <c r="AD51" s="52"/>
      <c r="AE51" s="52"/>
      <c r="AF51" s="52"/>
      <c r="AG51" s="52"/>
      <c r="AH51" s="52"/>
      <c r="AI51" s="52"/>
      <c r="AJ51" s="52"/>
      <c r="AK51" s="52"/>
      <c r="AL51" s="317"/>
      <c r="AM51" s="1191"/>
      <c r="AP51" s="582" t="str">
        <f t="shared" si="1"/>
        <v>Добавить вид теплоносителя (параметры теплоносителя)</v>
      </c>
      <c r="AS51" s="538">
        <v>11</v>
      </c>
    </row>
    <row r="52" spans="1:45" ht="11.45" customHeight="1">
      <c r="A52" s="606" t="s">
        <v>223</v>
      </c>
      <c r="B52" s="606" t="s">
        <v>224</v>
      </c>
      <c r="C52" s="606" t="s">
        <v>225</v>
      </c>
      <c r="D52" s="606" t="s">
        <v>226</v>
      </c>
      <c r="E52" s="1218"/>
      <c r="F52" s="1218"/>
      <c r="G52" s="1218"/>
      <c r="H52" s="1218"/>
      <c r="I52" s="1066"/>
      <c r="P52" s="1031"/>
      <c r="R52" s="842"/>
      <c r="S52" s="315"/>
      <c r="T52" s="318" t="s">
        <v>423</v>
      </c>
      <c r="U52" s="52"/>
      <c r="V52" s="52"/>
      <c r="W52" s="52"/>
      <c r="X52" s="52"/>
      <c r="Y52" s="52"/>
      <c r="Z52" s="52"/>
      <c r="AA52" s="52"/>
      <c r="AB52" s="52"/>
      <c r="AC52" s="319"/>
      <c r="AD52" s="52"/>
      <c r="AE52" s="52"/>
      <c r="AF52" s="52"/>
      <c r="AG52" s="52"/>
      <c r="AH52" s="52"/>
      <c r="AI52" s="52"/>
      <c r="AJ52" s="52"/>
      <c r="AK52" s="319"/>
      <c r="AL52" s="52"/>
      <c r="AM52" s="320"/>
      <c r="AP52" s="582" t="str">
        <f t="shared" si="1"/>
        <v>Добавить группу потребителей</v>
      </c>
      <c r="AS52" s="538">
        <v>11</v>
      </c>
    </row>
    <row r="53" spans="1:45" ht="14.65" customHeight="1">
      <c r="A53" s="606" t="s">
        <v>223</v>
      </c>
      <c r="B53" s="606" t="s">
        <v>224</v>
      </c>
      <c r="C53" s="606" t="s">
        <v>225</v>
      </c>
      <c r="D53" s="606" t="s">
        <v>226</v>
      </c>
      <c r="E53" s="1218"/>
      <c r="F53" s="1218"/>
      <c r="G53" s="1218"/>
      <c r="H53" s="1217"/>
      <c r="R53" s="310"/>
      <c r="S53" s="315"/>
      <c r="T53" s="321" t="s">
        <v>424</v>
      </c>
      <c r="U53" s="52"/>
      <c r="V53" s="52"/>
      <c r="W53" s="52"/>
      <c r="X53" s="52"/>
      <c r="Y53" s="52"/>
      <c r="Z53" s="52"/>
      <c r="AA53" s="52"/>
      <c r="AB53" s="52"/>
      <c r="AC53" s="319"/>
      <c r="AD53" s="52"/>
      <c r="AE53" s="52"/>
      <c r="AF53" s="52"/>
      <c r="AG53" s="52"/>
      <c r="AH53" s="52"/>
      <c r="AI53" s="52"/>
      <c r="AJ53" s="52"/>
      <c r="AK53" s="319"/>
      <c r="AL53" s="52"/>
      <c r="AM53" s="320"/>
      <c r="AP53" s="582" t="str">
        <f t="shared" si="1"/>
        <v>Добавить схему подключения</v>
      </c>
      <c r="AS53" s="538">
        <v>14</v>
      </c>
    </row>
    <row r="54" spans="1:45" ht="1.1499999999999999" customHeight="1">
      <c r="A54" s="606" t="s">
        <v>223</v>
      </c>
      <c r="B54" s="606" t="s">
        <v>224</v>
      </c>
      <c r="C54" s="606" t="s">
        <v>225</v>
      </c>
      <c r="E54" s="1218"/>
      <c r="F54" s="1218"/>
      <c r="G54" s="1217"/>
      <c r="T54" s="326" t="s">
        <v>425</v>
      </c>
      <c r="AP54" s="582" t="str">
        <f t="shared" si="1"/>
        <v>Добавить источник для дифференциации</v>
      </c>
      <c r="AS54" s="577">
        <v>1</v>
      </c>
    </row>
    <row r="55" spans="1:45" ht="1.1499999999999999" customHeight="1">
      <c r="A55" s="606" t="s">
        <v>223</v>
      </c>
      <c r="B55" s="606" t="s">
        <v>224</v>
      </c>
      <c r="E55" s="1218"/>
      <c r="F55" s="1217"/>
      <c r="T55" s="326" t="s">
        <v>426</v>
      </c>
      <c r="AP55" s="582" t="str">
        <f t="shared" si="1"/>
        <v>Добавить централизованную систему для дифференциации</v>
      </c>
      <c r="AS55" s="577">
        <v>1</v>
      </c>
    </row>
    <row r="56" spans="1:45" ht="1.1499999999999999" customHeight="1">
      <c r="A56" s="606" t="s">
        <v>223</v>
      </c>
      <c r="E56" s="1217"/>
      <c r="T56" s="326" t="s">
        <v>427</v>
      </c>
      <c r="AP56" s="582" t="str">
        <f t="shared" si="1"/>
        <v>Добавить территорию для дифференциации</v>
      </c>
      <c r="AS56" s="577">
        <v>1</v>
      </c>
    </row>
    <row r="57" spans="1:45" ht="1.1499999999999999" customHeight="1">
      <c r="T57" s="326" t="s">
        <v>459</v>
      </c>
      <c r="AP57" s="582" t="str">
        <f t="shared" si="1"/>
        <v>Добавить наименование тарифа</v>
      </c>
      <c r="AS57" s="577">
        <v>1</v>
      </c>
    </row>
    <row r="58" spans="1:45" ht="11.45" customHeight="1">
      <c r="AS58" s="538">
        <v>11</v>
      </c>
    </row>
    <row r="59" spans="1:45" ht="28.5" customHeight="1">
      <c r="T59" s="1031"/>
      <c r="U59" s="1031"/>
      <c r="V59" s="1031"/>
      <c r="W59" s="1031"/>
      <c r="X59" s="1031"/>
      <c r="Y59" s="1031"/>
      <c r="Z59" s="1031"/>
      <c r="AA59" s="1031"/>
      <c r="AB59" s="1031"/>
      <c r="AC59" s="1031"/>
      <c r="AD59" s="1031"/>
      <c r="AE59" s="1031"/>
      <c r="AF59" s="1031"/>
      <c r="AG59" s="1031"/>
      <c r="AH59" s="1031"/>
      <c r="AI59" s="1031"/>
      <c r="AJ59" s="1031"/>
      <c r="AK59" s="1031"/>
      <c r="AL59" s="1031"/>
      <c r="AM59" s="1031"/>
      <c r="AS59" s="538">
        <v>27</v>
      </c>
    </row>
    <row r="60" spans="1:45" ht="65.25" customHeight="1">
      <c r="T60" s="1031"/>
      <c r="U60" s="1031"/>
      <c r="V60" s="1031"/>
      <c r="W60" s="1031"/>
      <c r="X60" s="1031"/>
      <c r="Y60" s="1031"/>
      <c r="Z60" s="1031"/>
      <c r="AA60" s="1031"/>
      <c r="AB60" s="1031"/>
      <c r="AC60" s="1031"/>
      <c r="AD60" s="1031"/>
      <c r="AE60" s="1031"/>
      <c r="AF60" s="1031"/>
      <c r="AG60" s="1031"/>
      <c r="AH60" s="1031"/>
      <c r="AI60" s="1031"/>
      <c r="AJ60" s="1031"/>
      <c r="AK60" s="1031"/>
      <c r="AL60" s="1031"/>
      <c r="AM60" s="1031"/>
      <c r="AS60" s="538">
        <v>62</v>
      </c>
    </row>
    <row r="61" spans="1:45" ht="14.65" customHeight="1">
      <c r="AS61" s="538">
        <v>14</v>
      </c>
    </row>
    <row r="62" spans="1:45" ht="18.75" customHeight="1">
      <c r="T62" s="1031"/>
      <c r="U62" s="1031"/>
      <c r="V62" s="1031"/>
      <c r="W62" s="1031"/>
      <c r="X62" s="1031"/>
      <c r="Y62" s="1031"/>
      <c r="Z62" s="1031"/>
      <c r="AA62" s="1031"/>
      <c r="AB62" s="1031"/>
      <c r="AC62" s="1031"/>
      <c r="AD62" s="1031"/>
      <c r="AE62" s="1031"/>
      <c r="AF62" s="1031"/>
      <c r="AG62" s="1031"/>
      <c r="AH62" s="1031"/>
      <c r="AI62" s="1031"/>
      <c r="AJ62" s="1031"/>
      <c r="AK62" s="1031"/>
      <c r="AL62" s="1031"/>
      <c r="AM62" s="1031"/>
      <c r="AS62" s="538">
        <v>18</v>
      </c>
    </row>
    <row r="63" spans="1:45" ht="18.75" customHeight="1">
      <c r="T63" s="1031"/>
      <c r="U63" s="1031"/>
      <c r="V63" s="1031"/>
      <c r="W63" s="1031"/>
      <c r="X63" s="1031"/>
      <c r="Y63" s="1031"/>
      <c r="Z63" s="1031"/>
      <c r="AA63" s="1031"/>
      <c r="AB63" s="1031"/>
      <c r="AC63" s="1031"/>
      <c r="AD63" s="1031"/>
      <c r="AE63" s="1031"/>
      <c r="AF63" s="1031"/>
      <c r="AG63" s="1031"/>
      <c r="AH63" s="1031"/>
      <c r="AI63" s="1031"/>
      <c r="AJ63" s="1031"/>
      <c r="AK63" s="1031"/>
      <c r="AL63" s="1031"/>
      <c r="AM63" s="1031"/>
      <c r="AS63" s="538">
        <v>18</v>
      </c>
    </row>
    <row r="64" spans="1:45" ht="29.25" customHeight="1">
      <c r="T64" s="1031"/>
      <c r="U64" s="1031"/>
      <c r="V64" s="1031"/>
      <c r="W64" s="1031"/>
      <c r="X64" s="1031"/>
      <c r="Y64" s="1031"/>
      <c r="Z64" s="1031"/>
      <c r="AA64" s="1031"/>
      <c r="AB64" s="1031"/>
      <c r="AC64" s="1031"/>
      <c r="AD64" s="1031"/>
      <c r="AE64" s="1031"/>
      <c r="AF64" s="1031"/>
      <c r="AG64" s="1031"/>
      <c r="AH64" s="1031"/>
      <c r="AI64" s="1031"/>
      <c r="AJ64" s="1031"/>
      <c r="AK64" s="1031"/>
      <c r="AL64" s="1031"/>
      <c r="AM64" s="1031"/>
      <c r="AS64" s="538">
        <v>28</v>
      </c>
    </row>
    <row r="65" spans="1:45" ht="22.5" hidden="1" customHeight="1">
      <c r="A65" s="538" t="s">
        <v>81</v>
      </c>
      <c r="B65" s="538">
        <v>0</v>
      </c>
      <c r="C65" s="538">
        <v>0</v>
      </c>
      <c r="D65" s="538">
        <v>0</v>
      </c>
      <c r="E65" s="538">
        <v>0</v>
      </c>
      <c r="F65" s="538">
        <v>0</v>
      </c>
      <c r="G65" s="538">
        <v>0</v>
      </c>
      <c r="H65" s="538">
        <v>0</v>
      </c>
      <c r="I65" s="538">
        <v>0</v>
      </c>
      <c r="J65" s="538">
        <v>0</v>
      </c>
      <c r="K65" s="538">
        <v>0</v>
      </c>
      <c r="L65" s="560">
        <v>0</v>
      </c>
      <c r="M65" s="300">
        <v>0</v>
      </c>
      <c r="N65" s="300">
        <v>0</v>
      </c>
      <c r="O65" s="300">
        <v>0</v>
      </c>
      <c r="P65" s="300">
        <v>3</v>
      </c>
      <c r="Q65" s="821">
        <v>3</v>
      </c>
      <c r="R65" s="821">
        <v>3</v>
      </c>
      <c r="S65" s="553">
        <v>12</v>
      </c>
      <c r="T65" s="538">
        <v>31</v>
      </c>
      <c r="U65" s="538">
        <v>0</v>
      </c>
      <c r="V65" s="538">
        <v>0</v>
      </c>
      <c r="W65" s="538">
        <v>0</v>
      </c>
      <c r="X65" s="538">
        <v>0</v>
      </c>
      <c r="Y65" s="538">
        <v>0</v>
      </c>
      <c r="Z65" s="538">
        <v>0</v>
      </c>
      <c r="AA65" s="538">
        <v>0</v>
      </c>
      <c r="AB65" s="538">
        <v>0</v>
      </c>
      <c r="AC65" s="538">
        <v>0</v>
      </c>
      <c r="AD65" s="538">
        <v>24</v>
      </c>
      <c r="AE65" s="538">
        <v>0</v>
      </c>
      <c r="AF65" s="538">
        <v>24</v>
      </c>
      <c r="AG65" s="538">
        <v>24</v>
      </c>
      <c r="AH65" s="538">
        <v>11</v>
      </c>
      <c r="AI65" s="538">
        <v>3</v>
      </c>
      <c r="AJ65" s="538">
        <v>11</v>
      </c>
      <c r="AK65" s="538">
        <v>0</v>
      </c>
      <c r="AL65" s="538">
        <v>4</v>
      </c>
      <c r="AM65" s="538">
        <v>115</v>
      </c>
      <c r="AN65" s="577">
        <v>10</v>
      </c>
      <c r="AO65" s="577">
        <v>10</v>
      </c>
      <c r="AP65" s="577">
        <v>10</v>
      </c>
      <c r="AQ65" s="577">
        <v>10</v>
      </c>
      <c r="AR65" s="577">
        <v>10</v>
      </c>
      <c r="AS65" s="53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2" style="1029" hidden="1" customWidth="1"/>
    <col min="10" max="10" width="9.85546875" style="1029" hidden="1" customWidth="1"/>
    <col min="11" max="11" width="11.42578125" style="1029" hidden="1" customWidth="1"/>
    <col min="12" max="12" width="19.140625" style="1029" hidden="1" customWidth="1"/>
    <col min="13" max="14" width="12.28515625" style="1029" hidden="1" customWidth="1"/>
    <col min="15" max="15" width="23.42578125" style="1029" hidden="1" customWidth="1"/>
    <col min="16" max="18" width="3" style="1029" customWidth="1"/>
    <col min="19" max="19" width="12" style="1029" customWidth="1"/>
    <col min="20" max="20" width="31" style="1029" customWidth="1"/>
    <col min="21" max="21" width="0.7109375" style="1029" hidden="1" customWidth="1"/>
    <col min="22" max="22" width="1.7109375" style="1029" hidden="1" customWidth="1"/>
    <col min="23" max="23" width="24.7109375" style="1029" hidden="1" customWidth="1"/>
    <col min="24" max="25" width="0.140625" style="1029" hidden="1" customWidth="1"/>
    <col min="26" max="26" width="11.7109375" style="1029" hidden="1" customWidth="1"/>
    <col min="27" max="27" width="3.7109375" style="1029" hidden="1" customWidth="1"/>
    <col min="28" max="28" width="11.7109375" style="1029" hidden="1" customWidth="1"/>
    <col min="29" max="29" width="8.5703125" style="1029" hidden="1" customWidth="1"/>
    <col min="30" max="30" width="0.140625" style="1029" customWidth="1"/>
    <col min="31" max="31" width="24" style="1029" customWidth="1"/>
    <col min="32" max="33" width="0.140625" style="1029" customWidth="1"/>
    <col min="34" max="34" width="11" style="1029" customWidth="1"/>
    <col min="35" max="35" width="3.7109375" style="1029" customWidth="1"/>
    <col min="36" max="36" width="11" style="1029" customWidth="1"/>
    <col min="37" max="37" width="8.5703125" style="1029" hidden="1" customWidth="1"/>
    <col min="38" max="38" width="4" style="1029" customWidth="1"/>
    <col min="39" max="39" width="115" style="1029" customWidth="1"/>
    <col min="40" max="44" width="10" style="1029" customWidth="1"/>
    <col min="45" max="45" width="10.5703125" style="1029" hidden="1"/>
  </cols>
  <sheetData>
    <row r="1" spans="5:45" ht="22.5" hidden="1" customHeight="1">
      <c r="AS1" s="538" t="s">
        <v>14</v>
      </c>
    </row>
    <row r="2" spans="5:45" ht="21" hidden="1" customHeight="1">
      <c r="E2" s="1194">
        <v>1</v>
      </c>
      <c r="R2" s="310"/>
      <c r="S2" s="832" t="e">
        <f>INDEX(PT_DIFFERENTIATION_NUM_NTAR,MATCH(A2,PT_DIFFERENTIATION_NTAR_ID,0))</f>
        <v>#N/A</v>
      </c>
      <c r="T2" s="795" t="s">
        <v>136</v>
      </c>
      <c r="U2" s="833"/>
      <c r="V2" s="1180"/>
      <c r="W2" s="1181"/>
      <c r="X2" s="1181"/>
      <c r="Y2" s="1181"/>
      <c r="Z2" s="1181"/>
      <c r="AA2" s="1181"/>
      <c r="AB2" s="1181"/>
      <c r="AC2" s="1182"/>
      <c r="AD2" s="1180" t="e">
        <f>INDEX(PT_DIFFERENTIATION_NTAR,MATCH(A2,PT_DIFFERENTIATION_NTAR_ID,0))</f>
        <v>#N/A</v>
      </c>
      <c r="AE2" s="1181"/>
      <c r="AF2" s="1181"/>
      <c r="AG2" s="1181"/>
      <c r="AH2" s="1181"/>
      <c r="AI2" s="1181"/>
      <c r="AJ2" s="1181"/>
      <c r="AK2" s="1181"/>
      <c r="AL2" s="1182"/>
      <c r="AM2" s="835" t="s">
        <v>407</v>
      </c>
      <c r="AP2" s="582" t="str">
        <f t="shared" ref="AP2:AP15" si="0">IF(T2="","",T2)</f>
        <v>Наименование тарифа</v>
      </c>
      <c r="AS2" s="538">
        <v>0</v>
      </c>
    </row>
    <row r="3" spans="5:45" ht="21" hidden="1" customHeight="1">
      <c r="E3" s="1195"/>
      <c r="F3" s="1194">
        <v>1</v>
      </c>
      <c r="Q3" s="836"/>
      <c r="R3" s="837"/>
      <c r="S3" s="832" t="e">
        <f>INDEX(PT_DIFFERENTIATION_NUM_TER,MATCH(B3,PT_DIFFERENTIATION_TER_ID,0))</f>
        <v>#N/A</v>
      </c>
      <c r="T3" s="838" t="s">
        <v>408</v>
      </c>
      <c r="U3" s="833"/>
      <c r="V3" s="1180"/>
      <c r="W3" s="1181"/>
      <c r="X3" s="1181"/>
      <c r="Y3" s="1181"/>
      <c r="Z3" s="1181"/>
      <c r="AA3" s="1181"/>
      <c r="AB3" s="1181"/>
      <c r="AC3" s="1182"/>
      <c r="AD3" s="1180" t="e">
        <f>INDEX(PT_DIFFERENTIATION_TER,MATCH(B3,PT_DIFFERENTIATION_TER_ID,0))</f>
        <v>#N/A</v>
      </c>
      <c r="AE3" s="1181"/>
      <c r="AF3" s="1181"/>
      <c r="AG3" s="1181"/>
      <c r="AH3" s="1181"/>
      <c r="AI3" s="1181"/>
      <c r="AJ3" s="1181"/>
      <c r="AK3" s="1181"/>
      <c r="AL3" s="1182"/>
      <c r="AM3" s="835" t="s">
        <v>409</v>
      </c>
      <c r="AP3" s="582" t="str">
        <f t="shared" si="0"/>
        <v>Территория действия тарифа</v>
      </c>
      <c r="AS3" s="538">
        <v>0</v>
      </c>
    </row>
    <row r="4" spans="5:45" ht="23.25" hidden="1" customHeight="1">
      <c r="E4" s="1195"/>
      <c r="F4" s="1195"/>
      <c r="G4" s="1194">
        <v>1</v>
      </c>
      <c r="Q4" s="836"/>
      <c r="R4" s="837"/>
      <c r="S4" s="832" t="e">
        <f>INDEX(PT_DIFFERENTIATION_NUM_CS,MATCH(C4,PT_DIFFERENTIATION_CS_ID,0))</f>
        <v>#N/A</v>
      </c>
      <c r="T4" s="839" t="s">
        <v>410</v>
      </c>
      <c r="U4" s="833"/>
      <c r="V4" s="1180"/>
      <c r="W4" s="1181"/>
      <c r="X4" s="1181"/>
      <c r="Y4" s="1181"/>
      <c r="Z4" s="1181"/>
      <c r="AA4" s="1181"/>
      <c r="AB4" s="1181"/>
      <c r="AC4" s="1182"/>
      <c r="AD4" s="1180" t="e">
        <f>INDEX(PT_DIFFERENTIATION_CS,MATCH(C4,PT_DIFFERENTIATION_CS_ID,0))</f>
        <v>#N/A</v>
      </c>
      <c r="AE4" s="1181"/>
      <c r="AF4" s="1181"/>
      <c r="AG4" s="1181"/>
      <c r="AH4" s="1181"/>
      <c r="AI4" s="1181"/>
      <c r="AJ4" s="1181"/>
      <c r="AK4" s="1181"/>
      <c r="AL4" s="1182"/>
      <c r="AM4" s="835" t="s">
        <v>411</v>
      </c>
      <c r="AP4" s="582" t="str">
        <f t="shared" si="0"/>
        <v xml:space="preserve">Наименование системы теплоснабжения </v>
      </c>
      <c r="AS4" s="538">
        <v>0</v>
      </c>
    </row>
    <row r="5" spans="5:45" ht="21" hidden="1" customHeight="1">
      <c r="E5" s="1195"/>
      <c r="F5" s="1195"/>
      <c r="G5" s="1195"/>
      <c r="H5" s="1194">
        <v>1</v>
      </c>
      <c r="Q5" s="836"/>
      <c r="R5" s="837"/>
      <c r="S5" s="832" t="e">
        <f>INDEX(PT_DIFFERENTIATION_NUM_IST_TE,MATCH(D5,PT_DIFFERENTIATION_IST_TE_ID,0))</f>
        <v>#N/A</v>
      </c>
      <c r="T5" s="840" t="s">
        <v>412</v>
      </c>
      <c r="U5" s="833"/>
      <c r="V5" s="1180"/>
      <c r="W5" s="1181"/>
      <c r="X5" s="1181"/>
      <c r="Y5" s="1181"/>
      <c r="Z5" s="1181"/>
      <c r="AA5" s="1181"/>
      <c r="AB5" s="1181"/>
      <c r="AC5" s="1182"/>
      <c r="AD5" s="1180" t="e">
        <f>INDEX(PT_DIFFERENTIATION_IST_TE,MATCH(D5,PT_DIFFERENTIATION_IST_TE_ID,0))</f>
        <v>#N/A</v>
      </c>
      <c r="AE5" s="1181"/>
      <c r="AF5" s="1181"/>
      <c r="AG5" s="1181"/>
      <c r="AH5" s="1181"/>
      <c r="AI5" s="1181"/>
      <c r="AJ5" s="1181"/>
      <c r="AK5" s="1181"/>
      <c r="AL5" s="1182"/>
      <c r="AM5" s="835" t="s">
        <v>413</v>
      </c>
      <c r="AP5" s="582" t="str">
        <f t="shared" si="0"/>
        <v xml:space="preserve">Источник тепловой энергии  </v>
      </c>
      <c r="AS5" s="538">
        <v>0</v>
      </c>
    </row>
    <row r="6" spans="5:45" ht="47.25" hidden="1" customHeight="1">
      <c r="E6" s="1195"/>
      <c r="F6" s="1195"/>
      <c r="G6" s="1195"/>
      <c r="H6" s="1195"/>
      <c r="I6" s="1192" t="e">
        <f>S5&amp;".1"</f>
        <v>#N/A</v>
      </c>
      <c r="L6" s="841" t="s">
        <v>414</v>
      </c>
      <c r="P6" s="1193">
        <v>1</v>
      </c>
      <c r="R6" s="842"/>
      <c r="S6" s="832" t="e">
        <f>$I6</f>
        <v>#N/A</v>
      </c>
      <c r="T6" s="843" t="s">
        <v>415</v>
      </c>
      <c r="U6" s="833"/>
      <c r="V6" s="1183"/>
      <c r="W6" s="1184"/>
      <c r="X6" s="1184"/>
      <c r="Y6" s="1184"/>
      <c r="Z6" s="1184"/>
      <c r="AA6" s="1184"/>
      <c r="AB6" s="1184"/>
      <c r="AC6" s="1185"/>
      <c r="AD6" s="1183"/>
      <c r="AE6" s="1184"/>
      <c r="AF6" s="1184"/>
      <c r="AG6" s="1184"/>
      <c r="AH6" s="1184"/>
      <c r="AI6" s="1184"/>
      <c r="AJ6" s="1184"/>
      <c r="AK6" s="1184"/>
      <c r="AL6" s="1185"/>
      <c r="AM6" s="835" t="s">
        <v>416</v>
      </c>
      <c r="AP6" s="582" t="str">
        <f t="shared" si="0"/>
        <v>Схема подключения теплопотребляющей установки к коллектору источника тепловой энергии</v>
      </c>
      <c r="AS6" s="538">
        <v>0</v>
      </c>
    </row>
    <row r="7" spans="5:45" ht="21" hidden="1" customHeight="1">
      <c r="E7" s="1195"/>
      <c r="F7" s="1195"/>
      <c r="G7" s="1195"/>
      <c r="H7" s="1195"/>
      <c r="I7" s="1214"/>
      <c r="J7" s="1192" t="e">
        <f>I6&amp;".1"</f>
        <v>#N/A</v>
      </c>
      <c r="L7" s="841" t="s">
        <v>417</v>
      </c>
      <c r="P7" s="1031"/>
      <c r="Q7" s="1193">
        <v>1</v>
      </c>
      <c r="R7" s="844"/>
      <c r="S7" s="832" t="e">
        <f>$J7</f>
        <v>#N/A</v>
      </c>
      <c r="T7" s="845" t="s">
        <v>418</v>
      </c>
      <c r="U7" s="833"/>
      <c r="V7" s="1183"/>
      <c r="W7" s="1184"/>
      <c r="X7" s="1184"/>
      <c r="Y7" s="1184"/>
      <c r="Z7" s="1184"/>
      <c r="AA7" s="1184"/>
      <c r="AB7" s="1184"/>
      <c r="AC7" s="1185"/>
      <c r="AD7" s="1183"/>
      <c r="AE7" s="1184"/>
      <c r="AF7" s="1184"/>
      <c r="AG7" s="1184"/>
      <c r="AH7" s="1184"/>
      <c r="AI7" s="1184"/>
      <c r="AJ7" s="1184"/>
      <c r="AK7" s="1184"/>
      <c r="AL7" s="1185"/>
      <c r="AM7" s="835" t="s">
        <v>419</v>
      </c>
      <c r="AP7" s="582" t="str">
        <f t="shared" si="0"/>
        <v>Группа потребителей</v>
      </c>
      <c r="AS7" s="538">
        <v>0</v>
      </c>
    </row>
    <row r="8" spans="5:45" ht="21" hidden="1" customHeight="1">
      <c r="E8" s="1195"/>
      <c r="F8" s="1195"/>
      <c r="G8" s="1195"/>
      <c r="H8" s="1195"/>
      <c r="I8" s="1214"/>
      <c r="J8" s="1214"/>
      <c r="K8" s="1192" t="e">
        <f>J7&amp;".1"</f>
        <v>#N/A</v>
      </c>
      <c r="L8" s="841" t="s">
        <v>420</v>
      </c>
      <c r="P8" s="1031"/>
      <c r="Q8" s="1031"/>
      <c r="R8" s="844">
        <v>1</v>
      </c>
      <c r="S8" s="832" t="e">
        <f>$K8</f>
        <v>#N/A</v>
      </c>
      <c r="T8" s="846"/>
      <c r="U8" s="833"/>
      <c r="V8" s="312"/>
      <c r="W8" s="311"/>
      <c r="X8" s="312"/>
      <c r="Y8" s="333"/>
      <c r="Z8" s="1197"/>
      <c r="AA8" s="1058" t="s">
        <v>61</v>
      </c>
      <c r="AB8" s="1197"/>
      <c r="AC8" s="1058" t="s">
        <v>61</v>
      </c>
      <c r="AD8" s="312"/>
      <c r="AE8" s="311"/>
      <c r="AF8" s="312"/>
      <c r="AG8" s="333"/>
      <c r="AH8" s="1197"/>
      <c r="AI8" s="1058" t="s">
        <v>61</v>
      </c>
      <c r="AJ8" s="1197"/>
      <c r="AK8" s="1058" t="s">
        <v>61</v>
      </c>
      <c r="AL8" s="312"/>
      <c r="AM8" s="1189" t="s">
        <v>421</v>
      </c>
      <c r="AN8" s="577" t="e">
        <f ca="1">STRCHECKDATE(V9:AL9)</f>
        <v>#NAME?</v>
      </c>
      <c r="AP8" s="582" t="str">
        <f t="shared" si="0"/>
        <v/>
      </c>
      <c r="AS8" s="538">
        <v>0</v>
      </c>
    </row>
    <row r="9" spans="5:45" ht="0.75" hidden="1" customHeight="1">
      <c r="E9" s="1195"/>
      <c r="F9" s="1195"/>
      <c r="G9" s="1195"/>
      <c r="H9" s="1195"/>
      <c r="I9" s="1214"/>
      <c r="J9" s="1214"/>
      <c r="K9" s="1192"/>
      <c r="P9" s="1031"/>
      <c r="Q9" s="1031"/>
      <c r="R9" s="844"/>
      <c r="S9" s="127"/>
      <c r="T9" s="833"/>
      <c r="U9" s="833"/>
      <c r="V9" s="312"/>
      <c r="W9" s="312"/>
      <c r="X9" s="312"/>
      <c r="Y9" s="314" t="str">
        <f>Z8&amp;"-"&amp;AB8</f>
        <v>-</v>
      </c>
      <c r="Z9" s="1198"/>
      <c r="AA9" s="1058"/>
      <c r="AB9" s="1198"/>
      <c r="AC9" s="1058"/>
      <c r="AD9" s="312"/>
      <c r="AE9" s="312"/>
      <c r="AF9" s="312"/>
      <c r="AG9" s="314" t="str">
        <f>AH8&amp;"-"&amp;AJ8</f>
        <v>-</v>
      </c>
      <c r="AH9" s="1198"/>
      <c r="AI9" s="1058"/>
      <c r="AJ9" s="1198"/>
      <c r="AK9" s="1058"/>
      <c r="AL9" s="312"/>
      <c r="AM9" s="1190"/>
      <c r="AP9" s="582" t="str">
        <f t="shared" si="0"/>
        <v/>
      </c>
      <c r="AS9" s="538">
        <v>0</v>
      </c>
    </row>
    <row r="10" spans="5:45" ht="15" hidden="1" customHeight="1">
      <c r="E10" s="1195"/>
      <c r="F10" s="1195"/>
      <c r="G10" s="1195"/>
      <c r="H10" s="1195"/>
      <c r="I10" s="1214"/>
      <c r="J10" s="1192"/>
      <c r="P10" s="1031"/>
      <c r="Q10" s="1031"/>
      <c r="R10" s="842"/>
      <c r="S10" s="315"/>
      <c r="T10" s="316" t="s">
        <v>422</v>
      </c>
      <c r="U10" s="52"/>
      <c r="V10" s="52"/>
      <c r="W10" s="52"/>
      <c r="X10" s="52"/>
      <c r="Y10" s="52"/>
      <c r="Z10" s="52"/>
      <c r="AA10" s="52"/>
      <c r="AB10" s="52"/>
      <c r="AC10" s="52"/>
      <c r="AD10" s="52"/>
      <c r="AE10" s="52"/>
      <c r="AF10" s="52"/>
      <c r="AG10" s="52"/>
      <c r="AH10" s="52"/>
      <c r="AI10" s="52"/>
      <c r="AJ10" s="52"/>
      <c r="AK10" s="52"/>
      <c r="AL10" s="317"/>
      <c r="AM10" s="1191"/>
      <c r="AP10" s="582" t="str">
        <f t="shared" si="0"/>
        <v>Добавить вид теплоносителя (параметры теплоносителя)</v>
      </c>
      <c r="AS10" s="538">
        <v>0</v>
      </c>
    </row>
    <row r="11" spans="5:45" ht="15" hidden="1" customHeight="1">
      <c r="E11" s="1195"/>
      <c r="F11" s="1195"/>
      <c r="G11" s="1195"/>
      <c r="H11" s="1195"/>
      <c r="I11" s="1192"/>
      <c r="P11" s="1031"/>
      <c r="R11" s="842"/>
      <c r="S11" s="315"/>
      <c r="T11" s="318" t="s">
        <v>423</v>
      </c>
      <c r="U11" s="52"/>
      <c r="V11" s="52"/>
      <c r="W11" s="52"/>
      <c r="X11" s="52"/>
      <c r="Y11" s="52"/>
      <c r="Z11" s="52"/>
      <c r="AA11" s="52"/>
      <c r="AB11" s="52"/>
      <c r="AC11" s="319"/>
      <c r="AD11" s="52"/>
      <c r="AE11" s="52"/>
      <c r="AF11" s="52"/>
      <c r="AG11" s="52"/>
      <c r="AH11" s="52"/>
      <c r="AI11" s="52"/>
      <c r="AJ11" s="52"/>
      <c r="AK11" s="319"/>
      <c r="AL11" s="52"/>
      <c r="AM11" s="320"/>
      <c r="AP11" s="582" t="str">
        <f t="shared" si="0"/>
        <v>Добавить группу потребителей</v>
      </c>
      <c r="AS11" s="538">
        <v>0</v>
      </c>
    </row>
    <row r="12" spans="5:45" ht="14.25" hidden="1" customHeight="1">
      <c r="E12" s="1195"/>
      <c r="F12" s="1195"/>
      <c r="G12" s="1195"/>
      <c r="H12" s="1194"/>
      <c r="R12" s="310"/>
      <c r="S12" s="315"/>
      <c r="T12" s="321" t="s">
        <v>424</v>
      </c>
      <c r="U12" s="52"/>
      <c r="V12" s="52"/>
      <c r="W12" s="52"/>
      <c r="X12" s="52"/>
      <c r="Y12" s="52"/>
      <c r="Z12" s="52"/>
      <c r="AA12" s="52"/>
      <c r="AB12" s="52"/>
      <c r="AC12" s="319"/>
      <c r="AD12" s="52"/>
      <c r="AE12" s="52"/>
      <c r="AF12" s="52"/>
      <c r="AG12" s="52"/>
      <c r="AH12" s="52"/>
      <c r="AI12" s="52"/>
      <c r="AJ12" s="52"/>
      <c r="AK12" s="319"/>
      <c r="AL12" s="52"/>
      <c r="AM12" s="320"/>
      <c r="AP12" s="582" t="str">
        <f t="shared" si="0"/>
        <v>Добавить схему подключения</v>
      </c>
      <c r="AS12" s="538">
        <v>0</v>
      </c>
    </row>
    <row r="13" spans="5:45" ht="0.75" hidden="1" customHeight="1">
      <c r="E13" s="1195"/>
      <c r="F13" s="1195"/>
      <c r="G13" s="1194"/>
      <c r="S13" s="322"/>
      <c r="T13" s="323" t="s">
        <v>425</v>
      </c>
      <c r="U13" s="324"/>
      <c r="V13" s="324"/>
      <c r="W13" s="324"/>
      <c r="X13" s="324"/>
      <c r="Y13" s="324"/>
      <c r="Z13" s="324"/>
      <c r="AA13" s="324"/>
      <c r="AB13" s="324"/>
      <c r="AC13" s="324"/>
      <c r="AD13" s="324"/>
      <c r="AE13" s="324"/>
      <c r="AF13" s="324"/>
      <c r="AG13" s="324"/>
      <c r="AH13" s="324"/>
      <c r="AI13" s="324"/>
      <c r="AJ13" s="324"/>
      <c r="AK13" s="324"/>
      <c r="AL13" s="324"/>
      <c r="AM13" s="324"/>
      <c r="AP13" s="582" t="str">
        <f t="shared" si="0"/>
        <v>Добавить источник для дифференциации</v>
      </c>
      <c r="AS13" s="577">
        <v>0</v>
      </c>
    </row>
    <row r="14" spans="5:45" ht="0.75" hidden="1" customHeight="1">
      <c r="E14" s="1195"/>
      <c r="F14" s="1194"/>
      <c r="T14" s="325" t="s">
        <v>426</v>
      </c>
      <c r="AP14" s="582" t="str">
        <f t="shared" si="0"/>
        <v>Добавить централизованную систему для дифференциации</v>
      </c>
      <c r="AS14" s="577">
        <v>0</v>
      </c>
    </row>
    <row r="15" spans="5:45" ht="0.75" hidden="1" customHeight="1">
      <c r="E15" s="1194"/>
      <c r="T15" s="326" t="s">
        <v>427</v>
      </c>
      <c r="AP15" s="582" t="str">
        <f t="shared" si="0"/>
        <v>Добавить территорию для дифференциации</v>
      </c>
      <c r="AS15" s="577">
        <v>0</v>
      </c>
    </row>
    <row r="16" spans="5:45" ht="14.25" hidden="1" customHeight="1">
      <c r="AS16" s="538">
        <v>0</v>
      </c>
    </row>
    <row r="17" spans="15:45" ht="14.25" hidden="1" customHeight="1">
      <c r="AD17" s="275"/>
      <c r="AE17" s="275"/>
      <c r="AF17" s="275"/>
      <c r="AG17" s="327"/>
      <c r="AH17" s="1199"/>
      <c r="AI17" s="1200" t="s">
        <v>61</v>
      </c>
      <c r="AJ17" s="1199"/>
      <c r="AK17" s="1200" t="s">
        <v>61</v>
      </c>
      <c r="AS17" s="538">
        <v>0</v>
      </c>
    </row>
    <row r="18" spans="15:45" ht="14.25" hidden="1" customHeight="1">
      <c r="AD18" s="275"/>
      <c r="AE18" s="275"/>
      <c r="AF18" s="275"/>
      <c r="AG18" s="314" t="str">
        <f>AH17&amp;"-"&amp;AJ17</f>
        <v>-</v>
      </c>
      <c r="AH18" s="1200"/>
      <c r="AI18" s="1200"/>
      <c r="AJ18" s="1200"/>
      <c r="AK18" s="1200"/>
      <c r="AS18" s="538">
        <v>0</v>
      </c>
    </row>
    <row r="19" spans="15:45" ht="14.25" hidden="1" customHeight="1">
      <c r="AS19" s="538">
        <v>0</v>
      </c>
    </row>
    <row r="20" spans="15:45" ht="22.5" hidden="1" customHeight="1">
      <c r="O20" s="328" t="s">
        <v>428</v>
      </c>
      <c r="Z20" s="328"/>
      <c r="AB20" s="328"/>
      <c r="AH20" s="328"/>
      <c r="AJ20" s="328"/>
      <c r="AS20" s="555">
        <v>0</v>
      </c>
    </row>
    <row r="21" spans="15:45" ht="14.25" hidden="1" customHeight="1">
      <c r="AS21" s="555">
        <v>0</v>
      </c>
    </row>
    <row r="22" spans="15:45" ht="33.75" hidden="1" customHeight="1">
      <c r="O22" s="841" t="s">
        <v>429</v>
      </c>
      <c r="T22" s="555" t="s">
        <v>430</v>
      </c>
      <c r="AA22" s="598" t="s">
        <v>431</v>
      </c>
      <c r="AC22" s="598" t="s">
        <v>432</v>
      </c>
      <c r="AD22" s="555" t="s">
        <v>430</v>
      </c>
      <c r="AI22" s="598" t="s">
        <v>433</v>
      </c>
      <c r="AK22" s="598" t="s">
        <v>432</v>
      </c>
      <c r="AS22" s="555">
        <v>0</v>
      </c>
    </row>
    <row r="23" spans="15:45" ht="14.25" hidden="1" customHeight="1">
      <c r="AS23" s="538">
        <v>0</v>
      </c>
    </row>
    <row r="24" spans="15:45" ht="14.25" hidden="1" customHeight="1">
      <c r="AS24" s="538">
        <v>0</v>
      </c>
    </row>
    <row r="25" spans="15:45" ht="14.65" customHeight="1">
      <c r="Q25" s="756"/>
      <c r="R25" s="756"/>
      <c r="S25" s="847"/>
      <c r="T25" s="556"/>
      <c r="U25" s="556"/>
      <c r="AS25" s="538">
        <v>14</v>
      </c>
    </row>
    <row r="26" spans="15:45" ht="29.25" customHeight="1">
      <c r="Q26" s="756"/>
      <c r="R26" s="756"/>
      <c r="S26" s="11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178"/>
      <c r="U26" s="1178"/>
      <c r="V26" s="1178"/>
      <c r="W26" s="1178"/>
      <c r="X26" s="1178"/>
      <c r="Y26" s="1178"/>
      <c r="Z26" s="1178"/>
      <c r="AA26" s="1178"/>
      <c r="AB26" s="1178"/>
      <c r="AC26" s="1178"/>
      <c r="AD26" s="1178"/>
      <c r="AE26" s="1178"/>
      <c r="AF26" s="1178"/>
      <c r="AG26" s="1178"/>
      <c r="AH26" s="1178"/>
      <c r="AI26" s="1178"/>
      <c r="AJ26" s="1178"/>
      <c r="AS26" s="538">
        <v>28</v>
      </c>
    </row>
    <row r="27" spans="15:45" ht="14.65" customHeight="1">
      <c r="Q27" s="756"/>
      <c r="R27" s="756"/>
      <c r="S27" s="1127" t="str">
        <f>IF(org=0,"Не определено",org)</f>
        <v>АО "НИЖЕГОРОДСКИЙ ВОДОКАНАЛ"</v>
      </c>
      <c r="T27" s="1127"/>
      <c r="U27" s="1127"/>
      <c r="V27" s="1127"/>
      <c r="W27" s="1127"/>
      <c r="X27" s="1127"/>
      <c r="Y27" s="1127"/>
      <c r="Z27" s="1127"/>
      <c r="AA27" s="1127"/>
      <c r="AB27" s="1127"/>
      <c r="AC27" s="1127"/>
      <c r="AD27" s="1127"/>
      <c r="AE27" s="1127"/>
      <c r="AF27" s="1127"/>
      <c r="AG27" s="1127"/>
      <c r="AH27" s="1127"/>
      <c r="AI27" s="1127"/>
      <c r="AJ27" s="1127"/>
      <c r="AS27" s="538">
        <v>14</v>
      </c>
    </row>
    <row r="28" spans="15:45" ht="14.25" hidden="1" customHeight="1">
      <c r="Q28" s="756"/>
      <c r="R28" s="756"/>
      <c r="S28" s="847"/>
      <c r="T28" s="556"/>
      <c r="U28" s="556"/>
      <c r="V28" s="826"/>
      <c r="W28" s="826"/>
      <c r="X28" s="826"/>
      <c r="Y28" s="826"/>
      <c r="Z28" s="826"/>
      <c r="AA28" s="826"/>
      <c r="AB28" s="826"/>
      <c r="AC28" s="826"/>
      <c r="AD28" s="826"/>
      <c r="AE28" s="826"/>
      <c r="AF28" s="826"/>
      <c r="AG28" s="826"/>
      <c r="AH28" s="826"/>
      <c r="AI28" s="826"/>
      <c r="AJ28" s="826"/>
      <c r="AK28" s="826"/>
      <c r="AS28" s="538">
        <v>0</v>
      </c>
    </row>
    <row r="29" spans="15:45" ht="25.5" hidden="1" customHeight="1">
      <c r="S29" s="1186" t="s">
        <v>41</v>
      </c>
      <c r="T29" s="1186"/>
      <c r="U29" s="849"/>
      <c r="V29" s="1187" t="str">
        <f>IF(TITLE_NAME_OR_PR_CHANGE="",IF(TITLE_NAME_OR_PR="","",TITLE_NAME_OR_PR),TITLE_NAME_OR_PR_CHANGE)</f>
        <v/>
      </c>
      <c r="W29" s="1187"/>
      <c r="X29" s="1187"/>
      <c r="Y29" s="1187"/>
      <c r="Z29" s="1187"/>
      <c r="AA29" s="1187"/>
      <c r="AB29" s="1187"/>
      <c r="AD29" s="1187" t="str">
        <f>IF(TITLE_NAME_OR_PR_CHANGE="",IF(TITLE_NAME_OR_PR="","",TITLE_NAME_OR_PR),TITLE_NAME_OR_PR_CHANGE)</f>
        <v/>
      </c>
      <c r="AE29" s="1187"/>
      <c r="AF29" s="1187"/>
      <c r="AG29" s="1187"/>
      <c r="AH29" s="1187"/>
      <c r="AI29" s="1187"/>
      <c r="AJ29" s="1187"/>
      <c r="AS29" s="592">
        <v>0</v>
      </c>
    </row>
    <row r="30" spans="15:45" ht="18.75" hidden="1" customHeight="1">
      <c r="S30" s="1186" t="s">
        <v>434</v>
      </c>
      <c r="T30" s="1186"/>
      <c r="U30" s="849"/>
      <c r="V30" s="1196" t="str">
        <f>IF(TITLE_DATE_PR_CHANGE="",IF(TITLE_DATE_PR="","",TITLE_DATE_PR),TITLE_DATE_PR_CHANGE)</f>
        <v/>
      </c>
      <c r="W30" s="1196"/>
      <c r="X30" s="1196"/>
      <c r="Y30" s="1196"/>
      <c r="Z30" s="1196"/>
      <c r="AA30" s="1196"/>
      <c r="AB30" s="1196"/>
      <c r="AD30" s="1196" t="str">
        <f>IF(TITLE_DATE_PR_CHANGE="",IF(TITLE_DATE_PR="","",TITLE_DATE_PR),TITLE_DATE_PR_CHANGE)</f>
        <v/>
      </c>
      <c r="AE30" s="1196"/>
      <c r="AF30" s="1196"/>
      <c r="AG30" s="1196"/>
      <c r="AH30" s="1196"/>
      <c r="AI30" s="1196"/>
      <c r="AJ30" s="1196"/>
      <c r="AS30" s="592">
        <v>0</v>
      </c>
    </row>
    <row r="31" spans="15:45" ht="18.75" hidden="1" customHeight="1">
      <c r="S31" s="1186" t="s">
        <v>435</v>
      </c>
      <c r="T31" s="1186"/>
      <c r="U31" s="849"/>
      <c r="V31" s="1187" t="str">
        <f>IF(TITLE_NUMBER_PR_CHANGE="",IF(TITLE_NUMBER_PR="","",TITLE_NUMBER_PR),TITLE_NUMBER_PR_CHANGE)</f>
        <v/>
      </c>
      <c r="W31" s="1187"/>
      <c r="X31" s="1187"/>
      <c r="Y31" s="1187"/>
      <c r="Z31" s="1187"/>
      <c r="AA31" s="1187"/>
      <c r="AB31" s="1187"/>
      <c r="AD31" s="1187" t="str">
        <f>IF(TITLE_NUMBER_PR_CHANGE="",IF(TITLE_NUMBER_PR="","",TITLE_NUMBER_PR),TITLE_NUMBER_PR_CHANGE)</f>
        <v/>
      </c>
      <c r="AE31" s="1187"/>
      <c r="AF31" s="1187"/>
      <c r="AG31" s="1187"/>
      <c r="AH31" s="1187"/>
      <c r="AI31" s="1187"/>
      <c r="AJ31" s="1187"/>
      <c r="AS31" s="592">
        <v>0</v>
      </c>
    </row>
    <row r="32" spans="15:45" ht="18.75" hidden="1" customHeight="1">
      <c r="S32" s="1186" t="s">
        <v>42</v>
      </c>
      <c r="T32" s="1186"/>
      <c r="U32" s="849"/>
      <c r="V32" s="1187" t="str">
        <f>IF(TITLE_IST_PUB_CHANGE="",IF(TITLE_IST_PUB="","",TITLE_IST_PUB),TITLE_IST_PUB_CHANGE)</f>
        <v/>
      </c>
      <c r="W32" s="1187"/>
      <c r="X32" s="1187"/>
      <c r="Y32" s="1187"/>
      <c r="Z32" s="1187"/>
      <c r="AA32" s="1187"/>
      <c r="AB32" s="1187"/>
      <c r="AD32" s="1187" t="str">
        <f>IF(TITLE_IST_PUB_CHANGE="",IF(TITLE_IST_PUB="","",TITLE_IST_PUB),TITLE_IST_PUB_CHANGE)</f>
        <v/>
      </c>
      <c r="AE32" s="1187"/>
      <c r="AF32" s="1187"/>
      <c r="AG32" s="1187"/>
      <c r="AH32" s="1187"/>
      <c r="AI32" s="1187"/>
      <c r="AJ32" s="1187"/>
      <c r="AS32" s="592">
        <v>0</v>
      </c>
    </row>
    <row r="33" spans="1:45" ht="14.25" hidden="1" customHeight="1">
      <c r="Q33" s="756"/>
      <c r="R33" s="756"/>
      <c r="S33" s="847"/>
      <c r="T33" s="556"/>
      <c r="U33" s="556"/>
      <c r="V33" s="826"/>
      <c r="W33" s="826"/>
      <c r="X33" s="826"/>
      <c r="Y33" s="826"/>
      <c r="Z33" s="826"/>
      <c r="AA33" s="826"/>
      <c r="AB33" s="826"/>
      <c r="AC33" s="826"/>
      <c r="AD33" s="826"/>
      <c r="AE33" s="826"/>
      <c r="AF33" s="826"/>
      <c r="AG33" s="826"/>
      <c r="AH33" s="826"/>
      <c r="AI33" s="826"/>
      <c r="AJ33" s="826"/>
      <c r="AK33" s="826"/>
      <c r="AS33" s="538">
        <v>0</v>
      </c>
    </row>
    <row r="34" spans="1:45" ht="18.75" hidden="1" customHeight="1">
      <c r="S34" s="1186" t="s">
        <v>436</v>
      </c>
      <c r="T34" s="1186"/>
      <c r="U34" s="849"/>
      <c r="V34" s="1196" t="str">
        <f>IF(TITLE_DATE_PR_CHANGE="",IF(TITLE_DATE_PR="","",TITLE_DATE_PR),TITLE_DATE_PR_CHANGE)</f>
        <v/>
      </c>
      <c r="W34" s="1196"/>
      <c r="X34" s="1196"/>
      <c r="Y34" s="1196"/>
      <c r="Z34" s="1196"/>
      <c r="AA34" s="1196"/>
      <c r="AB34" s="1196"/>
      <c r="AD34" s="1196" t="str">
        <f>IF(TITLE_DATE_PR_CHANGE="",IF(TITLE_DATE_PR="","",TITLE_DATE_PR),TITLE_DATE_PR_CHANGE)</f>
        <v/>
      </c>
      <c r="AE34" s="1196"/>
      <c r="AF34" s="1196"/>
      <c r="AG34" s="1196"/>
      <c r="AH34" s="1196"/>
      <c r="AI34" s="1196"/>
      <c r="AJ34" s="1196"/>
      <c r="AS34" s="592">
        <v>0</v>
      </c>
    </row>
    <row r="35" spans="1:45" ht="18.75" hidden="1" customHeight="1">
      <c r="S35" s="1186" t="s">
        <v>437</v>
      </c>
      <c r="T35" s="1186"/>
      <c r="U35" s="849"/>
      <c r="V35" s="1187" t="str">
        <f>IF(TITLE_NUMBER_PR_CHANGE="",IF(TITLE_NUMBER_PR="","",TITLE_NUMBER_PR),TITLE_NUMBER_PR_CHANGE)</f>
        <v/>
      </c>
      <c r="W35" s="1187"/>
      <c r="X35" s="1187"/>
      <c r="Y35" s="1187"/>
      <c r="Z35" s="1187"/>
      <c r="AA35" s="1187"/>
      <c r="AB35" s="1187"/>
      <c r="AD35" s="1187" t="str">
        <f>IF(TITLE_NUMBER_PR_CHANGE="",IF(TITLE_NUMBER_PR="","",TITLE_NUMBER_PR),TITLE_NUMBER_PR_CHANGE)</f>
        <v/>
      </c>
      <c r="AE35" s="1187"/>
      <c r="AF35" s="1187"/>
      <c r="AG35" s="1187"/>
      <c r="AH35" s="1187"/>
      <c r="AI35" s="1187"/>
      <c r="AJ35" s="1187"/>
      <c r="AS35" s="592">
        <v>0</v>
      </c>
    </row>
    <row r="36" spans="1:45" ht="0" hidden="1" customHeight="1">
      <c r="AC36" s="577" t="s">
        <v>438</v>
      </c>
      <c r="AK36" s="577" t="s">
        <v>438</v>
      </c>
      <c r="AS36" s="592">
        <v>0</v>
      </c>
    </row>
    <row r="37" spans="1:45" ht="14.65" customHeight="1">
      <c r="Q37" s="756"/>
      <c r="R37" s="756"/>
      <c r="S37" s="847"/>
      <c r="T37" s="556"/>
      <c r="U37" s="850"/>
      <c r="V37" s="1188"/>
      <c r="W37" s="1188"/>
      <c r="X37" s="1188"/>
      <c r="Y37" s="1188"/>
      <c r="Z37" s="1188"/>
      <c r="AA37" s="1188"/>
      <c r="AB37" s="1188"/>
      <c r="AC37" s="1188"/>
      <c r="AD37" s="1188"/>
      <c r="AE37" s="1188"/>
      <c r="AF37" s="1188"/>
      <c r="AG37" s="1188"/>
      <c r="AH37" s="1188"/>
      <c r="AI37" s="1188"/>
      <c r="AJ37" s="1188"/>
      <c r="AK37" s="1188"/>
      <c r="AS37" s="538">
        <v>14</v>
      </c>
    </row>
    <row r="38" spans="1:45" ht="14.65" customHeight="1">
      <c r="Q38" s="756"/>
      <c r="R38" s="756"/>
      <c r="S38" s="1066" t="s">
        <v>311</v>
      </c>
      <c r="T38" s="1066"/>
      <c r="U38" s="1066"/>
      <c r="V38" s="1066"/>
      <c r="W38" s="1066"/>
      <c r="X38" s="1066"/>
      <c r="Y38" s="1066"/>
      <c r="Z38" s="1066"/>
      <c r="AA38" s="1066"/>
      <c r="AB38" s="1066"/>
      <c r="AC38" s="1066"/>
      <c r="AD38" s="1066"/>
      <c r="AE38" s="1066"/>
      <c r="AF38" s="1066"/>
      <c r="AG38" s="1066"/>
      <c r="AH38" s="1066"/>
      <c r="AI38" s="1066"/>
      <c r="AJ38" s="1066"/>
      <c r="AK38" s="1066"/>
      <c r="AL38" s="1066"/>
      <c r="AM38" s="1066" t="s">
        <v>312</v>
      </c>
      <c r="AS38" s="538">
        <v>14</v>
      </c>
    </row>
    <row r="39" spans="1:45" ht="14.65" customHeight="1">
      <c r="Q39" s="756"/>
      <c r="R39" s="756"/>
      <c r="S39" s="1202" t="s">
        <v>87</v>
      </c>
      <c r="T39" s="1154" t="s">
        <v>439</v>
      </c>
      <c r="U39" s="817"/>
      <c r="V39" s="1203" t="s">
        <v>440</v>
      </c>
      <c r="W39" s="1204"/>
      <c r="X39" s="1219"/>
      <c r="Y39" s="1219"/>
      <c r="Z39" s="1204"/>
      <c r="AA39" s="1204"/>
      <c r="AB39" s="1205"/>
      <c r="AC39" s="1206" t="s">
        <v>441</v>
      </c>
      <c r="AD39" s="1203" t="s">
        <v>440</v>
      </c>
      <c r="AE39" s="1204"/>
      <c r="AF39" s="1219"/>
      <c r="AG39" s="1219"/>
      <c r="AH39" s="1204"/>
      <c r="AI39" s="1204"/>
      <c r="AJ39" s="1205"/>
      <c r="AK39" s="1206" t="s">
        <v>442</v>
      </c>
      <c r="AL39" s="1209" t="s">
        <v>443</v>
      </c>
      <c r="AM39" s="1066"/>
      <c r="AS39" s="538">
        <v>14</v>
      </c>
    </row>
    <row r="40" spans="1:45" ht="24" customHeight="1">
      <c r="Q40" s="756"/>
      <c r="R40" s="756"/>
      <c r="S40" s="1202"/>
      <c r="T40" s="1154"/>
      <c r="U40" s="822"/>
      <c r="V40" s="1220" t="s">
        <v>444</v>
      </c>
      <c r="W40" s="1141" t="s">
        <v>445</v>
      </c>
      <c r="X40" s="634" t="s">
        <v>446</v>
      </c>
      <c r="Y40" s="634"/>
      <c r="Z40" s="1053" t="s">
        <v>447</v>
      </c>
      <c r="AA40" s="1053"/>
      <c r="AB40" s="1047"/>
      <c r="AC40" s="1207"/>
      <c r="AD40" s="1220" t="s">
        <v>444</v>
      </c>
      <c r="AE40" s="1141" t="s">
        <v>445</v>
      </c>
      <c r="AF40" s="634" t="s">
        <v>446</v>
      </c>
      <c r="AG40" s="634"/>
      <c r="AH40" s="1053" t="s">
        <v>447</v>
      </c>
      <c r="AI40" s="1053"/>
      <c r="AJ40" s="1047"/>
      <c r="AK40" s="1207"/>
      <c r="AL40" s="1210"/>
      <c r="AM40" s="1066"/>
      <c r="AS40" s="538">
        <v>23</v>
      </c>
    </row>
    <row r="41" spans="1:45" ht="24" customHeight="1">
      <c r="B41" s="598" t="s">
        <v>148</v>
      </c>
      <c r="C41" s="598" t="s">
        <v>149</v>
      </c>
      <c r="D41" s="598" t="s">
        <v>150</v>
      </c>
      <c r="E41" s="841" t="s">
        <v>448</v>
      </c>
      <c r="F41" s="841" t="s">
        <v>449</v>
      </c>
      <c r="G41" s="841" t="s">
        <v>450</v>
      </c>
      <c r="H41" s="841" t="s">
        <v>451</v>
      </c>
      <c r="I41" s="841" t="s">
        <v>452</v>
      </c>
      <c r="J41" s="841" t="s">
        <v>453</v>
      </c>
      <c r="K41" s="841" t="s">
        <v>454</v>
      </c>
      <c r="L41" s="841" t="s">
        <v>429</v>
      </c>
      <c r="Q41" s="756"/>
      <c r="R41" s="756"/>
      <c r="S41" s="1202"/>
      <c r="T41" s="1154"/>
      <c r="U41" s="852"/>
      <c r="V41" s="1221"/>
      <c r="W41" s="1146"/>
      <c r="X41" s="584" t="s">
        <v>455</v>
      </c>
      <c r="Y41" s="584" t="s">
        <v>456</v>
      </c>
      <c r="Z41" s="674" t="s">
        <v>457</v>
      </c>
      <c r="AA41" s="1162" t="s">
        <v>458</v>
      </c>
      <c r="AB41" s="1164"/>
      <c r="AC41" s="1208"/>
      <c r="AD41" s="1221"/>
      <c r="AE41" s="1146"/>
      <c r="AF41" s="584" t="s">
        <v>455</v>
      </c>
      <c r="AG41" s="584" t="s">
        <v>456</v>
      </c>
      <c r="AH41" s="674" t="s">
        <v>457</v>
      </c>
      <c r="AI41" s="1162" t="s">
        <v>458</v>
      </c>
      <c r="AJ41" s="1164"/>
      <c r="AK41" s="1208"/>
      <c r="AL41" s="1211"/>
      <c r="AM41" s="1066"/>
      <c r="AS41" s="600">
        <v>23</v>
      </c>
    </row>
    <row r="42" spans="1:45" ht="11.25" hidden="1" customHeight="1">
      <c r="Q42" s="853"/>
      <c r="R42" s="854">
        <v>1</v>
      </c>
      <c r="S42" s="329" t="s">
        <v>114</v>
      </c>
      <c r="T42" s="330" t="s">
        <v>102</v>
      </c>
      <c r="U42" s="855" t="str">
        <f ca="1">OFFSET(U42,0,-1)</f>
        <v>2</v>
      </c>
      <c r="V42" s="856">
        <f ca="1">OFFSET(V42,0,-1)+1</f>
        <v>3</v>
      </c>
      <c r="W42" s="856"/>
      <c r="X42" s="680">
        <f ca="1">OFFSET(X42,0,-1)+1</f>
        <v>1</v>
      </c>
      <c r="Y42" s="680">
        <f ca="1">OFFSET(Y42,0,-1)+1</f>
        <v>2</v>
      </c>
      <c r="Z42" s="856">
        <f ca="1">OFFSET(Z42,0,-1)+1</f>
        <v>3</v>
      </c>
      <c r="AA42" s="1201">
        <f ca="1">OFFSET(AA42,0,-1)+1</f>
        <v>4</v>
      </c>
      <c r="AB42" s="1201"/>
      <c r="AC42" s="856">
        <f ca="1">OFFSET(AC42,0,-2)+1</f>
        <v>5</v>
      </c>
      <c r="AD42" s="856">
        <f ca="1">OFFSET(AD42,0,-1)+1</f>
        <v>6</v>
      </c>
      <c r="AE42" s="856"/>
      <c r="AF42" s="680">
        <f ca="1">OFFSET(AF42,0,-1)+1</f>
        <v>1</v>
      </c>
      <c r="AG42" s="680">
        <f ca="1">OFFSET(AG42,0,-1)+1</f>
        <v>2</v>
      </c>
      <c r="AH42" s="856">
        <f ca="1">OFFSET(AH42,0,-1)+1</f>
        <v>3</v>
      </c>
      <c r="AI42" s="1201">
        <f ca="1">OFFSET(AI42,0,-1)+1</f>
        <v>4</v>
      </c>
      <c r="AJ42" s="1201"/>
      <c r="AK42" s="856">
        <f ca="1">OFFSET(AK42,0,-2)+1</f>
        <v>5</v>
      </c>
      <c r="AL42" s="855">
        <f ca="1">OFFSET(AL42,0,-1)</f>
        <v>5</v>
      </c>
      <c r="AM42" s="856">
        <f ca="1">OFFSET(AM42,0,-1)+1</f>
        <v>6</v>
      </c>
      <c r="AS42" s="681">
        <v>0</v>
      </c>
    </row>
    <row r="43" spans="1:45" ht="21.95" customHeight="1">
      <c r="A43" s="857" t="s">
        <v>205</v>
      </c>
      <c r="E43" s="1194">
        <v>1</v>
      </c>
      <c r="R43" s="310"/>
      <c r="S43" s="832">
        <f>INDEX(PT_DIFFERENTIATION_NUM_NTAR,MATCH(A43,PT_DIFFERENTIATION_NTAR_ID,0))</f>
        <v>0</v>
      </c>
      <c r="T43" s="795" t="s">
        <v>136</v>
      </c>
      <c r="U43" s="833"/>
      <c r="V43" s="1180"/>
      <c r="W43" s="1181"/>
      <c r="X43" s="1181"/>
      <c r="Y43" s="1181"/>
      <c r="Z43" s="1181"/>
      <c r="AA43" s="1181"/>
      <c r="AB43" s="1181"/>
      <c r="AC43" s="1182"/>
      <c r="AD43" s="1180" t="str">
        <f>INDEX(PT_DIFFERENTIATION_NTAR,MATCH(A43,PT_DIFFERENTIATION_NTAR_ID,0))</f>
        <v/>
      </c>
      <c r="AE43" s="1181"/>
      <c r="AF43" s="1181"/>
      <c r="AG43" s="1181"/>
      <c r="AH43" s="1181"/>
      <c r="AI43" s="1181"/>
      <c r="AJ43" s="1181"/>
      <c r="AK43" s="1181"/>
      <c r="AL43" s="1182"/>
      <c r="AM43" s="83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582" t="str">
        <f t="shared" ref="AP43:AP57" si="1">IF(T43="","",T43)</f>
        <v>Наименование тарифа</v>
      </c>
      <c r="AS43" s="538">
        <v>21</v>
      </c>
    </row>
    <row r="44" spans="1:45" ht="21.95" customHeight="1">
      <c r="A44" s="857" t="s">
        <v>205</v>
      </c>
      <c r="B44" s="857" t="s">
        <v>206</v>
      </c>
      <c r="E44" s="1195"/>
      <c r="F44" s="1194">
        <v>1</v>
      </c>
      <c r="Q44" s="836"/>
      <c r="R44" s="837"/>
      <c r="S44" s="832" t="str">
        <f>INDEX(PT_DIFFERENTIATION_NUM_TER,MATCH(B44,PT_DIFFERENTIATION_TER_ID,0))</f>
        <v>.</v>
      </c>
      <c r="T44" s="838" t="s">
        <v>408</v>
      </c>
      <c r="U44" s="833"/>
      <c r="V44" s="1180"/>
      <c r="W44" s="1181"/>
      <c r="X44" s="1181"/>
      <c r="Y44" s="1181"/>
      <c r="Z44" s="1181"/>
      <c r="AA44" s="1181"/>
      <c r="AB44" s="1181"/>
      <c r="AC44" s="1182"/>
      <c r="AD44" s="1180" t="str">
        <f>INDEX(PT_DIFFERENTIATION_TER,MATCH(B44,PT_DIFFERENTIATION_TER_ID,0))</f>
        <v/>
      </c>
      <c r="AE44" s="1181"/>
      <c r="AF44" s="1181"/>
      <c r="AG44" s="1181"/>
      <c r="AH44" s="1181"/>
      <c r="AI44" s="1181"/>
      <c r="AJ44" s="1181"/>
      <c r="AK44" s="1181"/>
      <c r="AL44" s="1182"/>
      <c r="AM44" s="835" t="s">
        <v>409</v>
      </c>
      <c r="AP44" s="582" t="str">
        <f t="shared" si="1"/>
        <v>Территория действия тарифа</v>
      </c>
      <c r="AS44" s="538">
        <v>21</v>
      </c>
    </row>
    <row r="45" spans="1:45" ht="24" customHeight="1">
      <c r="A45" s="857" t="s">
        <v>205</v>
      </c>
      <c r="B45" s="857" t="s">
        <v>206</v>
      </c>
      <c r="C45" s="857" t="s">
        <v>207</v>
      </c>
      <c r="E45" s="1195"/>
      <c r="F45" s="1195"/>
      <c r="G45" s="1194">
        <v>1</v>
      </c>
      <c r="Q45" s="836"/>
      <c r="R45" s="837"/>
      <c r="S45" s="832" t="str">
        <f>INDEX(PT_DIFFERENTIATION_NUM_CS,MATCH(C45,PT_DIFFERENTIATION_CS_ID,0))</f>
        <v>..</v>
      </c>
      <c r="T45" s="839" t="s">
        <v>410</v>
      </c>
      <c r="U45" s="833"/>
      <c r="V45" s="1180"/>
      <c r="W45" s="1181"/>
      <c r="X45" s="1181"/>
      <c r="Y45" s="1181"/>
      <c r="Z45" s="1181"/>
      <c r="AA45" s="1181"/>
      <c r="AB45" s="1181"/>
      <c r="AC45" s="1182"/>
      <c r="AD45" s="1180" t="str">
        <f>INDEX(PT_DIFFERENTIATION_CS,MATCH(C45,PT_DIFFERENTIATION_CS_ID,0))</f>
        <v/>
      </c>
      <c r="AE45" s="1181"/>
      <c r="AF45" s="1181"/>
      <c r="AG45" s="1181"/>
      <c r="AH45" s="1181"/>
      <c r="AI45" s="1181"/>
      <c r="AJ45" s="1181"/>
      <c r="AK45" s="1181"/>
      <c r="AL45" s="1182"/>
      <c r="AM45" s="835" t="s">
        <v>411</v>
      </c>
      <c r="AP45" s="582" t="str">
        <f t="shared" si="1"/>
        <v xml:space="preserve">Наименование системы теплоснабжения </v>
      </c>
      <c r="AS45" s="538">
        <v>23</v>
      </c>
    </row>
    <row r="46" spans="1:45" ht="21.95" customHeight="1">
      <c r="A46" s="857" t="s">
        <v>205</v>
      </c>
      <c r="B46" s="857" t="s">
        <v>206</v>
      </c>
      <c r="C46" s="857" t="s">
        <v>207</v>
      </c>
      <c r="D46" s="857" t="s">
        <v>208</v>
      </c>
      <c r="E46" s="1195"/>
      <c r="F46" s="1195"/>
      <c r="G46" s="1195"/>
      <c r="H46" s="1194">
        <v>1</v>
      </c>
      <c r="Q46" s="836"/>
      <c r="R46" s="837"/>
      <c r="S46" s="832" t="str">
        <f>INDEX(PT_DIFFERENTIATION_NUM_IST_TE,MATCH(D46,PT_DIFFERENTIATION_IST_TE_ID,0))</f>
        <v>...</v>
      </c>
      <c r="T46" s="840" t="s">
        <v>412</v>
      </c>
      <c r="U46" s="833"/>
      <c r="V46" s="1180"/>
      <c r="W46" s="1181"/>
      <c r="X46" s="1181"/>
      <c r="Y46" s="1181"/>
      <c r="Z46" s="1181"/>
      <c r="AA46" s="1181"/>
      <c r="AB46" s="1181"/>
      <c r="AC46" s="1182"/>
      <c r="AD46" s="1180" t="str">
        <f>INDEX(PT_DIFFERENTIATION_IST_TE,MATCH(D46,PT_DIFFERENTIATION_IST_TE_ID,0))</f>
        <v/>
      </c>
      <c r="AE46" s="1181"/>
      <c r="AF46" s="1181"/>
      <c r="AG46" s="1181"/>
      <c r="AH46" s="1181"/>
      <c r="AI46" s="1181"/>
      <c r="AJ46" s="1181"/>
      <c r="AK46" s="1181"/>
      <c r="AL46" s="1182"/>
      <c r="AM46" s="835" t="s">
        <v>413</v>
      </c>
      <c r="AP46" s="582" t="str">
        <f t="shared" si="1"/>
        <v xml:space="preserve">Источник тепловой энергии  </v>
      </c>
      <c r="AS46" s="538">
        <v>21</v>
      </c>
    </row>
    <row r="47" spans="1:45" ht="49.5" customHeight="1">
      <c r="A47" s="857" t="s">
        <v>205</v>
      </c>
      <c r="B47" s="857" t="s">
        <v>206</v>
      </c>
      <c r="C47" s="857" t="s">
        <v>207</v>
      </c>
      <c r="D47" s="857" t="s">
        <v>208</v>
      </c>
      <c r="E47" s="1195"/>
      <c r="F47" s="1195"/>
      <c r="G47" s="1195"/>
      <c r="H47" s="1195"/>
      <c r="I47" s="1192" t="str">
        <f>S46&amp;".1"</f>
        <v>....1</v>
      </c>
      <c r="L47" s="841" t="s">
        <v>414</v>
      </c>
      <c r="P47" s="1193">
        <v>1</v>
      </c>
      <c r="R47" s="842"/>
      <c r="S47" s="832" t="str">
        <f>$I47</f>
        <v>....1</v>
      </c>
      <c r="T47" s="843" t="s">
        <v>415</v>
      </c>
      <c r="U47" s="833"/>
      <c r="V47" s="1183"/>
      <c r="W47" s="1184"/>
      <c r="X47" s="1184"/>
      <c r="Y47" s="1184"/>
      <c r="Z47" s="1184"/>
      <c r="AA47" s="1184"/>
      <c r="AB47" s="1184"/>
      <c r="AC47" s="1185"/>
      <c r="AD47" s="1183"/>
      <c r="AE47" s="1184"/>
      <c r="AF47" s="1184"/>
      <c r="AG47" s="1184"/>
      <c r="AH47" s="1184"/>
      <c r="AI47" s="1184"/>
      <c r="AJ47" s="1184"/>
      <c r="AK47" s="1184"/>
      <c r="AL47" s="1185"/>
      <c r="AM47" s="835" t="s">
        <v>416</v>
      </c>
      <c r="AP47" s="582" t="str">
        <f t="shared" si="1"/>
        <v>Схема подключения теплопотребляющей установки к коллектору источника тепловой энергии</v>
      </c>
      <c r="AS47" s="538">
        <v>47</v>
      </c>
    </row>
    <row r="48" spans="1:45" ht="21.95" customHeight="1">
      <c r="A48" s="857" t="s">
        <v>205</v>
      </c>
      <c r="B48" s="857" t="s">
        <v>206</v>
      </c>
      <c r="C48" s="857" t="s">
        <v>207</v>
      </c>
      <c r="D48" s="857" t="s">
        <v>208</v>
      </c>
      <c r="E48" s="1195"/>
      <c r="F48" s="1195"/>
      <c r="G48" s="1195"/>
      <c r="H48" s="1195"/>
      <c r="I48" s="1214"/>
      <c r="J48" s="1192" t="str">
        <f>I47&amp;".1"</f>
        <v>....1.1</v>
      </c>
      <c r="L48" s="841" t="s">
        <v>417</v>
      </c>
      <c r="P48" s="1031"/>
      <c r="Q48" s="1193">
        <v>1</v>
      </c>
      <c r="R48" s="844"/>
      <c r="S48" s="832" t="str">
        <f>$J48</f>
        <v>....1.1</v>
      </c>
      <c r="T48" s="845" t="s">
        <v>418</v>
      </c>
      <c r="U48" s="833"/>
      <c r="V48" s="1183"/>
      <c r="W48" s="1184"/>
      <c r="X48" s="1184"/>
      <c r="Y48" s="1184"/>
      <c r="Z48" s="1184"/>
      <c r="AA48" s="1184"/>
      <c r="AB48" s="1184"/>
      <c r="AC48" s="1185"/>
      <c r="AD48" s="1183"/>
      <c r="AE48" s="1184"/>
      <c r="AF48" s="1184"/>
      <c r="AG48" s="1184"/>
      <c r="AH48" s="1184"/>
      <c r="AI48" s="1184"/>
      <c r="AJ48" s="1184"/>
      <c r="AK48" s="1184"/>
      <c r="AL48" s="1185"/>
      <c r="AM48" s="835" t="s">
        <v>419</v>
      </c>
      <c r="AP48" s="582" t="str">
        <f t="shared" si="1"/>
        <v>Группа потребителей</v>
      </c>
      <c r="AS48" s="538">
        <v>21</v>
      </c>
    </row>
    <row r="49" spans="1:45" ht="21.95" customHeight="1">
      <c r="A49" s="857" t="s">
        <v>205</v>
      </c>
      <c r="B49" s="857" t="s">
        <v>206</v>
      </c>
      <c r="C49" s="857" t="s">
        <v>207</v>
      </c>
      <c r="D49" s="857" t="s">
        <v>208</v>
      </c>
      <c r="E49" s="1195"/>
      <c r="F49" s="1195"/>
      <c r="G49" s="1195"/>
      <c r="H49" s="1195"/>
      <c r="I49" s="1214"/>
      <c r="J49" s="1214"/>
      <c r="K49" s="1192" t="str">
        <f>J48&amp;".1"</f>
        <v>....1.1.1</v>
      </c>
      <c r="L49" s="841" t="s">
        <v>420</v>
      </c>
      <c r="P49" s="1031"/>
      <c r="Q49" s="1031"/>
      <c r="R49" s="844">
        <v>1</v>
      </c>
      <c r="S49" s="832" t="str">
        <f>$K49</f>
        <v>....1.1.1</v>
      </c>
      <c r="T49" s="846"/>
      <c r="U49" s="833"/>
      <c r="V49" s="312"/>
      <c r="W49" s="311"/>
      <c r="X49" s="312"/>
      <c r="Y49" s="333"/>
      <c r="Z49" s="1197"/>
      <c r="AA49" s="1058" t="s">
        <v>61</v>
      </c>
      <c r="AB49" s="1197"/>
      <c r="AC49" s="1058" t="s">
        <v>61</v>
      </c>
      <c r="AD49" s="312"/>
      <c r="AE49" s="311"/>
      <c r="AF49" s="312"/>
      <c r="AG49" s="333"/>
      <c r="AH49" s="1197"/>
      <c r="AI49" s="1058" t="s">
        <v>61</v>
      </c>
      <c r="AJ49" s="1215"/>
      <c r="AK49" s="1058" t="s">
        <v>61</v>
      </c>
      <c r="AL49" s="331"/>
      <c r="AM49" s="1189" t="s">
        <v>421</v>
      </c>
      <c r="AN49" s="577" t="e">
        <f ca="1">STRCHECKDATE(V50:AL50)</f>
        <v>#NAME?</v>
      </c>
      <c r="AP49" s="582" t="str">
        <f t="shared" si="1"/>
        <v/>
      </c>
      <c r="AS49" s="538">
        <v>21</v>
      </c>
    </row>
    <row r="50" spans="1:45" ht="1.1499999999999999" customHeight="1">
      <c r="A50" s="857" t="s">
        <v>205</v>
      </c>
      <c r="B50" s="857" t="s">
        <v>206</v>
      </c>
      <c r="C50" s="857" t="s">
        <v>207</v>
      </c>
      <c r="D50" s="857" t="s">
        <v>208</v>
      </c>
      <c r="E50" s="1195"/>
      <c r="F50" s="1195"/>
      <c r="G50" s="1195"/>
      <c r="H50" s="1195"/>
      <c r="I50" s="1214"/>
      <c r="J50" s="1214"/>
      <c r="K50" s="1192"/>
      <c r="P50" s="1031"/>
      <c r="Q50" s="1031"/>
      <c r="R50" s="844"/>
      <c r="S50" s="127"/>
      <c r="T50" s="833"/>
      <c r="U50" s="833"/>
      <c r="V50" s="312"/>
      <c r="W50" s="312"/>
      <c r="X50" s="312"/>
      <c r="Y50" s="314" t="str">
        <f>Z49&amp;"-"&amp;AB49</f>
        <v>-</v>
      </c>
      <c r="Z50" s="1198"/>
      <c r="AA50" s="1058"/>
      <c r="AB50" s="1198"/>
      <c r="AC50" s="1058"/>
      <c r="AD50" s="312"/>
      <c r="AE50" s="312"/>
      <c r="AF50" s="312"/>
      <c r="AG50" s="314" t="str">
        <f>AH49&amp;"-"&amp;AJ49</f>
        <v>-</v>
      </c>
      <c r="AH50" s="1198"/>
      <c r="AI50" s="1058"/>
      <c r="AJ50" s="1216"/>
      <c r="AK50" s="1058"/>
      <c r="AL50" s="332"/>
      <c r="AM50" s="1190"/>
      <c r="AP50" s="582" t="str">
        <f t="shared" si="1"/>
        <v/>
      </c>
      <c r="AS50" s="538">
        <v>1</v>
      </c>
    </row>
    <row r="51" spans="1:45" ht="11.45" customHeight="1">
      <c r="A51" s="857" t="s">
        <v>205</v>
      </c>
      <c r="B51" s="857" t="s">
        <v>206</v>
      </c>
      <c r="C51" s="857" t="s">
        <v>207</v>
      </c>
      <c r="D51" s="857" t="s">
        <v>208</v>
      </c>
      <c r="E51" s="1195"/>
      <c r="F51" s="1195"/>
      <c r="G51" s="1195"/>
      <c r="H51" s="1195"/>
      <c r="I51" s="1214"/>
      <c r="J51" s="1192"/>
      <c r="P51" s="1031"/>
      <c r="Q51" s="1031"/>
      <c r="R51" s="842"/>
      <c r="S51" s="315"/>
      <c r="T51" s="316" t="s">
        <v>422</v>
      </c>
      <c r="U51" s="52"/>
      <c r="V51" s="52"/>
      <c r="W51" s="52"/>
      <c r="X51" s="52"/>
      <c r="Y51" s="52"/>
      <c r="Z51" s="52"/>
      <c r="AA51" s="52"/>
      <c r="AB51" s="52"/>
      <c r="AC51" s="52"/>
      <c r="AD51" s="52"/>
      <c r="AE51" s="52"/>
      <c r="AF51" s="52"/>
      <c r="AG51" s="52"/>
      <c r="AH51" s="52"/>
      <c r="AI51" s="52"/>
      <c r="AJ51" s="52"/>
      <c r="AK51" s="52"/>
      <c r="AL51" s="317"/>
      <c r="AM51" s="1191"/>
      <c r="AP51" s="582" t="str">
        <f t="shared" si="1"/>
        <v>Добавить вид теплоносителя (параметры теплоносителя)</v>
      </c>
      <c r="AS51" s="538">
        <v>11</v>
      </c>
    </row>
    <row r="52" spans="1:45" ht="11.45" customHeight="1">
      <c r="A52" s="857" t="s">
        <v>205</v>
      </c>
      <c r="B52" s="857" t="s">
        <v>206</v>
      </c>
      <c r="C52" s="857" t="s">
        <v>207</v>
      </c>
      <c r="D52" s="857" t="s">
        <v>208</v>
      </c>
      <c r="E52" s="1195"/>
      <c r="F52" s="1195"/>
      <c r="G52" s="1195"/>
      <c r="H52" s="1195"/>
      <c r="I52" s="1192"/>
      <c r="P52" s="1031"/>
      <c r="R52" s="842"/>
      <c r="S52" s="315"/>
      <c r="T52" s="318" t="s">
        <v>423</v>
      </c>
      <c r="U52" s="52"/>
      <c r="V52" s="52"/>
      <c r="W52" s="52"/>
      <c r="X52" s="52"/>
      <c r="Y52" s="52"/>
      <c r="Z52" s="52"/>
      <c r="AA52" s="52"/>
      <c r="AB52" s="52"/>
      <c r="AC52" s="319"/>
      <c r="AD52" s="52"/>
      <c r="AE52" s="52"/>
      <c r="AF52" s="52"/>
      <c r="AG52" s="52"/>
      <c r="AH52" s="52"/>
      <c r="AI52" s="52"/>
      <c r="AJ52" s="52"/>
      <c r="AK52" s="319"/>
      <c r="AL52" s="52"/>
      <c r="AM52" s="320"/>
      <c r="AP52" s="582" t="str">
        <f t="shared" si="1"/>
        <v>Добавить группу потребителей</v>
      </c>
      <c r="AS52" s="538">
        <v>11</v>
      </c>
    </row>
    <row r="53" spans="1:45" ht="14.65" customHeight="1">
      <c r="A53" s="857" t="s">
        <v>205</v>
      </c>
      <c r="B53" s="857" t="s">
        <v>206</v>
      </c>
      <c r="C53" s="857" t="s">
        <v>207</v>
      </c>
      <c r="D53" s="857" t="s">
        <v>208</v>
      </c>
      <c r="E53" s="1195"/>
      <c r="F53" s="1195"/>
      <c r="G53" s="1195"/>
      <c r="H53" s="1194"/>
      <c r="R53" s="310"/>
      <c r="S53" s="315"/>
      <c r="T53" s="321" t="s">
        <v>424</v>
      </c>
      <c r="U53" s="52"/>
      <c r="V53" s="52"/>
      <c r="W53" s="52"/>
      <c r="X53" s="52"/>
      <c r="Y53" s="52"/>
      <c r="Z53" s="52"/>
      <c r="AA53" s="52"/>
      <c r="AB53" s="52"/>
      <c r="AC53" s="319"/>
      <c r="AD53" s="52"/>
      <c r="AE53" s="52"/>
      <c r="AF53" s="52"/>
      <c r="AG53" s="52"/>
      <c r="AH53" s="52"/>
      <c r="AI53" s="52"/>
      <c r="AJ53" s="52"/>
      <c r="AK53" s="319"/>
      <c r="AL53" s="52"/>
      <c r="AM53" s="320"/>
      <c r="AP53" s="582" t="str">
        <f t="shared" si="1"/>
        <v>Добавить схему подключения</v>
      </c>
      <c r="AS53" s="538">
        <v>14</v>
      </c>
    </row>
    <row r="54" spans="1:45" ht="1.1499999999999999" customHeight="1">
      <c r="A54" s="574" t="s">
        <v>205</v>
      </c>
      <c r="B54" s="574" t="s">
        <v>206</v>
      </c>
      <c r="C54" s="574" t="s">
        <v>207</v>
      </c>
      <c r="E54" s="1195"/>
      <c r="F54" s="1195"/>
      <c r="G54" s="1194"/>
      <c r="T54" s="326" t="s">
        <v>425</v>
      </c>
      <c r="AP54" s="582" t="str">
        <f t="shared" si="1"/>
        <v>Добавить источник для дифференциации</v>
      </c>
      <c r="AS54" s="577">
        <v>1</v>
      </c>
    </row>
    <row r="55" spans="1:45" ht="1.1499999999999999" customHeight="1">
      <c r="A55" s="574" t="s">
        <v>205</v>
      </c>
      <c r="B55" s="574" t="s">
        <v>206</v>
      </c>
      <c r="E55" s="1195"/>
      <c r="F55" s="1194"/>
      <c r="T55" s="326" t="s">
        <v>426</v>
      </c>
      <c r="AP55" s="582" t="str">
        <f t="shared" si="1"/>
        <v>Добавить централизованную систему для дифференциации</v>
      </c>
      <c r="AS55" s="577">
        <v>1</v>
      </c>
    </row>
    <row r="56" spans="1:45" ht="1.1499999999999999" customHeight="1">
      <c r="A56" s="574" t="s">
        <v>205</v>
      </c>
      <c r="E56" s="1194"/>
      <c r="T56" s="326" t="s">
        <v>427</v>
      </c>
      <c r="AP56" s="582" t="str">
        <f t="shared" si="1"/>
        <v>Добавить территорию для дифференциации</v>
      </c>
      <c r="AS56" s="577">
        <v>1</v>
      </c>
    </row>
    <row r="57" spans="1:45" ht="1.1499999999999999" customHeight="1">
      <c r="T57" s="326" t="s">
        <v>459</v>
      </c>
      <c r="AP57" s="582" t="str">
        <f t="shared" si="1"/>
        <v>Добавить наименование тарифа</v>
      </c>
      <c r="AS57" s="577">
        <v>1</v>
      </c>
    </row>
    <row r="58" spans="1:45" ht="11.45" customHeight="1">
      <c r="AS58" s="538">
        <v>11</v>
      </c>
    </row>
    <row r="59" spans="1:45" ht="28.5" customHeight="1">
      <c r="T59" s="1031"/>
      <c r="U59" s="1031"/>
      <c r="V59" s="1031"/>
      <c r="W59" s="1031"/>
      <c r="X59" s="1031"/>
      <c r="Y59" s="1031"/>
      <c r="Z59" s="1031"/>
      <c r="AA59" s="1031"/>
      <c r="AB59" s="1031"/>
      <c r="AC59" s="1031"/>
      <c r="AD59" s="1031"/>
      <c r="AE59" s="1031"/>
      <c r="AF59" s="1031"/>
      <c r="AG59" s="1031"/>
      <c r="AH59" s="1031"/>
      <c r="AI59" s="1031"/>
      <c r="AJ59" s="1031"/>
      <c r="AK59" s="1031"/>
      <c r="AL59" s="1031"/>
      <c r="AM59" s="1031"/>
      <c r="AS59" s="538">
        <v>27</v>
      </c>
    </row>
    <row r="60" spans="1:45" ht="78.75" customHeight="1">
      <c r="T60" s="1031"/>
      <c r="U60" s="1031"/>
      <c r="V60" s="1031"/>
      <c r="W60" s="1031"/>
      <c r="X60" s="1031"/>
      <c r="Y60" s="1031"/>
      <c r="Z60" s="1031"/>
      <c r="AA60" s="1031"/>
      <c r="AB60" s="1031"/>
      <c r="AC60" s="1031"/>
      <c r="AD60" s="1031"/>
      <c r="AE60" s="1031"/>
      <c r="AF60" s="1031"/>
      <c r="AG60" s="1031"/>
      <c r="AH60" s="1031"/>
      <c r="AI60" s="1031"/>
      <c r="AJ60" s="1031"/>
      <c r="AK60" s="1031"/>
      <c r="AL60" s="1031"/>
      <c r="AM60" s="1031"/>
      <c r="AS60" s="538">
        <v>75</v>
      </c>
    </row>
    <row r="61" spans="1:45" ht="14.65" customHeight="1">
      <c r="AS61" s="538">
        <v>14</v>
      </c>
    </row>
    <row r="62" spans="1:45" ht="18.75" customHeight="1">
      <c r="T62" s="1031"/>
      <c r="U62" s="1031"/>
      <c r="V62" s="1031"/>
      <c r="W62" s="1031"/>
      <c r="X62" s="1031"/>
      <c r="Y62" s="1031"/>
      <c r="Z62" s="1031"/>
      <c r="AA62" s="1031"/>
      <c r="AB62" s="1031"/>
      <c r="AC62" s="1031"/>
      <c r="AD62" s="1031"/>
      <c r="AE62" s="1031"/>
      <c r="AF62" s="1031"/>
      <c r="AG62" s="1031"/>
      <c r="AH62" s="1031"/>
      <c r="AI62" s="1031"/>
      <c r="AJ62" s="1031"/>
      <c r="AK62" s="1031"/>
      <c r="AL62" s="1031"/>
      <c r="AM62" s="1031"/>
      <c r="AS62" s="538">
        <v>18</v>
      </c>
    </row>
    <row r="63" spans="1:45" ht="18.75" customHeight="1">
      <c r="T63" s="1031"/>
      <c r="U63" s="1031"/>
      <c r="V63" s="1031"/>
      <c r="W63" s="1031"/>
      <c r="X63" s="1031"/>
      <c r="Y63" s="1031"/>
      <c r="Z63" s="1031"/>
      <c r="AA63" s="1031"/>
      <c r="AB63" s="1031"/>
      <c r="AC63" s="1031"/>
      <c r="AD63" s="1031"/>
      <c r="AE63" s="1031"/>
      <c r="AF63" s="1031"/>
      <c r="AG63" s="1031"/>
      <c r="AH63" s="1031"/>
      <c r="AI63" s="1031"/>
      <c r="AJ63" s="1031"/>
      <c r="AK63" s="1031"/>
      <c r="AL63" s="1031"/>
      <c r="AM63" s="1031"/>
      <c r="AS63" s="538">
        <v>18</v>
      </c>
    </row>
    <row r="64" spans="1:45" ht="39.75" customHeight="1">
      <c r="T64" s="1031"/>
      <c r="U64" s="1031"/>
      <c r="V64" s="1031"/>
      <c r="W64" s="1031"/>
      <c r="X64" s="1031"/>
      <c r="Y64" s="1031"/>
      <c r="Z64" s="1031"/>
      <c r="AA64" s="1031"/>
      <c r="AB64" s="1031"/>
      <c r="AC64" s="1031"/>
      <c r="AD64" s="1031"/>
      <c r="AE64" s="1031"/>
      <c r="AF64" s="1031"/>
      <c r="AG64" s="1031"/>
      <c r="AH64" s="1031"/>
      <c r="AI64" s="1031"/>
      <c r="AJ64" s="1031"/>
      <c r="AK64" s="1031"/>
      <c r="AL64" s="1031"/>
      <c r="AM64" s="1031"/>
      <c r="AS64" s="538">
        <v>38</v>
      </c>
    </row>
    <row r="65" spans="1:45" ht="22.5" hidden="1" customHeight="1">
      <c r="A65" s="555" t="s">
        <v>81</v>
      </c>
      <c r="B65" s="555">
        <v>0</v>
      </c>
      <c r="C65" s="555">
        <v>0</v>
      </c>
      <c r="D65" s="555">
        <v>0</v>
      </c>
      <c r="E65" s="555">
        <v>0</v>
      </c>
      <c r="F65" s="555">
        <v>0</v>
      </c>
      <c r="G65" s="555">
        <v>0</v>
      </c>
      <c r="H65" s="555">
        <v>0</v>
      </c>
      <c r="I65" s="555">
        <v>0</v>
      </c>
      <c r="J65" s="555">
        <v>0</v>
      </c>
      <c r="K65" s="555">
        <v>0</v>
      </c>
      <c r="L65" s="667">
        <v>0</v>
      </c>
      <c r="M65" s="12">
        <v>0</v>
      </c>
      <c r="N65" s="12">
        <v>0</v>
      </c>
      <c r="O65" s="12">
        <v>0</v>
      </c>
      <c r="P65" s="300">
        <v>3</v>
      </c>
      <c r="Q65" s="821">
        <v>3</v>
      </c>
      <c r="R65" s="821">
        <v>3</v>
      </c>
      <c r="S65" s="553">
        <v>12</v>
      </c>
      <c r="T65" s="538">
        <v>31</v>
      </c>
      <c r="U65" s="538">
        <v>0</v>
      </c>
      <c r="V65" s="538">
        <v>0</v>
      </c>
      <c r="W65" s="538">
        <v>0</v>
      </c>
      <c r="X65" s="538">
        <v>0</v>
      </c>
      <c r="Y65" s="538">
        <v>0</v>
      </c>
      <c r="Z65" s="538">
        <v>0</v>
      </c>
      <c r="AA65" s="538">
        <v>0</v>
      </c>
      <c r="AB65" s="538">
        <v>0</v>
      </c>
      <c r="AC65" s="538">
        <v>0</v>
      </c>
      <c r="AD65" s="538">
        <v>0</v>
      </c>
      <c r="AE65" s="538">
        <v>24</v>
      </c>
      <c r="AF65" s="538">
        <v>0</v>
      </c>
      <c r="AG65" s="538">
        <v>0</v>
      </c>
      <c r="AH65" s="538">
        <v>11</v>
      </c>
      <c r="AI65" s="538">
        <v>3</v>
      </c>
      <c r="AJ65" s="538">
        <v>11</v>
      </c>
      <c r="AK65" s="538">
        <v>0</v>
      </c>
      <c r="AL65" s="538">
        <v>4</v>
      </c>
      <c r="AM65" s="538">
        <v>115</v>
      </c>
      <c r="AN65" s="577">
        <v>10</v>
      </c>
      <c r="AO65" s="577">
        <v>10</v>
      </c>
      <c r="AP65" s="577">
        <v>10</v>
      </c>
      <c r="AQ65" s="577">
        <v>10</v>
      </c>
      <c r="AR65" s="577">
        <v>10</v>
      </c>
      <c r="AS65" s="538">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2" style="1029" hidden="1" customWidth="1"/>
    <col min="10" max="10" width="9.85546875" style="1029" hidden="1" customWidth="1"/>
    <col min="11" max="11" width="11.42578125" style="1029" hidden="1" customWidth="1"/>
    <col min="12" max="12" width="19.140625" style="1029" hidden="1" customWidth="1"/>
    <col min="13" max="14" width="12.28515625" style="1029" hidden="1" customWidth="1"/>
    <col min="15" max="15" width="23.42578125" style="1029" hidden="1" customWidth="1"/>
    <col min="16" max="16" width="3.7109375" style="1029" hidden="1" customWidth="1"/>
    <col min="17" max="18" width="3" style="1029" customWidth="1"/>
    <col min="19" max="19" width="12" style="1029" customWidth="1"/>
    <col min="20" max="20" width="31" style="1029" customWidth="1"/>
    <col min="21" max="21" width="0.140625" style="1029" customWidth="1"/>
    <col min="22" max="22" width="24.7109375" style="1029" hidden="1" customWidth="1"/>
    <col min="23" max="23" width="0.140625" style="1029" hidden="1" customWidth="1"/>
    <col min="24" max="25" width="24.7109375" style="1029" hidden="1" customWidth="1"/>
    <col min="26" max="26" width="11.7109375" style="1029" hidden="1" customWidth="1"/>
    <col min="27" max="27" width="3.7109375" style="1029" hidden="1" customWidth="1"/>
    <col min="28" max="28" width="11.7109375" style="1029" hidden="1" customWidth="1"/>
    <col min="29" max="29" width="8.5703125" style="1029" hidden="1" customWidth="1"/>
    <col min="30" max="30" width="24.7109375" style="1029" customWidth="1"/>
    <col min="31" max="31" width="0.140625" style="1029" customWidth="1"/>
    <col min="32" max="33" width="24" style="1029" customWidth="1"/>
    <col min="34" max="34" width="11" style="1029" customWidth="1"/>
    <col min="35" max="35" width="3.7109375" style="1029" customWidth="1"/>
    <col min="36" max="36" width="11" style="1029" customWidth="1"/>
    <col min="37" max="37" width="8.5703125" style="1029" hidden="1" customWidth="1"/>
    <col min="38" max="38" width="4" style="1029" customWidth="1"/>
    <col min="39" max="39" width="115" style="1029" customWidth="1"/>
    <col min="40" max="44" width="10" style="1029" customWidth="1"/>
    <col min="45" max="45" width="8.42578125" style="1029" hidden="1" customWidth="1"/>
  </cols>
  <sheetData>
    <row r="1" spans="5:45" ht="22.5" hidden="1" customHeight="1">
      <c r="AS1" s="538" t="s">
        <v>14</v>
      </c>
    </row>
    <row r="2" spans="5:45" ht="21" hidden="1" customHeight="1">
      <c r="E2" s="1194">
        <v>1</v>
      </c>
      <c r="R2" s="310"/>
      <c r="S2" s="832" t="e">
        <f>INDEX(PT_DIFFERENTIATION_NUM_NTAR,MATCH(A2,PT_DIFFERENTIATION_NTAR_ID,0))</f>
        <v>#N/A</v>
      </c>
      <c r="T2" s="795" t="s">
        <v>136</v>
      </c>
      <c r="U2" s="833"/>
      <c r="V2" s="1180"/>
      <c r="W2" s="1181"/>
      <c r="X2" s="1181"/>
      <c r="Y2" s="1181"/>
      <c r="Z2" s="1181"/>
      <c r="AA2" s="1181"/>
      <c r="AB2" s="1181"/>
      <c r="AC2" s="1182"/>
      <c r="AD2" s="1180" t="e">
        <f>INDEX(PT_DIFFERENTIATION_NTAR,MATCH(A2,PT_DIFFERENTIATION_NTAR_ID,0))</f>
        <v>#N/A</v>
      </c>
      <c r="AE2" s="1181"/>
      <c r="AF2" s="1181"/>
      <c r="AG2" s="1181"/>
      <c r="AH2" s="1181"/>
      <c r="AI2" s="1181"/>
      <c r="AJ2" s="1181"/>
      <c r="AK2" s="1181"/>
      <c r="AL2" s="1182"/>
      <c r="AM2" s="835" t="s">
        <v>407</v>
      </c>
      <c r="AP2" s="582" t="str">
        <f t="shared" ref="AP2:AP15" si="0">IF(T2="","",T2)</f>
        <v>Наименование тарифа</v>
      </c>
      <c r="AS2" s="538">
        <v>0</v>
      </c>
    </row>
    <row r="3" spans="5:45" ht="21" hidden="1" customHeight="1">
      <c r="E3" s="1195"/>
      <c r="F3" s="1194">
        <v>1</v>
      </c>
      <c r="Q3" s="836"/>
      <c r="R3" s="837"/>
      <c r="S3" s="832" t="e">
        <f>INDEX(PT_DIFFERENTIATION_NUM_TER,MATCH(B3,PT_DIFFERENTIATION_TER_ID,0))</f>
        <v>#N/A</v>
      </c>
      <c r="T3" s="838" t="s">
        <v>408</v>
      </c>
      <c r="U3" s="833"/>
      <c r="V3" s="1180"/>
      <c r="W3" s="1181"/>
      <c r="X3" s="1181"/>
      <c r="Y3" s="1181"/>
      <c r="Z3" s="1181"/>
      <c r="AA3" s="1181"/>
      <c r="AB3" s="1181"/>
      <c r="AC3" s="1182"/>
      <c r="AD3" s="1180" t="e">
        <f>INDEX(PT_DIFFERENTIATION_TER,MATCH(B3,PT_DIFFERENTIATION_TER_ID,0))</f>
        <v>#N/A</v>
      </c>
      <c r="AE3" s="1181"/>
      <c r="AF3" s="1181"/>
      <c r="AG3" s="1181"/>
      <c r="AH3" s="1181"/>
      <c r="AI3" s="1181"/>
      <c r="AJ3" s="1181"/>
      <c r="AK3" s="1181"/>
      <c r="AL3" s="1182"/>
      <c r="AM3" s="835" t="s">
        <v>409</v>
      </c>
      <c r="AP3" s="582" t="str">
        <f t="shared" si="0"/>
        <v>Территория действия тарифа</v>
      </c>
      <c r="AS3" s="538">
        <v>0</v>
      </c>
    </row>
    <row r="4" spans="5:45" ht="23.25" hidden="1" customHeight="1">
      <c r="E4" s="1195"/>
      <c r="F4" s="1195"/>
      <c r="G4" s="1194">
        <v>1</v>
      </c>
      <c r="Q4" s="836"/>
      <c r="R4" s="837"/>
      <c r="S4" s="832" t="e">
        <f>INDEX(PT_DIFFERENTIATION_NUM_CS,MATCH(C4,PT_DIFFERENTIATION_CS_ID,0))</f>
        <v>#N/A</v>
      </c>
      <c r="T4" s="839" t="s">
        <v>410</v>
      </c>
      <c r="U4" s="833"/>
      <c r="V4" s="1180"/>
      <c r="W4" s="1181"/>
      <c r="X4" s="1181"/>
      <c r="Y4" s="1181"/>
      <c r="Z4" s="1181"/>
      <c r="AA4" s="1181"/>
      <c r="AB4" s="1181"/>
      <c r="AC4" s="1182"/>
      <c r="AD4" s="1180" t="e">
        <f>INDEX(PT_DIFFERENTIATION_CS,MATCH(C4,PT_DIFFERENTIATION_CS_ID,0))</f>
        <v>#N/A</v>
      </c>
      <c r="AE4" s="1181"/>
      <c r="AF4" s="1181"/>
      <c r="AG4" s="1181"/>
      <c r="AH4" s="1181"/>
      <c r="AI4" s="1181"/>
      <c r="AJ4" s="1181"/>
      <c r="AK4" s="1181"/>
      <c r="AL4" s="1182"/>
      <c r="AM4" s="835" t="s">
        <v>411</v>
      </c>
      <c r="AP4" s="582" t="str">
        <f t="shared" si="0"/>
        <v xml:space="preserve">Наименование системы теплоснабжения </v>
      </c>
      <c r="AS4" s="538">
        <v>0</v>
      </c>
    </row>
    <row r="5" spans="5:45" ht="21" hidden="1" customHeight="1">
      <c r="E5" s="1195"/>
      <c r="F5" s="1195"/>
      <c r="G5" s="1195"/>
      <c r="H5" s="1194">
        <v>1</v>
      </c>
      <c r="Q5" s="836"/>
      <c r="R5" s="837"/>
      <c r="S5" s="832" t="e">
        <f>INDEX(PT_DIFFERENTIATION_NUM_IST_TE,MATCH(D5,PT_DIFFERENTIATION_IST_TE_ID,0))</f>
        <v>#N/A</v>
      </c>
      <c r="T5" s="840" t="s">
        <v>412</v>
      </c>
      <c r="U5" s="833"/>
      <c r="V5" s="1180"/>
      <c r="W5" s="1181"/>
      <c r="X5" s="1181"/>
      <c r="Y5" s="1181"/>
      <c r="Z5" s="1181"/>
      <c r="AA5" s="1181"/>
      <c r="AB5" s="1181"/>
      <c r="AC5" s="1182"/>
      <c r="AD5" s="1180" t="e">
        <f>INDEX(PT_DIFFERENTIATION_IST_TE,MATCH(D5,PT_DIFFERENTIATION_IST_TE_ID,0))</f>
        <v>#N/A</v>
      </c>
      <c r="AE5" s="1181"/>
      <c r="AF5" s="1181"/>
      <c r="AG5" s="1181"/>
      <c r="AH5" s="1181"/>
      <c r="AI5" s="1181"/>
      <c r="AJ5" s="1181"/>
      <c r="AK5" s="1181"/>
      <c r="AL5" s="1182"/>
      <c r="AM5" s="835" t="s">
        <v>413</v>
      </c>
      <c r="AP5" s="582" t="str">
        <f t="shared" si="0"/>
        <v xml:space="preserve">Источник тепловой энергии  </v>
      </c>
      <c r="AS5" s="538">
        <v>0</v>
      </c>
    </row>
    <row r="6" spans="5:45" ht="14.25" hidden="1" customHeight="1">
      <c r="E6" s="1195"/>
      <c r="F6" s="1195"/>
      <c r="G6" s="1195"/>
      <c r="H6" s="1195"/>
      <c r="I6" s="1192" t="e">
        <f>S5&amp;".1"</f>
        <v>#N/A</v>
      </c>
      <c r="L6" s="841" t="s">
        <v>414</v>
      </c>
      <c r="P6" s="1193">
        <v>1</v>
      </c>
      <c r="R6" s="842"/>
      <c r="S6" s="635"/>
      <c r="T6" s="859"/>
      <c r="U6" s="860"/>
      <c r="V6" s="1222"/>
      <c r="W6" s="1223"/>
      <c r="X6" s="1223"/>
      <c r="Y6" s="1223"/>
      <c r="Z6" s="1223"/>
      <c r="AA6" s="1223"/>
      <c r="AB6" s="1223"/>
      <c r="AC6" s="1224"/>
      <c r="AD6" s="1222"/>
      <c r="AE6" s="1223"/>
      <c r="AF6" s="1223"/>
      <c r="AG6" s="1223"/>
      <c r="AH6" s="1223"/>
      <c r="AI6" s="1223"/>
      <c r="AJ6" s="1223"/>
      <c r="AK6" s="1223"/>
      <c r="AL6" s="1224"/>
      <c r="AM6" s="862"/>
      <c r="AP6" s="582" t="str">
        <f t="shared" si="0"/>
        <v/>
      </c>
      <c r="AS6" s="538">
        <v>0</v>
      </c>
    </row>
    <row r="7" spans="5:45" ht="21" hidden="1" customHeight="1">
      <c r="E7" s="1195"/>
      <c r="F7" s="1195"/>
      <c r="G7" s="1195"/>
      <c r="H7" s="1195"/>
      <c r="I7" s="1214"/>
      <c r="J7" s="1192" t="e">
        <f>I6&amp;".1"</f>
        <v>#N/A</v>
      </c>
      <c r="L7" s="841" t="s">
        <v>417</v>
      </c>
      <c r="P7" s="1031"/>
      <c r="Q7" s="1193">
        <v>1</v>
      </c>
      <c r="R7" s="844"/>
      <c r="S7" s="832" t="e">
        <f>$J7</f>
        <v>#N/A</v>
      </c>
      <c r="T7" s="845" t="s">
        <v>418</v>
      </c>
      <c r="U7" s="833"/>
      <c r="V7" s="1183"/>
      <c r="W7" s="1184"/>
      <c r="X7" s="1184"/>
      <c r="Y7" s="1184"/>
      <c r="Z7" s="1184"/>
      <c r="AA7" s="1184"/>
      <c r="AB7" s="1184"/>
      <c r="AC7" s="1185"/>
      <c r="AD7" s="1183"/>
      <c r="AE7" s="1184"/>
      <c r="AF7" s="1184"/>
      <c r="AG7" s="1184"/>
      <c r="AH7" s="1184"/>
      <c r="AI7" s="1184"/>
      <c r="AJ7" s="1184"/>
      <c r="AK7" s="1184"/>
      <c r="AL7" s="1185"/>
      <c r="AM7" s="835" t="s">
        <v>419</v>
      </c>
      <c r="AP7" s="582" t="str">
        <f t="shared" si="0"/>
        <v>Группа потребителей</v>
      </c>
      <c r="AS7" s="538">
        <v>0</v>
      </c>
    </row>
    <row r="8" spans="5:45" ht="21" hidden="1" customHeight="1">
      <c r="E8" s="1195"/>
      <c r="F8" s="1195"/>
      <c r="G8" s="1195"/>
      <c r="H8" s="1195"/>
      <c r="I8" s="1214"/>
      <c r="J8" s="1214"/>
      <c r="K8" s="1192" t="e">
        <f>J7&amp;".1"</f>
        <v>#N/A</v>
      </c>
      <c r="L8" s="841" t="s">
        <v>420</v>
      </c>
      <c r="P8" s="1031"/>
      <c r="Q8" s="1031"/>
      <c r="R8" s="844">
        <v>1</v>
      </c>
      <c r="S8" s="832" t="e">
        <f>$K8</f>
        <v>#N/A</v>
      </c>
      <c r="T8" s="846"/>
      <c r="U8" s="833"/>
      <c r="V8" s="311"/>
      <c r="W8" s="312"/>
      <c r="X8" s="311"/>
      <c r="Y8" s="313"/>
      <c r="Z8" s="1197"/>
      <c r="AA8" s="1058" t="s">
        <v>61</v>
      </c>
      <c r="AB8" s="1197"/>
      <c r="AC8" s="1058" t="s">
        <v>61</v>
      </c>
      <c r="AD8" s="311"/>
      <c r="AE8" s="312"/>
      <c r="AF8" s="311"/>
      <c r="AG8" s="313"/>
      <c r="AH8" s="1197"/>
      <c r="AI8" s="1058" t="s">
        <v>61</v>
      </c>
      <c r="AJ8" s="1197"/>
      <c r="AK8" s="1058" t="s">
        <v>61</v>
      </c>
      <c r="AL8" s="312"/>
      <c r="AM8" s="1189" t="s">
        <v>421</v>
      </c>
      <c r="AN8" s="577" t="e">
        <f ca="1">STRCHECKDATE(V9:AL9)</f>
        <v>#NAME?</v>
      </c>
      <c r="AP8" s="582" t="str">
        <f t="shared" si="0"/>
        <v/>
      </c>
      <c r="AS8" s="538">
        <v>0</v>
      </c>
    </row>
    <row r="9" spans="5:45" ht="0.75" hidden="1" customHeight="1">
      <c r="E9" s="1195"/>
      <c r="F9" s="1195"/>
      <c r="G9" s="1195"/>
      <c r="H9" s="1195"/>
      <c r="I9" s="1214"/>
      <c r="J9" s="1214"/>
      <c r="K9" s="1192"/>
      <c r="P9" s="1031"/>
      <c r="Q9" s="1031"/>
      <c r="R9" s="844"/>
      <c r="S9" s="127"/>
      <c r="T9" s="833"/>
      <c r="U9" s="833"/>
      <c r="V9" s="312"/>
      <c r="W9" s="312"/>
      <c r="X9" s="312"/>
      <c r="Y9" s="314" t="str">
        <f>Z8&amp;"-"&amp;AB8</f>
        <v>-</v>
      </c>
      <c r="Z9" s="1198"/>
      <c r="AA9" s="1058"/>
      <c r="AB9" s="1198"/>
      <c r="AC9" s="1058"/>
      <c r="AD9" s="312"/>
      <c r="AE9" s="312"/>
      <c r="AF9" s="312"/>
      <c r="AG9" s="314" t="str">
        <f>AH8&amp;"-"&amp;AJ8</f>
        <v>-</v>
      </c>
      <c r="AH9" s="1198"/>
      <c r="AI9" s="1058"/>
      <c r="AJ9" s="1198"/>
      <c r="AK9" s="1058"/>
      <c r="AL9" s="312"/>
      <c r="AM9" s="1190"/>
      <c r="AP9" s="582" t="str">
        <f t="shared" si="0"/>
        <v/>
      </c>
      <c r="AS9" s="538">
        <v>0</v>
      </c>
    </row>
    <row r="10" spans="5:45" ht="15" hidden="1" customHeight="1">
      <c r="E10" s="1195"/>
      <c r="F10" s="1195"/>
      <c r="G10" s="1195"/>
      <c r="H10" s="1195"/>
      <c r="I10" s="1214"/>
      <c r="J10" s="1192"/>
      <c r="P10" s="1031"/>
      <c r="Q10" s="1031"/>
      <c r="R10" s="842"/>
      <c r="S10" s="315"/>
      <c r="T10" s="318" t="s">
        <v>422</v>
      </c>
      <c r="U10" s="52"/>
      <c r="V10" s="52"/>
      <c r="W10" s="52"/>
      <c r="X10" s="52"/>
      <c r="Y10" s="52"/>
      <c r="Z10" s="52"/>
      <c r="AA10" s="52"/>
      <c r="AB10" s="52"/>
      <c r="AC10" s="52"/>
      <c r="AD10" s="52"/>
      <c r="AE10" s="52"/>
      <c r="AF10" s="52"/>
      <c r="AG10" s="52"/>
      <c r="AH10" s="52"/>
      <c r="AI10" s="52"/>
      <c r="AJ10" s="52"/>
      <c r="AK10" s="52"/>
      <c r="AL10" s="317"/>
      <c r="AM10" s="1191"/>
      <c r="AP10" s="582" t="str">
        <f t="shared" si="0"/>
        <v>Добавить вид теплоносителя (параметры теплоносителя)</v>
      </c>
      <c r="AS10" s="538">
        <v>0</v>
      </c>
    </row>
    <row r="11" spans="5:45" ht="15" hidden="1" customHeight="1">
      <c r="E11" s="1195"/>
      <c r="F11" s="1195"/>
      <c r="G11" s="1195"/>
      <c r="H11" s="1195"/>
      <c r="I11" s="1192"/>
      <c r="P11" s="1031"/>
      <c r="R11" s="842"/>
      <c r="S11" s="315"/>
      <c r="T11" s="321" t="s">
        <v>423</v>
      </c>
      <c r="U11" s="52"/>
      <c r="V11" s="52"/>
      <c r="W11" s="52"/>
      <c r="X11" s="52"/>
      <c r="Y11" s="52"/>
      <c r="Z11" s="52"/>
      <c r="AA11" s="52"/>
      <c r="AB11" s="52"/>
      <c r="AC11" s="319"/>
      <c r="AD11" s="52"/>
      <c r="AE11" s="52"/>
      <c r="AF11" s="52"/>
      <c r="AG11" s="52"/>
      <c r="AH11" s="52"/>
      <c r="AI11" s="52"/>
      <c r="AJ11" s="52"/>
      <c r="AK11" s="319"/>
      <c r="AL11" s="52"/>
      <c r="AM11" s="320"/>
      <c r="AP11" s="582" t="str">
        <f t="shared" si="0"/>
        <v>Добавить группу потребителей</v>
      </c>
      <c r="AS11" s="538">
        <v>0</v>
      </c>
    </row>
    <row r="12" spans="5:45" ht="14.25" hidden="1" customHeight="1">
      <c r="E12" s="1195"/>
      <c r="F12" s="1195"/>
      <c r="G12" s="1195"/>
      <c r="H12" s="1194"/>
      <c r="R12" s="310"/>
      <c r="S12" s="334"/>
      <c r="T12" s="335"/>
      <c r="U12" s="336"/>
      <c r="V12" s="336"/>
      <c r="W12" s="336"/>
      <c r="X12" s="336"/>
      <c r="Y12" s="336"/>
      <c r="Z12" s="336"/>
      <c r="AA12" s="336"/>
      <c r="AB12" s="336"/>
      <c r="AC12" s="336"/>
      <c r="AD12" s="336"/>
      <c r="AE12" s="336"/>
      <c r="AF12" s="336"/>
      <c r="AG12" s="336"/>
      <c r="AH12" s="336"/>
      <c r="AI12" s="336"/>
      <c r="AJ12" s="336"/>
      <c r="AK12" s="336"/>
      <c r="AL12" s="336"/>
      <c r="AM12" s="337"/>
      <c r="AP12" s="582" t="str">
        <f t="shared" si="0"/>
        <v/>
      </c>
      <c r="AS12" s="538">
        <v>0</v>
      </c>
    </row>
    <row r="13" spans="5:45" ht="0.75" hidden="1" customHeight="1">
      <c r="E13" s="1195"/>
      <c r="F13" s="1195"/>
      <c r="G13" s="1194"/>
      <c r="S13" s="322"/>
      <c r="T13" s="323" t="s">
        <v>425</v>
      </c>
      <c r="U13" s="324"/>
      <c r="V13" s="324"/>
      <c r="W13" s="324"/>
      <c r="X13" s="324"/>
      <c r="Y13" s="324"/>
      <c r="Z13" s="324"/>
      <c r="AA13" s="324"/>
      <c r="AB13" s="324"/>
      <c r="AC13" s="324"/>
      <c r="AD13" s="324"/>
      <c r="AE13" s="324"/>
      <c r="AF13" s="324"/>
      <c r="AG13" s="324"/>
      <c r="AH13" s="324"/>
      <c r="AI13" s="324"/>
      <c r="AJ13" s="324"/>
      <c r="AK13" s="324"/>
      <c r="AL13" s="324"/>
      <c r="AM13" s="324"/>
      <c r="AP13" s="582" t="str">
        <f t="shared" si="0"/>
        <v>Добавить источник для дифференциации</v>
      </c>
      <c r="AS13" s="577">
        <v>0</v>
      </c>
    </row>
    <row r="14" spans="5:45" ht="0.75" hidden="1" customHeight="1">
      <c r="E14" s="1195"/>
      <c r="F14" s="1194"/>
      <c r="T14" s="325" t="s">
        <v>426</v>
      </c>
      <c r="AP14" s="582" t="str">
        <f t="shared" si="0"/>
        <v>Добавить централизованную систему для дифференциации</v>
      </c>
      <c r="AS14" s="577">
        <v>0</v>
      </c>
    </row>
    <row r="15" spans="5:45" ht="0.75" hidden="1" customHeight="1">
      <c r="E15" s="1194"/>
      <c r="T15" s="326" t="s">
        <v>427</v>
      </c>
      <c r="AP15" s="582" t="str">
        <f t="shared" si="0"/>
        <v>Добавить территорию для дифференциации</v>
      </c>
      <c r="AS15" s="577">
        <v>0</v>
      </c>
    </row>
    <row r="16" spans="5:45" ht="14.25" hidden="1" customHeight="1">
      <c r="AS16" s="538">
        <v>0</v>
      </c>
    </row>
    <row r="17" spans="15:45" ht="14.25" hidden="1" customHeight="1">
      <c r="AD17" s="275"/>
      <c r="AE17" s="275"/>
      <c r="AF17" s="275"/>
      <c r="AG17" s="327"/>
      <c r="AH17" s="1199"/>
      <c r="AI17" s="1200" t="s">
        <v>61</v>
      </c>
      <c r="AJ17" s="1199"/>
      <c r="AK17" s="1200" t="s">
        <v>61</v>
      </c>
      <c r="AS17" s="538">
        <v>0</v>
      </c>
    </row>
    <row r="18" spans="15:45" ht="14.25" hidden="1" customHeight="1">
      <c r="AD18" s="275"/>
      <c r="AE18" s="275"/>
      <c r="AF18" s="275"/>
      <c r="AG18" s="314" t="str">
        <f>AH17&amp;"-"&amp;AJ17</f>
        <v>-</v>
      </c>
      <c r="AH18" s="1200"/>
      <c r="AI18" s="1200"/>
      <c r="AJ18" s="1200"/>
      <c r="AK18" s="1200"/>
      <c r="AS18" s="538">
        <v>0</v>
      </c>
    </row>
    <row r="19" spans="15:45" ht="14.25" hidden="1" customHeight="1">
      <c r="AS19" s="538">
        <v>0</v>
      </c>
    </row>
    <row r="20" spans="15:45" ht="22.5" hidden="1" customHeight="1">
      <c r="O20" s="328" t="s">
        <v>428</v>
      </c>
      <c r="Z20" s="328"/>
      <c r="AB20" s="328"/>
      <c r="AH20" s="328"/>
      <c r="AJ20" s="328"/>
      <c r="AS20" s="555">
        <v>0</v>
      </c>
    </row>
    <row r="21" spans="15:45" ht="14.25" hidden="1" customHeight="1">
      <c r="AS21" s="555">
        <v>0</v>
      </c>
    </row>
    <row r="22" spans="15:45" ht="14.25" hidden="1" customHeight="1">
      <c r="O22" s="841" t="s">
        <v>429</v>
      </c>
      <c r="T22" s="555" t="s">
        <v>430</v>
      </c>
      <c r="AA22" s="598" t="s">
        <v>431</v>
      </c>
      <c r="AC22" s="598" t="s">
        <v>432</v>
      </c>
      <c r="AD22" s="555" t="s">
        <v>430</v>
      </c>
      <c r="AI22" s="598" t="s">
        <v>433</v>
      </c>
      <c r="AK22" s="598" t="s">
        <v>432</v>
      </c>
      <c r="AS22" s="555">
        <v>0</v>
      </c>
    </row>
    <row r="23" spans="15:45" ht="14.25" hidden="1" customHeight="1">
      <c r="AS23" s="538">
        <v>0</v>
      </c>
    </row>
    <row r="24" spans="15:45" ht="14.25" hidden="1" customHeight="1">
      <c r="AS24" s="538">
        <v>0</v>
      </c>
    </row>
    <row r="25" spans="15:45" ht="14.65" customHeight="1">
      <c r="Q25" s="756"/>
      <c r="R25" s="756"/>
      <c r="S25" s="847"/>
      <c r="T25" s="556"/>
      <c r="U25" s="556"/>
      <c r="AS25" s="538">
        <v>14</v>
      </c>
    </row>
    <row r="26" spans="15:45" ht="63" customHeight="1">
      <c r="Q26" s="756"/>
      <c r="R26" s="756"/>
      <c r="S26" s="117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178"/>
      <c r="U26" s="1178"/>
      <c r="V26" s="1178"/>
      <c r="W26" s="1178"/>
      <c r="X26" s="1178"/>
      <c r="Y26" s="1178"/>
      <c r="Z26" s="1178"/>
      <c r="AA26" s="1178"/>
      <c r="AB26" s="1178"/>
      <c r="AC26" s="1178"/>
      <c r="AD26" s="1178"/>
      <c r="AE26" s="1178"/>
      <c r="AF26" s="1178"/>
      <c r="AG26" s="1178"/>
      <c r="AH26" s="1178"/>
      <c r="AI26" s="1178"/>
      <c r="AJ26" s="1178"/>
      <c r="AS26" s="538">
        <v>60</v>
      </c>
    </row>
    <row r="27" spans="15:45" ht="14.65" customHeight="1">
      <c r="Q27" s="756"/>
      <c r="R27" s="756"/>
      <c r="S27" s="1127" t="str">
        <f>IF(org=0,"Не определено",org)</f>
        <v>АО "НИЖЕГОРОДСКИЙ ВОДОКАНАЛ"</v>
      </c>
      <c r="T27" s="1127"/>
      <c r="U27" s="1127"/>
      <c r="V27" s="1127"/>
      <c r="W27" s="1127"/>
      <c r="X27" s="1127"/>
      <c r="Y27" s="1127"/>
      <c r="Z27" s="1127"/>
      <c r="AA27" s="1127"/>
      <c r="AB27" s="1127"/>
      <c r="AC27" s="1127"/>
      <c r="AD27" s="1127"/>
      <c r="AE27" s="1127"/>
      <c r="AF27" s="1127"/>
      <c r="AG27" s="1127"/>
      <c r="AH27" s="1127"/>
      <c r="AI27" s="1127"/>
      <c r="AJ27" s="1127"/>
      <c r="AS27" s="538">
        <v>14</v>
      </c>
    </row>
    <row r="28" spans="15:45" ht="14.25" hidden="1" customHeight="1">
      <c r="Q28" s="756"/>
      <c r="R28" s="756"/>
      <c r="S28" s="847"/>
      <c r="T28" s="556"/>
      <c r="U28" s="556"/>
      <c r="V28" s="826"/>
      <c r="W28" s="826"/>
      <c r="X28" s="826"/>
      <c r="Y28" s="826"/>
      <c r="Z28" s="826"/>
      <c r="AA28" s="826"/>
      <c r="AB28" s="826"/>
      <c r="AC28" s="826"/>
      <c r="AD28" s="826"/>
      <c r="AE28" s="826"/>
      <c r="AF28" s="826"/>
      <c r="AG28" s="826"/>
      <c r="AH28" s="826"/>
      <c r="AI28" s="826"/>
      <c r="AJ28" s="826"/>
      <c r="AK28" s="826"/>
      <c r="AS28" s="538">
        <v>0</v>
      </c>
    </row>
    <row r="29" spans="15:45" ht="25.5" hidden="1" customHeight="1">
      <c r="S29" s="1186" t="s">
        <v>41</v>
      </c>
      <c r="T29" s="1186"/>
      <c r="U29" s="849"/>
      <c r="V29" s="1187" t="str">
        <f>IF(TITLE_NAME_OR_PR_CHANGE="",IF(TITLE_NAME_OR_PR="","",TITLE_NAME_OR_PR),TITLE_NAME_OR_PR_CHANGE)</f>
        <v/>
      </c>
      <c r="W29" s="1187"/>
      <c r="X29" s="1187"/>
      <c r="Y29" s="1187"/>
      <c r="Z29" s="1187"/>
      <c r="AA29" s="1187"/>
      <c r="AB29" s="1187"/>
      <c r="AD29" s="1187" t="str">
        <f>IF(TITLE_NAME_OR_PR_CHANGE="",IF(TITLE_NAME_OR_PR="","",TITLE_NAME_OR_PR),TITLE_NAME_OR_PR_CHANGE)</f>
        <v/>
      </c>
      <c r="AE29" s="1187"/>
      <c r="AF29" s="1187"/>
      <c r="AG29" s="1187"/>
      <c r="AH29" s="1187"/>
      <c r="AI29" s="1187"/>
      <c r="AJ29" s="1187"/>
      <c r="AS29" s="592">
        <v>0</v>
      </c>
    </row>
    <row r="30" spans="15:45" ht="18.75" hidden="1" customHeight="1">
      <c r="S30" s="1186" t="s">
        <v>434</v>
      </c>
      <c r="T30" s="1186"/>
      <c r="U30" s="849"/>
      <c r="V30" s="1196" t="str">
        <f>IF(TITLE_DATE_PR_CHANGE="",IF(TITLE_DATE_PR="","",TITLE_DATE_PR),TITLE_DATE_PR_CHANGE)</f>
        <v/>
      </c>
      <c r="W30" s="1196"/>
      <c r="X30" s="1196"/>
      <c r="Y30" s="1196"/>
      <c r="Z30" s="1196"/>
      <c r="AA30" s="1196"/>
      <c r="AB30" s="1196"/>
      <c r="AD30" s="1196" t="str">
        <f>IF(TITLE_DATE_PR_CHANGE="",IF(TITLE_DATE_PR="","",TITLE_DATE_PR),TITLE_DATE_PR_CHANGE)</f>
        <v/>
      </c>
      <c r="AE30" s="1196"/>
      <c r="AF30" s="1196"/>
      <c r="AG30" s="1196"/>
      <c r="AH30" s="1196"/>
      <c r="AI30" s="1196"/>
      <c r="AJ30" s="1196"/>
      <c r="AS30" s="592">
        <v>0</v>
      </c>
    </row>
    <row r="31" spans="15:45" ht="18.75" hidden="1" customHeight="1">
      <c r="S31" s="1186" t="s">
        <v>435</v>
      </c>
      <c r="T31" s="1186"/>
      <c r="U31" s="849"/>
      <c r="V31" s="1187" t="str">
        <f>IF(TITLE_NUMBER_PR_CHANGE="",IF(TITLE_NUMBER_PR="","",TITLE_NUMBER_PR),TITLE_NUMBER_PR_CHANGE)</f>
        <v/>
      </c>
      <c r="W31" s="1187"/>
      <c r="X31" s="1187"/>
      <c r="Y31" s="1187"/>
      <c r="Z31" s="1187"/>
      <c r="AA31" s="1187"/>
      <c r="AB31" s="1187"/>
      <c r="AD31" s="1187" t="str">
        <f>IF(TITLE_NUMBER_PR_CHANGE="",IF(TITLE_NUMBER_PR="","",TITLE_NUMBER_PR),TITLE_NUMBER_PR_CHANGE)</f>
        <v/>
      </c>
      <c r="AE31" s="1187"/>
      <c r="AF31" s="1187"/>
      <c r="AG31" s="1187"/>
      <c r="AH31" s="1187"/>
      <c r="AI31" s="1187"/>
      <c r="AJ31" s="1187"/>
      <c r="AS31" s="592">
        <v>0</v>
      </c>
    </row>
    <row r="32" spans="15:45" ht="18.75" hidden="1" customHeight="1">
      <c r="S32" s="1186" t="s">
        <v>42</v>
      </c>
      <c r="T32" s="1186"/>
      <c r="U32" s="849"/>
      <c r="V32" s="1187" t="str">
        <f>IF(TITLE_IST_PUB_CHANGE="",IF(TITLE_IST_PUB="","",TITLE_IST_PUB),TITLE_IST_PUB_CHANGE)</f>
        <v/>
      </c>
      <c r="W32" s="1187"/>
      <c r="X32" s="1187"/>
      <c r="Y32" s="1187"/>
      <c r="Z32" s="1187"/>
      <c r="AA32" s="1187"/>
      <c r="AB32" s="1187"/>
      <c r="AD32" s="1187" t="str">
        <f>IF(TITLE_IST_PUB_CHANGE="",IF(TITLE_IST_PUB="","",TITLE_IST_PUB),TITLE_IST_PUB_CHANGE)</f>
        <v/>
      </c>
      <c r="AE32" s="1187"/>
      <c r="AF32" s="1187"/>
      <c r="AG32" s="1187"/>
      <c r="AH32" s="1187"/>
      <c r="AI32" s="1187"/>
      <c r="AJ32" s="1187"/>
      <c r="AS32" s="592">
        <v>0</v>
      </c>
    </row>
    <row r="33" spans="1:45" ht="14.25" hidden="1" customHeight="1">
      <c r="Q33" s="756"/>
      <c r="R33" s="756"/>
      <c r="S33" s="847"/>
      <c r="T33" s="556"/>
      <c r="U33" s="556"/>
      <c r="V33" s="826"/>
      <c r="W33" s="826"/>
      <c r="X33" s="826"/>
      <c r="Y33" s="826"/>
      <c r="Z33" s="826"/>
      <c r="AA33" s="826"/>
      <c r="AB33" s="826"/>
      <c r="AC33" s="826"/>
      <c r="AD33" s="826"/>
      <c r="AE33" s="826"/>
      <c r="AF33" s="826"/>
      <c r="AG33" s="826"/>
      <c r="AH33" s="826"/>
      <c r="AI33" s="826"/>
      <c r="AJ33" s="826"/>
      <c r="AK33" s="826"/>
      <c r="AS33" s="538">
        <v>0</v>
      </c>
    </row>
    <row r="34" spans="1:45" ht="18.75" hidden="1" customHeight="1">
      <c r="S34" s="1186" t="s">
        <v>436</v>
      </c>
      <c r="T34" s="1186"/>
      <c r="U34" s="849"/>
      <c r="V34" s="1196" t="str">
        <f>IF(TITLE_DATE_PR_CHANGE="",IF(TITLE_DATE_PR="","",TITLE_DATE_PR),TITLE_DATE_PR_CHANGE)</f>
        <v/>
      </c>
      <c r="W34" s="1196"/>
      <c r="X34" s="1196"/>
      <c r="Y34" s="1196"/>
      <c r="Z34" s="1196"/>
      <c r="AA34" s="1196"/>
      <c r="AB34" s="1196"/>
      <c r="AD34" s="1196" t="str">
        <f>IF(TITLE_DATE_PR_CHANGE="",IF(TITLE_DATE_PR="","",TITLE_DATE_PR),TITLE_DATE_PR_CHANGE)</f>
        <v/>
      </c>
      <c r="AE34" s="1196"/>
      <c r="AF34" s="1196"/>
      <c r="AG34" s="1196"/>
      <c r="AH34" s="1196"/>
      <c r="AI34" s="1196"/>
      <c r="AJ34" s="1196"/>
      <c r="AS34" s="592">
        <v>0</v>
      </c>
    </row>
    <row r="35" spans="1:45" ht="18.75" hidden="1" customHeight="1">
      <c r="S35" s="1186" t="s">
        <v>437</v>
      </c>
      <c r="T35" s="1186"/>
      <c r="U35" s="849"/>
      <c r="V35" s="1187" t="str">
        <f>IF(TITLE_NUMBER_PR_CHANGE="",IF(TITLE_NUMBER_PR="","",TITLE_NUMBER_PR),TITLE_NUMBER_PR_CHANGE)</f>
        <v/>
      </c>
      <c r="W35" s="1187"/>
      <c r="X35" s="1187"/>
      <c r="Y35" s="1187"/>
      <c r="Z35" s="1187"/>
      <c r="AA35" s="1187"/>
      <c r="AB35" s="1187"/>
      <c r="AD35" s="1187" t="str">
        <f>IF(TITLE_NUMBER_PR_CHANGE="",IF(TITLE_NUMBER_PR="","",TITLE_NUMBER_PR),TITLE_NUMBER_PR_CHANGE)</f>
        <v/>
      </c>
      <c r="AE35" s="1187"/>
      <c r="AF35" s="1187"/>
      <c r="AG35" s="1187"/>
      <c r="AH35" s="1187"/>
      <c r="AI35" s="1187"/>
      <c r="AJ35" s="1187"/>
      <c r="AS35" s="592">
        <v>0</v>
      </c>
    </row>
    <row r="36" spans="1:45" ht="0" hidden="1" customHeight="1">
      <c r="AC36" s="577" t="s">
        <v>438</v>
      </c>
      <c r="AK36" s="577" t="s">
        <v>438</v>
      </c>
      <c r="AS36" s="592">
        <v>0</v>
      </c>
    </row>
    <row r="37" spans="1:45" ht="14.65" customHeight="1">
      <c r="Q37" s="756"/>
      <c r="R37" s="756"/>
      <c r="S37" s="847"/>
      <c r="T37" s="556"/>
      <c r="U37" s="850"/>
      <c r="V37" s="1188"/>
      <c r="W37" s="1188"/>
      <c r="X37" s="1188"/>
      <c r="Y37" s="1188"/>
      <c r="Z37" s="1188"/>
      <c r="AA37" s="1188"/>
      <c r="AB37" s="1188"/>
      <c r="AC37" s="1188"/>
      <c r="AD37" s="1188"/>
      <c r="AE37" s="1188"/>
      <c r="AF37" s="1188"/>
      <c r="AG37" s="1188"/>
      <c r="AH37" s="1188"/>
      <c r="AI37" s="1188"/>
      <c r="AJ37" s="1188"/>
      <c r="AK37" s="1188"/>
      <c r="AS37" s="538">
        <v>14</v>
      </c>
    </row>
    <row r="38" spans="1:45" ht="14.65" customHeight="1">
      <c r="Q38" s="756"/>
      <c r="R38" s="756"/>
      <c r="S38" s="1066" t="s">
        <v>311</v>
      </c>
      <c r="T38" s="1066"/>
      <c r="U38" s="1066"/>
      <c r="V38" s="1066"/>
      <c r="W38" s="1066"/>
      <c r="X38" s="1066"/>
      <c r="Y38" s="1066"/>
      <c r="Z38" s="1066"/>
      <c r="AA38" s="1066"/>
      <c r="AB38" s="1066"/>
      <c r="AC38" s="1066"/>
      <c r="AD38" s="1066"/>
      <c r="AE38" s="1066"/>
      <c r="AF38" s="1066"/>
      <c r="AG38" s="1066"/>
      <c r="AH38" s="1066"/>
      <c r="AI38" s="1066"/>
      <c r="AJ38" s="1066"/>
      <c r="AK38" s="1066"/>
      <c r="AL38" s="1066"/>
      <c r="AM38" s="1066" t="s">
        <v>312</v>
      </c>
      <c r="AS38" s="538">
        <v>14</v>
      </c>
    </row>
    <row r="39" spans="1:45" ht="14.65" customHeight="1">
      <c r="Q39" s="756"/>
      <c r="R39" s="756"/>
      <c r="S39" s="1202" t="s">
        <v>87</v>
      </c>
      <c r="T39" s="1154" t="s">
        <v>439</v>
      </c>
      <c r="U39" s="817"/>
      <c r="V39" s="1203" t="s">
        <v>440</v>
      </c>
      <c r="W39" s="1204"/>
      <c r="X39" s="1204"/>
      <c r="Y39" s="1204"/>
      <c r="Z39" s="1204"/>
      <c r="AA39" s="1204"/>
      <c r="AB39" s="1205"/>
      <c r="AC39" s="1206" t="s">
        <v>441</v>
      </c>
      <c r="AD39" s="1203" t="s">
        <v>440</v>
      </c>
      <c r="AE39" s="1204"/>
      <c r="AF39" s="1204"/>
      <c r="AG39" s="1204"/>
      <c r="AH39" s="1204"/>
      <c r="AI39" s="1204"/>
      <c r="AJ39" s="1205"/>
      <c r="AK39" s="1206" t="s">
        <v>442</v>
      </c>
      <c r="AL39" s="1209" t="s">
        <v>443</v>
      </c>
      <c r="AM39" s="1066"/>
      <c r="AS39" s="538">
        <v>14</v>
      </c>
    </row>
    <row r="40" spans="1:45" ht="35.65" customHeight="1">
      <c r="Q40" s="756"/>
      <c r="R40" s="756"/>
      <c r="S40" s="1202"/>
      <c r="T40" s="1154"/>
      <c r="U40" s="822"/>
      <c r="V40" s="1126" t="s">
        <v>444</v>
      </c>
      <c r="W40" s="1212"/>
      <c r="X40" s="1048" t="s">
        <v>446</v>
      </c>
      <c r="Y40" s="1047"/>
      <c r="Z40" s="1048" t="s">
        <v>447</v>
      </c>
      <c r="AA40" s="1053"/>
      <c r="AB40" s="1047"/>
      <c r="AC40" s="1207"/>
      <c r="AD40" s="1126" t="s">
        <v>461</v>
      </c>
      <c r="AE40" s="1212"/>
      <c r="AF40" s="1048" t="s">
        <v>446</v>
      </c>
      <c r="AG40" s="1047"/>
      <c r="AH40" s="1048" t="s">
        <v>447</v>
      </c>
      <c r="AI40" s="1053"/>
      <c r="AJ40" s="1047"/>
      <c r="AK40" s="1207"/>
      <c r="AL40" s="1210"/>
      <c r="AM40" s="1066"/>
      <c r="AS40" s="538">
        <v>34</v>
      </c>
    </row>
    <row r="41" spans="1:45" ht="35.65" customHeight="1">
      <c r="B41" s="598" t="s">
        <v>148</v>
      </c>
      <c r="C41" s="598" t="s">
        <v>149</v>
      </c>
      <c r="D41" s="598" t="s">
        <v>150</v>
      </c>
      <c r="E41" s="841" t="s">
        <v>448</v>
      </c>
      <c r="F41" s="841" t="s">
        <v>449</v>
      </c>
      <c r="G41" s="841" t="s">
        <v>450</v>
      </c>
      <c r="H41" s="841" t="s">
        <v>451</v>
      </c>
      <c r="I41" s="841" t="s">
        <v>452</v>
      </c>
      <c r="J41" s="841" t="s">
        <v>453</v>
      </c>
      <c r="K41" s="841" t="s">
        <v>454</v>
      </c>
      <c r="L41" s="841" t="s">
        <v>429</v>
      </c>
      <c r="Q41" s="756"/>
      <c r="R41" s="756"/>
      <c r="S41" s="1202"/>
      <c r="T41" s="1154"/>
      <c r="U41" s="852"/>
      <c r="V41" s="1173"/>
      <c r="W41" s="1213"/>
      <c r="X41" s="602" t="s">
        <v>455</v>
      </c>
      <c r="Y41" s="602" t="s">
        <v>456</v>
      </c>
      <c r="Z41" s="602" t="s">
        <v>457</v>
      </c>
      <c r="AA41" s="1162" t="s">
        <v>458</v>
      </c>
      <c r="AB41" s="1164"/>
      <c r="AC41" s="1208"/>
      <c r="AD41" s="1173"/>
      <c r="AE41" s="1213"/>
      <c r="AF41" s="602" t="s">
        <v>455</v>
      </c>
      <c r="AG41" s="602" t="s">
        <v>456</v>
      </c>
      <c r="AH41" s="602" t="s">
        <v>457</v>
      </c>
      <c r="AI41" s="1162" t="s">
        <v>458</v>
      </c>
      <c r="AJ41" s="1164"/>
      <c r="AK41" s="1208"/>
      <c r="AL41" s="1211"/>
      <c r="AM41" s="1066"/>
      <c r="AS41" s="538">
        <v>34</v>
      </c>
    </row>
    <row r="42" spans="1:45" ht="11.25" hidden="1" customHeight="1">
      <c r="Q42" s="853"/>
      <c r="R42" s="854">
        <v>1</v>
      </c>
      <c r="S42" s="329" t="s">
        <v>114</v>
      </c>
      <c r="T42" s="330" t="s">
        <v>102</v>
      </c>
      <c r="U42" s="855" t="str">
        <f ca="1">OFFSET(U42,0,-1)</f>
        <v>2</v>
      </c>
      <c r="V42" s="856">
        <f ca="1">OFFSET(V42,0,-1)+1</f>
        <v>3</v>
      </c>
      <c r="W42" s="856"/>
      <c r="X42" s="856">
        <f ca="1">OFFSET(X42,0,-1)+1</f>
        <v>1</v>
      </c>
      <c r="Y42" s="856">
        <f ca="1">OFFSET(Y42,0,-1)+1</f>
        <v>2</v>
      </c>
      <c r="Z42" s="856">
        <f ca="1">OFFSET(Z42,0,-1)+1</f>
        <v>3</v>
      </c>
      <c r="AA42" s="1201">
        <f ca="1">OFFSET(AA42,0,-1)+1</f>
        <v>4</v>
      </c>
      <c r="AB42" s="1201"/>
      <c r="AC42" s="856">
        <f ca="1">OFFSET(AC42,0,-2)+1</f>
        <v>5</v>
      </c>
      <c r="AD42" s="856">
        <f ca="1">OFFSET(AD42,0,-1)+1</f>
        <v>6</v>
      </c>
      <c r="AE42" s="856"/>
      <c r="AF42" s="856">
        <f ca="1">OFFSET(AF42,0,-1)+1</f>
        <v>1</v>
      </c>
      <c r="AG42" s="856">
        <f ca="1">OFFSET(AG42,0,-1)+1</f>
        <v>2</v>
      </c>
      <c r="AH42" s="856">
        <f ca="1">OFFSET(AH42,0,-1)+1</f>
        <v>3</v>
      </c>
      <c r="AI42" s="1201">
        <f ca="1">OFFSET(AI42,0,-1)+1</f>
        <v>4</v>
      </c>
      <c r="AJ42" s="1201"/>
      <c r="AK42" s="856">
        <f ca="1">OFFSET(AK42,0,-2)+1</f>
        <v>5</v>
      </c>
      <c r="AL42" s="855">
        <f ca="1">OFFSET(AL42,0,-1)</f>
        <v>5</v>
      </c>
      <c r="AM42" s="856">
        <f ca="1">OFFSET(AM42,0,-1)+1</f>
        <v>6</v>
      </c>
      <c r="AS42" s="681">
        <v>0</v>
      </c>
    </row>
    <row r="43" spans="1:45" ht="21.95" customHeight="1">
      <c r="A43" s="857" t="s">
        <v>181</v>
      </c>
      <c r="E43" s="1194">
        <v>1</v>
      </c>
      <c r="R43" s="310"/>
      <c r="S43" s="832">
        <f>INDEX(PT_DIFFERENTIATION_NUM_NTAR,MATCH(A43,PT_DIFFERENTIATION_NTAR_ID,0))</f>
        <v>0</v>
      </c>
      <c r="T43" s="795" t="s">
        <v>136</v>
      </c>
      <c r="U43" s="833"/>
      <c r="V43" s="1180"/>
      <c r="W43" s="1181"/>
      <c r="X43" s="1181"/>
      <c r="Y43" s="1181"/>
      <c r="Z43" s="1181"/>
      <c r="AA43" s="1181"/>
      <c r="AB43" s="1181"/>
      <c r="AC43" s="1182"/>
      <c r="AD43" s="1180" t="str">
        <f>INDEX(PT_DIFFERENTIATION_NTAR,MATCH(A43,PT_DIFFERENTIATION_NTAR_ID,0))</f>
        <v/>
      </c>
      <c r="AE43" s="1181"/>
      <c r="AF43" s="1181"/>
      <c r="AG43" s="1181"/>
      <c r="AH43" s="1181"/>
      <c r="AI43" s="1181"/>
      <c r="AJ43" s="1181"/>
      <c r="AK43" s="1181"/>
      <c r="AL43" s="1182"/>
      <c r="AM43" s="83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582" t="str">
        <f t="shared" ref="AP43:AP57" si="1">IF(T43="","",T43)</f>
        <v>Наименование тарифа</v>
      </c>
      <c r="AS43" s="538">
        <v>21</v>
      </c>
    </row>
    <row r="44" spans="1:45" ht="21.95" customHeight="1">
      <c r="A44" s="857" t="s">
        <v>181</v>
      </c>
      <c r="B44" s="857" t="s">
        <v>182</v>
      </c>
      <c r="E44" s="1195"/>
      <c r="F44" s="1194">
        <v>1</v>
      </c>
      <c r="Q44" s="836"/>
      <c r="R44" s="837"/>
      <c r="S44" s="832" t="str">
        <f>INDEX(PT_DIFFERENTIATION_NUM_TER,MATCH(B44,PT_DIFFERENTIATION_TER_ID,0))</f>
        <v>.</v>
      </c>
      <c r="T44" s="838" t="s">
        <v>408</v>
      </c>
      <c r="U44" s="833"/>
      <c r="V44" s="1180"/>
      <c r="W44" s="1181"/>
      <c r="X44" s="1181"/>
      <c r="Y44" s="1181"/>
      <c r="Z44" s="1181"/>
      <c r="AA44" s="1181"/>
      <c r="AB44" s="1181"/>
      <c r="AC44" s="1182"/>
      <c r="AD44" s="1180" t="str">
        <f>INDEX(PT_DIFFERENTIATION_TER,MATCH(B44,PT_DIFFERENTIATION_TER_ID,0))</f>
        <v/>
      </c>
      <c r="AE44" s="1181"/>
      <c r="AF44" s="1181"/>
      <c r="AG44" s="1181"/>
      <c r="AH44" s="1181"/>
      <c r="AI44" s="1181"/>
      <c r="AJ44" s="1181"/>
      <c r="AK44" s="1181"/>
      <c r="AL44" s="1182"/>
      <c r="AM44" s="835" t="s">
        <v>409</v>
      </c>
      <c r="AP44" s="582" t="str">
        <f t="shared" si="1"/>
        <v>Территория действия тарифа</v>
      </c>
      <c r="AS44" s="538">
        <v>21</v>
      </c>
    </row>
    <row r="45" spans="1:45" ht="24" customHeight="1">
      <c r="A45" s="857" t="s">
        <v>181</v>
      </c>
      <c r="B45" s="857" t="s">
        <v>182</v>
      </c>
      <c r="C45" s="857" t="s">
        <v>183</v>
      </c>
      <c r="E45" s="1195"/>
      <c r="F45" s="1195"/>
      <c r="G45" s="1194">
        <v>1</v>
      </c>
      <c r="Q45" s="836"/>
      <c r="R45" s="837"/>
      <c r="S45" s="832" t="str">
        <f>INDEX(PT_DIFFERENTIATION_NUM_CS,MATCH(C45,PT_DIFFERENTIATION_CS_ID,0))</f>
        <v>..</v>
      </c>
      <c r="T45" s="839" t="s">
        <v>410</v>
      </c>
      <c r="U45" s="833"/>
      <c r="V45" s="1180"/>
      <c r="W45" s="1181"/>
      <c r="X45" s="1181"/>
      <c r="Y45" s="1181"/>
      <c r="Z45" s="1181"/>
      <c r="AA45" s="1181"/>
      <c r="AB45" s="1181"/>
      <c r="AC45" s="1182"/>
      <c r="AD45" s="1180" t="str">
        <f>INDEX(PT_DIFFERENTIATION_CS,MATCH(C45,PT_DIFFERENTIATION_CS_ID,0))</f>
        <v/>
      </c>
      <c r="AE45" s="1181"/>
      <c r="AF45" s="1181"/>
      <c r="AG45" s="1181"/>
      <c r="AH45" s="1181"/>
      <c r="AI45" s="1181"/>
      <c r="AJ45" s="1181"/>
      <c r="AK45" s="1181"/>
      <c r="AL45" s="1182"/>
      <c r="AM45" s="835" t="s">
        <v>411</v>
      </c>
      <c r="AP45" s="582" t="str">
        <f t="shared" si="1"/>
        <v xml:space="preserve">Наименование системы теплоснабжения </v>
      </c>
      <c r="AS45" s="538">
        <v>23</v>
      </c>
    </row>
    <row r="46" spans="1:45" ht="21.95" customHeight="1">
      <c r="A46" s="857" t="s">
        <v>181</v>
      </c>
      <c r="B46" s="857" t="s">
        <v>182</v>
      </c>
      <c r="C46" s="857" t="s">
        <v>183</v>
      </c>
      <c r="D46" s="857" t="s">
        <v>184</v>
      </c>
      <c r="E46" s="1195"/>
      <c r="F46" s="1195"/>
      <c r="G46" s="1195"/>
      <c r="H46" s="1194">
        <v>1</v>
      </c>
      <c r="Q46" s="836"/>
      <c r="R46" s="837"/>
      <c r="S46" s="832" t="str">
        <f>INDEX(PT_DIFFERENTIATION_NUM_IST_TE,MATCH(D46,PT_DIFFERENTIATION_IST_TE_ID,0))</f>
        <v>...</v>
      </c>
      <c r="T46" s="840" t="s">
        <v>412</v>
      </c>
      <c r="U46" s="833"/>
      <c r="V46" s="1180"/>
      <c r="W46" s="1181"/>
      <c r="X46" s="1181"/>
      <c r="Y46" s="1181"/>
      <c r="Z46" s="1181"/>
      <c r="AA46" s="1181"/>
      <c r="AB46" s="1181"/>
      <c r="AC46" s="1182"/>
      <c r="AD46" s="1180" t="str">
        <f>INDEX(PT_DIFFERENTIATION_IST_TE,MATCH(D46,PT_DIFFERENTIATION_IST_TE_ID,0))</f>
        <v/>
      </c>
      <c r="AE46" s="1181"/>
      <c r="AF46" s="1181"/>
      <c r="AG46" s="1181"/>
      <c r="AH46" s="1181"/>
      <c r="AI46" s="1181"/>
      <c r="AJ46" s="1181"/>
      <c r="AK46" s="1181"/>
      <c r="AL46" s="1182"/>
      <c r="AM46" s="835" t="s">
        <v>413</v>
      </c>
      <c r="AP46" s="582" t="str">
        <f t="shared" si="1"/>
        <v xml:space="preserve">Источник тепловой энергии  </v>
      </c>
      <c r="AS46" s="538">
        <v>21</v>
      </c>
    </row>
    <row r="47" spans="1:45" ht="0" hidden="1" customHeight="1">
      <c r="A47" s="574" t="s">
        <v>181</v>
      </c>
      <c r="B47" s="574" t="s">
        <v>182</v>
      </c>
      <c r="C47" s="574" t="s">
        <v>183</v>
      </c>
      <c r="D47" s="574" t="s">
        <v>184</v>
      </c>
      <c r="E47" s="1195"/>
      <c r="F47" s="1195"/>
      <c r="G47" s="1195"/>
      <c r="H47" s="1195"/>
      <c r="I47" s="1192" t="str">
        <f>S46&amp;".1"</f>
        <v>....1</v>
      </c>
      <c r="L47" s="863" t="s">
        <v>414</v>
      </c>
      <c r="P47" s="1193">
        <v>1</v>
      </c>
      <c r="R47" s="842"/>
      <c r="S47" s="635"/>
      <c r="T47" s="859"/>
      <c r="U47" s="860"/>
      <c r="V47" s="1222"/>
      <c r="W47" s="1223"/>
      <c r="X47" s="1223"/>
      <c r="Y47" s="1223"/>
      <c r="Z47" s="1223"/>
      <c r="AA47" s="1223"/>
      <c r="AB47" s="1223"/>
      <c r="AC47" s="1224"/>
      <c r="AD47" s="1222"/>
      <c r="AE47" s="1223"/>
      <c r="AF47" s="1223"/>
      <c r="AG47" s="1223"/>
      <c r="AH47" s="1223"/>
      <c r="AI47" s="1223"/>
      <c r="AJ47" s="1223"/>
      <c r="AK47" s="1223"/>
      <c r="AL47" s="1224"/>
      <c r="AM47" s="862"/>
      <c r="AP47" s="582" t="str">
        <f t="shared" si="1"/>
        <v/>
      </c>
      <c r="AS47" s="577">
        <v>0</v>
      </c>
    </row>
    <row r="48" spans="1:45" ht="21.95" customHeight="1">
      <c r="A48" s="857" t="s">
        <v>181</v>
      </c>
      <c r="B48" s="857" t="s">
        <v>182</v>
      </c>
      <c r="C48" s="857" t="s">
        <v>183</v>
      </c>
      <c r="D48" s="857" t="s">
        <v>184</v>
      </c>
      <c r="E48" s="1195"/>
      <c r="F48" s="1195"/>
      <c r="G48" s="1195"/>
      <c r="H48" s="1195"/>
      <c r="I48" s="1214"/>
      <c r="J48" s="1192" t="str">
        <f>S46&amp;".1"</f>
        <v>....1</v>
      </c>
      <c r="L48" s="841" t="s">
        <v>417</v>
      </c>
      <c r="P48" s="1031"/>
      <c r="Q48" s="1193">
        <v>1</v>
      </c>
      <c r="R48" s="844"/>
      <c r="S48" s="832" t="str">
        <f>$J48</f>
        <v>....1</v>
      </c>
      <c r="T48" s="845" t="s">
        <v>418</v>
      </c>
      <c r="U48" s="833"/>
      <c r="V48" s="1183"/>
      <c r="W48" s="1184"/>
      <c r="X48" s="1184"/>
      <c r="Y48" s="1184"/>
      <c r="Z48" s="1184"/>
      <c r="AA48" s="1184"/>
      <c r="AB48" s="1184"/>
      <c r="AC48" s="1185"/>
      <c r="AD48" s="1183"/>
      <c r="AE48" s="1184"/>
      <c r="AF48" s="1184"/>
      <c r="AG48" s="1184"/>
      <c r="AH48" s="1184"/>
      <c r="AI48" s="1184"/>
      <c r="AJ48" s="1184"/>
      <c r="AK48" s="1184"/>
      <c r="AL48" s="1185"/>
      <c r="AM48" s="835" t="s">
        <v>419</v>
      </c>
      <c r="AP48" s="582" t="str">
        <f t="shared" si="1"/>
        <v>Группа потребителей</v>
      </c>
      <c r="AS48" s="538">
        <v>21</v>
      </c>
    </row>
    <row r="49" spans="1:45" ht="21.95" customHeight="1">
      <c r="A49" s="857" t="s">
        <v>181</v>
      </c>
      <c r="B49" s="857" t="s">
        <v>182</v>
      </c>
      <c r="C49" s="857" t="s">
        <v>183</v>
      </c>
      <c r="D49" s="857" t="s">
        <v>184</v>
      </c>
      <c r="E49" s="1195"/>
      <c r="F49" s="1195"/>
      <c r="G49" s="1195"/>
      <c r="H49" s="1195"/>
      <c r="I49" s="1214"/>
      <c r="J49" s="1214"/>
      <c r="K49" s="1192" t="str">
        <f>J48&amp;".1"</f>
        <v>....1.1</v>
      </c>
      <c r="L49" s="841" t="s">
        <v>420</v>
      </c>
      <c r="P49" s="1031"/>
      <c r="Q49" s="1031"/>
      <c r="R49" s="844">
        <v>1</v>
      </c>
      <c r="S49" s="832" t="str">
        <f>$K49</f>
        <v>....1.1</v>
      </c>
      <c r="T49" s="846"/>
      <c r="U49" s="833"/>
      <c r="V49" s="311"/>
      <c r="W49" s="312"/>
      <c r="X49" s="311"/>
      <c r="Y49" s="313"/>
      <c r="Z49" s="1197"/>
      <c r="AA49" s="1058" t="s">
        <v>61</v>
      </c>
      <c r="AB49" s="1197"/>
      <c r="AC49" s="1058" t="s">
        <v>61</v>
      </c>
      <c r="AD49" s="311"/>
      <c r="AE49" s="312"/>
      <c r="AF49" s="311"/>
      <c r="AG49" s="313"/>
      <c r="AH49" s="1197"/>
      <c r="AI49" s="1058" t="s">
        <v>61</v>
      </c>
      <c r="AJ49" s="1215"/>
      <c r="AK49" s="1058" t="s">
        <v>61</v>
      </c>
      <c r="AL49" s="331"/>
      <c r="AM49" s="1189" t="s">
        <v>462</v>
      </c>
      <c r="AN49" s="577" t="e">
        <f ca="1">STRCHECKDATE(V50:AL50)</f>
        <v>#NAME?</v>
      </c>
      <c r="AP49" s="582" t="str">
        <f t="shared" si="1"/>
        <v/>
      </c>
      <c r="AS49" s="538">
        <v>21</v>
      </c>
    </row>
    <row r="50" spans="1:45" ht="1.1499999999999999" customHeight="1">
      <c r="A50" s="857" t="s">
        <v>181</v>
      </c>
      <c r="B50" s="857" t="s">
        <v>182</v>
      </c>
      <c r="C50" s="857" t="s">
        <v>183</v>
      </c>
      <c r="D50" s="857" t="s">
        <v>184</v>
      </c>
      <c r="E50" s="1195"/>
      <c r="F50" s="1195"/>
      <c r="G50" s="1195"/>
      <c r="H50" s="1195"/>
      <c r="I50" s="1214"/>
      <c r="J50" s="1214"/>
      <c r="K50" s="1192"/>
      <c r="P50" s="1031"/>
      <c r="Q50" s="1031"/>
      <c r="R50" s="844"/>
      <c r="S50" s="127"/>
      <c r="T50" s="833"/>
      <c r="U50" s="833"/>
      <c r="V50" s="312"/>
      <c r="W50" s="312"/>
      <c r="X50" s="312"/>
      <c r="Y50" s="314" t="str">
        <f>Z49&amp;"-"&amp;AB49</f>
        <v>-</v>
      </c>
      <c r="Z50" s="1198"/>
      <c r="AA50" s="1058"/>
      <c r="AB50" s="1198"/>
      <c r="AC50" s="1058"/>
      <c r="AD50" s="312"/>
      <c r="AE50" s="312"/>
      <c r="AF50" s="312"/>
      <c r="AG50" s="314" t="str">
        <f>AH49&amp;"-"&amp;AJ49</f>
        <v>-</v>
      </c>
      <c r="AH50" s="1198"/>
      <c r="AI50" s="1058"/>
      <c r="AJ50" s="1216"/>
      <c r="AK50" s="1058"/>
      <c r="AL50" s="332"/>
      <c r="AM50" s="1190"/>
      <c r="AP50" s="582" t="str">
        <f t="shared" si="1"/>
        <v/>
      </c>
      <c r="AS50" s="538">
        <v>1</v>
      </c>
    </row>
    <row r="51" spans="1:45" ht="11.45" customHeight="1">
      <c r="A51" s="857" t="s">
        <v>181</v>
      </c>
      <c r="B51" s="857" t="s">
        <v>182</v>
      </c>
      <c r="C51" s="857" t="s">
        <v>183</v>
      </c>
      <c r="D51" s="857" t="s">
        <v>184</v>
      </c>
      <c r="E51" s="1195"/>
      <c r="F51" s="1195"/>
      <c r="G51" s="1195"/>
      <c r="H51" s="1195"/>
      <c r="I51" s="1214"/>
      <c r="J51" s="1192"/>
      <c r="P51" s="1031"/>
      <c r="Q51" s="1031"/>
      <c r="R51" s="842"/>
      <c r="S51" s="315"/>
      <c r="T51" s="318" t="s">
        <v>422</v>
      </c>
      <c r="U51" s="52"/>
      <c r="V51" s="52"/>
      <c r="W51" s="52"/>
      <c r="X51" s="52"/>
      <c r="Y51" s="52"/>
      <c r="Z51" s="52"/>
      <c r="AA51" s="52"/>
      <c r="AB51" s="52"/>
      <c r="AC51" s="52"/>
      <c r="AD51" s="52"/>
      <c r="AE51" s="52"/>
      <c r="AF51" s="52"/>
      <c r="AG51" s="52"/>
      <c r="AH51" s="52"/>
      <c r="AI51" s="52"/>
      <c r="AJ51" s="52"/>
      <c r="AK51" s="52"/>
      <c r="AL51" s="317"/>
      <c r="AM51" s="1191"/>
      <c r="AP51" s="582" t="str">
        <f t="shared" si="1"/>
        <v>Добавить вид теплоносителя (параметры теплоносителя)</v>
      </c>
      <c r="AS51" s="538">
        <v>11</v>
      </c>
    </row>
    <row r="52" spans="1:45" ht="11.45" customHeight="1">
      <c r="A52" s="857" t="s">
        <v>181</v>
      </c>
      <c r="B52" s="857" t="s">
        <v>182</v>
      </c>
      <c r="C52" s="857" t="s">
        <v>183</v>
      </c>
      <c r="D52" s="857" t="s">
        <v>184</v>
      </c>
      <c r="E52" s="1195"/>
      <c r="F52" s="1195"/>
      <c r="G52" s="1195"/>
      <c r="H52" s="1195"/>
      <c r="I52" s="1192"/>
      <c r="P52" s="1031"/>
      <c r="R52" s="842"/>
      <c r="S52" s="315"/>
      <c r="T52" s="321" t="s">
        <v>423</v>
      </c>
      <c r="U52" s="52"/>
      <c r="V52" s="52"/>
      <c r="W52" s="52"/>
      <c r="X52" s="52"/>
      <c r="Y52" s="52"/>
      <c r="Z52" s="52"/>
      <c r="AA52" s="52"/>
      <c r="AB52" s="52"/>
      <c r="AC52" s="319"/>
      <c r="AD52" s="52"/>
      <c r="AE52" s="52"/>
      <c r="AF52" s="52"/>
      <c r="AG52" s="52"/>
      <c r="AH52" s="52"/>
      <c r="AI52" s="52"/>
      <c r="AJ52" s="52"/>
      <c r="AK52" s="319"/>
      <c r="AL52" s="52"/>
      <c r="AM52" s="320"/>
      <c r="AP52" s="582" t="str">
        <f t="shared" si="1"/>
        <v>Добавить группу потребителей</v>
      </c>
      <c r="AS52" s="538">
        <v>11</v>
      </c>
    </row>
    <row r="53" spans="1:45" ht="0" hidden="1" customHeight="1">
      <c r="A53" s="857" t="s">
        <v>181</v>
      </c>
      <c r="B53" s="857" t="s">
        <v>182</v>
      </c>
      <c r="C53" s="857" t="s">
        <v>183</v>
      </c>
      <c r="D53" s="857" t="s">
        <v>184</v>
      </c>
      <c r="E53" s="1195"/>
      <c r="F53" s="1195"/>
      <c r="G53" s="1195"/>
      <c r="H53" s="1194"/>
      <c r="R53" s="310"/>
      <c r="S53" s="334"/>
      <c r="T53" s="335"/>
      <c r="U53" s="336"/>
      <c r="V53" s="336"/>
      <c r="W53" s="336"/>
      <c r="X53" s="336"/>
      <c r="Y53" s="336"/>
      <c r="Z53" s="336"/>
      <c r="AA53" s="336"/>
      <c r="AB53" s="336"/>
      <c r="AC53" s="336"/>
      <c r="AD53" s="336"/>
      <c r="AE53" s="336"/>
      <c r="AF53" s="336"/>
      <c r="AG53" s="336"/>
      <c r="AH53" s="336"/>
      <c r="AI53" s="336"/>
      <c r="AJ53" s="336"/>
      <c r="AK53" s="336"/>
      <c r="AL53" s="336"/>
      <c r="AM53" s="337"/>
      <c r="AP53" s="582" t="str">
        <f t="shared" si="1"/>
        <v/>
      </c>
      <c r="AS53" s="538">
        <v>0</v>
      </c>
    </row>
    <row r="54" spans="1:45" ht="1.1499999999999999" customHeight="1">
      <c r="A54" s="574" t="s">
        <v>181</v>
      </c>
      <c r="B54" s="574" t="s">
        <v>182</v>
      </c>
      <c r="C54" s="574" t="s">
        <v>183</v>
      </c>
      <c r="E54" s="1195"/>
      <c r="F54" s="1195"/>
      <c r="G54" s="1194"/>
      <c r="T54" s="326" t="s">
        <v>425</v>
      </c>
      <c r="AP54" s="582" t="str">
        <f t="shared" si="1"/>
        <v>Добавить источник для дифференциации</v>
      </c>
      <c r="AS54" s="577">
        <v>1</v>
      </c>
    </row>
    <row r="55" spans="1:45" ht="1.1499999999999999" customHeight="1">
      <c r="A55" s="574" t="s">
        <v>181</v>
      </c>
      <c r="B55" s="574" t="s">
        <v>182</v>
      </c>
      <c r="E55" s="1195"/>
      <c r="F55" s="1194"/>
      <c r="T55" s="326" t="s">
        <v>426</v>
      </c>
      <c r="AP55" s="582" t="str">
        <f t="shared" si="1"/>
        <v>Добавить централизованную систему для дифференциации</v>
      </c>
      <c r="AS55" s="577">
        <v>1</v>
      </c>
    </row>
    <row r="56" spans="1:45" ht="1.1499999999999999" customHeight="1">
      <c r="A56" s="574" t="s">
        <v>181</v>
      </c>
      <c r="E56" s="1194"/>
      <c r="T56" s="326" t="s">
        <v>427</v>
      </c>
      <c r="AP56" s="582" t="str">
        <f t="shared" si="1"/>
        <v>Добавить территорию для дифференциации</v>
      </c>
      <c r="AS56" s="577">
        <v>1</v>
      </c>
    </row>
    <row r="57" spans="1:45" ht="1.1499999999999999" customHeight="1">
      <c r="T57" s="326" t="s">
        <v>459</v>
      </c>
      <c r="AP57" s="582" t="str">
        <f t="shared" si="1"/>
        <v>Добавить наименование тарифа</v>
      </c>
      <c r="AS57" s="577">
        <v>1</v>
      </c>
    </row>
    <row r="58" spans="1:45" ht="11.45" customHeight="1">
      <c r="AS58" s="538">
        <v>11</v>
      </c>
    </row>
    <row r="59" spans="1:45" ht="19.899999999999999" customHeight="1">
      <c r="T59" s="1031"/>
      <c r="U59" s="1031"/>
      <c r="V59" s="1031"/>
      <c r="W59" s="1031"/>
      <c r="X59" s="1031"/>
      <c r="Y59" s="1031"/>
      <c r="Z59" s="1031"/>
      <c r="AA59" s="1031"/>
      <c r="AB59" s="1031"/>
      <c r="AC59" s="1031"/>
      <c r="AD59" s="1031"/>
      <c r="AE59" s="1031"/>
      <c r="AF59" s="1031"/>
      <c r="AG59" s="1031"/>
      <c r="AH59" s="1031"/>
      <c r="AI59" s="1031"/>
      <c r="AJ59" s="1031"/>
      <c r="AK59" s="1031"/>
      <c r="AL59" s="1031"/>
      <c r="AM59" s="1031"/>
      <c r="AS59" s="538">
        <v>19</v>
      </c>
    </row>
    <row r="60" spans="1:45" ht="29.25" customHeight="1">
      <c r="T60" s="1031"/>
      <c r="U60" s="1031"/>
      <c r="V60" s="1031"/>
      <c r="W60" s="1031"/>
      <c r="X60" s="1031"/>
      <c r="Y60" s="1031"/>
      <c r="Z60" s="1031"/>
      <c r="AA60" s="1031"/>
      <c r="AB60" s="1031"/>
      <c r="AC60" s="1031"/>
      <c r="AD60" s="1031"/>
      <c r="AE60" s="1031"/>
      <c r="AF60" s="1031"/>
      <c r="AG60" s="1031"/>
      <c r="AH60" s="1031"/>
      <c r="AI60" s="1031"/>
      <c r="AJ60" s="1031"/>
      <c r="AK60" s="1031"/>
      <c r="AL60" s="1031"/>
      <c r="AM60" s="1031"/>
      <c r="AS60" s="538">
        <v>28</v>
      </c>
    </row>
    <row r="61" spans="1:45" ht="42" customHeight="1">
      <c r="T61" s="1031"/>
      <c r="U61" s="1031"/>
      <c r="V61" s="1031"/>
      <c r="W61" s="1031"/>
      <c r="X61" s="1031"/>
      <c r="Y61" s="1031"/>
      <c r="Z61" s="1031"/>
      <c r="AA61" s="1031"/>
      <c r="AB61" s="1031"/>
      <c r="AC61" s="1031"/>
      <c r="AD61" s="1031"/>
      <c r="AE61" s="1031"/>
      <c r="AF61" s="1031"/>
      <c r="AG61" s="1031"/>
      <c r="AH61" s="1031"/>
      <c r="AI61" s="1031"/>
      <c r="AJ61" s="1031"/>
      <c r="AK61" s="1031"/>
      <c r="AL61" s="1031"/>
      <c r="AM61" s="1031"/>
      <c r="AS61" s="538">
        <v>40</v>
      </c>
    </row>
    <row r="62" spans="1:45" ht="14.65" customHeight="1">
      <c r="AS62" s="538">
        <v>14</v>
      </c>
    </row>
    <row r="63" spans="1:45" ht="21" customHeight="1">
      <c r="T63" s="1031"/>
      <c r="U63" s="1031"/>
      <c r="V63" s="1031"/>
      <c r="W63" s="1031"/>
      <c r="X63" s="1031"/>
      <c r="Y63" s="1031"/>
      <c r="Z63" s="1031"/>
      <c r="AA63" s="1031"/>
      <c r="AB63" s="1031"/>
      <c r="AC63" s="1031"/>
      <c r="AD63" s="1031"/>
      <c r="AE63" s="1031"/>
      <c r="AF63" s="1031"/>
      <c r="AG63" s="1031"/>
      <c r="AH63" s="1031"/>
      <c r="AI63" s="1031"/>
      <c r="AJ63" s="1031"/>
      <c r="AK63" s="1031"/>
      <c r="AL63" s="1031"/>
      <c r="AM63" s="1031"/>
      <c r="AS63" s="538">
        <v>20</v>
      </c>
    </row>
    <row r="64" spans="1:45" ht="29.25" customHeight="1">
      <c r="T64" s="1031"/>
      <c r="U64" s="1031"/>
      <c r="V64" s="1031"/>
      <c r="W64" s="1031"/>
      <c r="X64" s="1031"/>
      <c r="Y64" s="1031"/>
      <c r="Z64" s="1031"/>
      <c r="AA64" s="1031"/>
      <c r="AB64" s="1031"/>
      <c r="AC64" s="1031"/>
      <c r="AD64" s="1031"/>
      <c r="AE64" s="1031"/>
      <c r="AF64" s="1031"/>
      <c r="AG64" s="1031"/>
      <c r="AH64" s="1031"/>
      <c r="AI64" s="1031"/>
      <c r="AJ64" s="1031"/>
      <c r="AK64" s="1031"/>
      <c r="AL64" s="1031"/>
      <c r="AM64" s="1031"/>
      <c r="AS64" s="538">
        <v>28</v>
      </c>
    </row>
    <row r="65" spans="1:45" ht="35.65" customHeight="1">
      <c r="T65" s="1031"/>
      <c r="U65" s="1031"/>
      <c r="V65" s="1031"/>
      <c r="W65" s="1031"/>
      <c r="X65" s="1031"/>
      <c r="Y65" s="1031"/>
      <c r="Z65" s="1031"/>
      <c r="AA65" s="1031"/>
      <c r="AB65" s="1031"/>
      <c r="AC65" s="1031"/>
      <c r="AD65" s="1031"/>
      <c r="AE65" s="1031"/>
      <c r="AF65" s="1031"/>
      <c r="AG65" s="1031"/>
      <c r="AH65" s="1031"/>
      <c r="AI65" s="1031"/>
      <c r="AJ65" s="1031"/>
      <c r="AK65" s="1031"/>
      <c r="AL65" s="1031"/>
      <c r="AM65" s="1031"/>
      <c r="AS65" s="538">
        <v>34</v>
      </c>
    </row>
    <row r="66" spans="1:45" ht="22.5" hidden="1" customHeight="1">
      <c r="A66" s="555" t="s">
        <v>81</v>
      </c>
      <c r="B66" s="555">
        <v>0</v>
      </c>
      <c r="C66" s="555">
        <v>0</v>
      </c>
      <c r="D66" s="555">
        <v>0</v>
      </c>
      <c r="E66" s="555">
        <v>0</v>
      </c>
      <c r="F66" s="555">
        <v>0</v>
      </c>
      <c r="G66" s="555">
        <v>0</v>
      </c>
      <c r="H66" s="555">
        <v>0</v>
      </c>
      <c r="I66" s="555">
        <v>0</v>
      </c>
      <c r="J66" s="555">
        <v>0</v>
      </c>
      <c r="K66" s="555">
        <v>0</v>
      </c>
      <c r="L66" s="667">
        <v>0</v>
      </c>
      <c r="M66" s="12">
        <v>0</v>
      </c>
      <c r="N66" s="12">
        <v>0</v>
      </c>
      <c r="O66" s="12">
        <v>0</v>
      </c>
      <c r="P66" s="300">
        <v>0</v>
      </c>
      <c r="Q66" s="821">
        <v>3</v>
      </c>
      <c r="R66" s="821">
        <v>3</v>
      </c>
      <c r="S66" s="553">
        <v>12</v>
      </c>
      <c r="T66" s="538">
        <v>31</v>
      </c>
      <c r="U66" s="538">
        <v>0</v>
      </c>
      <c r="V66" s="538">
        <v>0</v>
      </c>
      <c r="W66" s="538">
        <v>0</v>
      </c>
      <c r="X66" s="538">
        <v>0</v>
      </c>
      <c r="Y66" s="538">
        <v>0</v>
      </c>
      <c r="Z66" s="538">
        <v>0</v>
      </c>
      <c r="AA66" s="538">
        <v>0</v>
      </c>
      <c r="AB66" s="538">
        <v>0</v>
      </c>
      <c r="AC66" s="538">
        <v>0</v>
      </c>
      <c r="AD66" s="538">
        <v>24</v>
      </c>
      <c r="AE66" s="538">
        <v>0</v>
      </c>
      <c r="AF66" s="538">
        <v>24</v>
      </c>
      <c r="AG66" s="538">
        <v>24</v>
      </c>
      <c r="AH66" s="538">
        <v>11</v>
      </c>
      <c r="AI66" s="538">
        <v>3</v>
      </c>
      <c r="AJ66" s="538">
        <v>11</v>
      </c>
      <c r="AK66" s="538">
        <v>0</v>
      </c>
      <c r="AL66" s="538">
        <v>4</v>
      </c>
      <c r="AM66" s="538">
        <v>115</v>
      </c>
      <c r="AN66" s="577">
        <v>10</v>
      </c>
      <c r="AO66" s="577">
        <v>10</v>
      </c>
      <c r="AP66" s="577">
        <v>10</v>
      </c>
      <c r="AQ66" s="577">
        <v>10</v>
      </c>
      <c r="AR66" s="577">
        <v>10</v>
      </c>
      <c r="AS66" s="538">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2" style="1029" hidden="1" customWidth="1"/>
    <col min="10" max="10" width="9.85546875" style="1029" hidden="1" customWidth="1"/>
    <col min="11" max="11" width="11.42578125" style="1029" hidden="1" customWidth="1"/>
    <col min="12" max="12" width="19.140625" style="1029" hidden="1" customWidth="1"/>
    <col min="13" max="14" width="12.28515625" style="1029" hidden="1" customWidth="1"/>
    <col min="15" max="15" width="23.42578125" style="1029" hidden="1" customWidth="1"/>
    <col min="16" max="16" width="3.7109375" style="1029" hidden="1" customWidth="1"/>
    <col min="17" max="18" width="3" style="1029" customWidth="1"/>
    <col min="19" max="19" width="12" style="1029" customWidth="1"/>
    <col min="20" max="20" width="31" style="1029" customWidth="1"/>
    <col min="21" max="21" width="0.140625" style="1029" customWidth="1"/>
    <col min="22" max="22" width="24.7109375" style="1029" hidden="1" customWidth="1"/>
    <col min="23" max="23" width="0.140625" style="1029" hidden="1" customWidth="1"/>
    <col min="24" max="25" width="24.7109375" style="1029" hidden="1" customWidth="1"/>
    <col min="26" max="26" width="11.7109375" style="1029" hidden="1" customWidth="1"/>
    <col min="27" max="27" width="3.7109375" style="1029" hidden="1" customWidth="1"/>
    <col min="28" max="28" width="11.7109375" style="1029" hidden="1" customWidth="1"/>
    <col min="29" max="29" width="8.5703125" style="1029" hidden="1" customWidth="1"/>
    <col min="30" max="30" width="24.7109375" style="1029" customWidth="1"/>
    <col min="31" max="31" width="0.140625" style="1029" customWidth="1"/>
    <col min="32" max="33" width="24" style="1029" customWidth="1"/>
    <col min="34" max="34" width="11" style="1029" customWidth="1"/>
    <col min="35" max="35" width="3.7109375" style="1029" customWidth="1"/>
    <col min="36" max="36" width="11" style="1029" customWidth="1"/>
    <col min="37" max="37" width="8.5703125" style="1029" hidden="1" customWidth="1"/>
    <col min="38" max="38" width="4" style="1029" customWidth="1"/>
    <col min="39" max="39" width="115" style="1029" customWidth="1"/>
    <col min="40" max="44" width="10" style="1029" customWidth="1"/>
    <col min="45" max="45" width="10.5703125" style="1029" hidden="1"/>
  </cols>
  <sheetData>
    <row r="1" spans="5:45" ht="22.5" hidden="1" customHeight="1">
      <c r="AS1" s="538" t="s">
        <v>14</v>
      </c>
    </row>
    <row r="2" spans="5:45" ht="21" hidden="1" customHeight="1">
      <c r="E2" s="1194">
        <v>1</v>
      </c>
      <c r="R2" s="310"/>
      <c r="S2" s="832" t="e">
        <f>INDEX(PT_DIFFERENTIATION_NUM_NTAR,MATCH(A2,PT_DIFFERENTIATION_NTAR_ID,0))</f>
        <v>#N/A</v>
      </c>
      <c r="T2" s="795" t="s">
        <v>136</v>
      </c>
      <c r="U2" s="833"/>
      <c r="V2" s="1180"/>
      <c r="W2" s="1181"/>
      <c r="X2" s="1181"/>
      <c r="Y2" s="1181"/>
      <c r="Z2" s="1181"/>
      <c r="AA2" s="1181"/>
      <c r="AB2" s="1181"/>
      <c r="AC2" s="1182"/>
      <c r="AD2" s="1180" t="e">
        <f>INDEX(PT_DIFFERENTIATION_NTAR,MATCH(A2,PT_DIFFERENTIATION_NTAR_ID,0))</f>
        <v>#N/A</v>
      </c>
      <c r="AE2" s="1181"/>
      <c r="AF2" s="1181"/>
      <c r="AG2" s="1181"/>
      <c r="AH2" s="1181"/>
      <c r="AI2" s="1181"/>
      <c r="AJ2" s="1181"/>
      <c r="AK2" s="1181"/>
      <c r="AL2" s="1182"/>
      <c r="AM2" s="835" t="s">
        <v>407</v>
      </c>
      <c r="AP2" s="582" t="str">
        <f t="shared" ref="AP2:AP15" si="0">IF(T2="","",T2)</f>
        <v>Наименование тарифа</v>
      </c>
      <c r="AS2" s="538">
        <v>0</v>
      </c>
    </row>
    <row r="3" spans="5:45" ht="21" hidden="1" customHeight="1">
      <c r="E3" s="1195"/>
      <c r="F3" s="1194">
        <v>1</v>
      </c>
      <c r="Q3" s="836"/>
      <c r="R3" s="837"/>
      <c r="S3" s="832" t="e">
        <f>INDEX(PT_DIFFERENTIATION_NUM_TER,MATCH(B3,PT_DIFFERENTIATION_TER_ID,0))</f>
        <v>#N/A</v>
      </c>
      <c r="T3" s="838" t="s">
        <v>408</v>
      </c>
      <c r="U3" s="833"/>
      <c r="V3" s="1180"/>
      <c r="W3" s="1181"/>
      <c r="X3" s="1181"/>
      <c r="Y3" s="1181"/>
      <c r="Z3" s="1181"/>
      <c r="AA3" s="1181"/>
      <c r="AB3" s="1181"/>
      <c r="AC3" s="1182"/>
      <c r="AD3" s="1180" t="e">
        <f>INDEX(PT_DIFFERENTIATION_TER,MATCH(B3,PT_DIFFERENTIATION_TER_ID,0))</f>
        <v>#N/A</v>
      </c>
      <c r="AE3" s="1181"/>
      <c r="AF3" s="1181"/>
      <c r="AG3" s="1181"/>
      <c r="AH3" s="1181"/>
      <c r="AI3" s="1181"/>
      <c r="AJ3" s="1181"/>
      <c r="AK3" s="1181"/>
      <c r="AL3" s="1182"/>
      <c r="AM3" s="835" t="s">
        <v>409</v>
      </c>
      <c r="AP3" s="582" t="str">
        <f t="shared" si="0"/>
        <v>Территория действия тарифа</v>
      </c>
      <c r="AS3" s="538">
        <v>0</v>
      </c>
    </row>
    <row r="4" spans="5:45" ht="23.25" hidden="1" customHeight="1">
      <c r="E4" s="1195"/>
      <c r="F4" s="1195"/>
      <c r="G4" s="1194">
        <v>1</v>
      </c>
      <c r="Q4" s="836"/>
      <c r="R4" s="837"/>
      <c r="S4" s="864" t="e">
        <f>INDEX(PT_DIFFERENTIATION_NUM_CS,MATCH(C4,PT_DIFFERENTIATION_CS_ID,0))</f>
        <v>#N/A</v>
      </c>
      <c r="T4" s="865" t="s">
        <v>410</v>
      </c>
      <c r="U4" s="866"/>
      <c r="V4" s="1225"/>
      <c r="W4" s="1226"/>
      <c r="X4" s="1226"/>
      <c r="Y4" s="1226"/>
      <c r="Z4" s="1226"/>
      <c r="AA4" s="1226"/>
      <c r="AB4" s="1226"/>
      <c r="AC4" s="1227"/>
      <c r="AD4" s="1225" t="e">
        <f>INDEX(PT_DIFFERENTIATION_CS,MATCH(C4,PT_DIFFERENTIATION_CS_ID,0))</f>
        <v>#N/A</v>
      </c>
      <c r="AE4" s="1226"/>
      <c r="AF4" s="1226"/>
      <c r="AG4" s="1226"/>
      <c r="AH4" s="1226"/>
      <c r="AI4" s="1226"/>
      <c r="AJ4" s="1226"/>
      <c r="AK4" s="1226"/>
      <c r="AL4" s="1227"/>
      <c r="AM4" s="835" t="s">
        <v>411</v>
      </c>
      <c r="AP4" s="582" t="str">
        <f t="shared" si="0"/>
        <v xml:space="preserve">Наименование системы теплоснабжения </v>
      </c>
      <c r="AS4" s="538">
        <v>0</v>
      </c>
    </row>
    <row r="5" spans="5:45" ht="21" hidden="1" customHeight="1">
      <c r="E5" s="1195"/>
      <c r="F5" s="1195"/>
      <c r="G5" s="1195"/>
      <c r="H5" s="1194">
        <v>1</v>
      </c>
      <c r="Q5" s="836"/>
      <c r="S5" s="832" t="e">
        <f>INDEX(PT_DIFFERENTIATION_NUM_IST_TE,MATCH(D5,PT_DIFFERENTIATION_IST_TE_ID,0))</f>
        <v>#N/A</v>
      </c>
      <c r="T5" s="840" t="s">
        <v>412</v>
      </c>
      <c r="U5" s="833"/>
      <c r="V5" s="1228"/>
      <c r="W5" s="1228"/>
      <c r="X5" s="1228"/>
      <c r="Y5" s="1228"/>
      <c r="Z5" s="1228"/>
      <c r="AA5" s="1228"/>
      <c r="AB5" s="1228"/>
      <c r="AC5" s="1228"/>
      <c r="AD5" s="1228" t="e">
        <f>INDEX(PT_DIFFERENTIATION_IST_TE,MATCH(D5,PT_DIFFERENTIATION_IST_TE_ID,0))</f>
        <v>#N/A</v>
      </c>
      <c r="AE5" s="1228"/>
      <c r="AF5" s="1228"/>
      <c r="AG5" s="1228"/>
      <c r="AH5" s="1228"/>
      <c r="AI5" s="1228"/>
      <c r="AJ5" s="1228"/>
      <c r="AK5" s="1228"/>
      <c r="AL5" s="1228"/>
      <c r="AM5" s="868" t="s">
        <v>413</v>
      </c>
      <c r="AP5" s="582" t="str">
        <f t="shared" si="0"/>
        <v xml:space="preserve">Источник тепловой энергии  </v>
      </c>
      <c r="AS5" s="538">
        <v>0</v>
      </c>
    </row>
    <row r="6" spans="5:45" ht="0.75" hidden="1" customHeight="1">
      <c r="E6" s="1195"/>
      <c r="F6" s="1195"/>
      <c r="G6" s="1195"/>
      <c r="H6" s="1195"/>
      <c r="I6" s="1192" t="e">
        <f>S5&amp;".1"</f>
        <v>#N/A</v>
      </c>
      <c r="L6" s="841" t="s">
        <v>414</v>
      </c>
      <c r="P6" s="1193">
        <v>1</v>
      </c>
      <c r="S6" s="635"/>
      <c r="T6" s="859"/>
      <c r="U6" s="860"/>
      <c r="V6" s="1229"/>
      <c r="W6" s="1229"/>
      <c r="X6" s="1229"/>
      <c r="Y6" s="1229"/>
      <c r="Z6" s="1229"/>
      <c r="AA6" s="1229"/>
      <c r="AB6" s="1229"/>
      <c r="AC6" s="1229"/>
      <c r="AD6" s="1229"/>
      <c r="AE6" s="1229"/>
      <c r="AF6" s="1229"/>
      <c r="AG6" s="1229"/>
      <c r="AH6" s="1229"/>
      <c r="AI6" s="1229"/>
      <c r="AJ6" s="1229"/>
      <c r="AK6" s="1229"/>
      <c r="AL6" s="1229"/>
      <c r="AM6" s="869"/>
      <c r="AP6" s="582" t="str">
        <f t="shared" si="0"/>
        <v/>
      </c>
      <c r="AS6" s="538">
        <v>0</v>
      </c>
    </row>
    <row r="7" spans="5:45" ht="84" hidden="1" customHeight="1">
      <c r="E7" s="1195"/>
      <c r="F7" s="1195"/>
      <c r="G7" s="1195"/>
      <c r="H7" s="1195"/>
      <c r="I7" s="1214"/>
      <c r="J7" s="1192" t="e">
        <f>I6&amp;".1"</f>
        <v>#N/A</v>
      </c>
      <c r="L7" s="841" t="s">
        <v>417</v>
      </c>
      <c r="P7" s="1031"/>
      <c r="Q7" s="1193">
        <v>1</v>
      </c>
      <c r="S7" s="832" t="e">
        <f>$J7</f>
        <v>#N/A</v>
      </c>
      <c r="T7" s="845" t="s">
        <v>418</v>
      </c>
      <c r="U7" s="833"/>
      <c r="V7" s="1230"/>
      <c r="W7" s="1230"/>
      <c r="X7" s="1230"/>
      <c r="Y7" s="1230"/>
      <c r="Z7" s="1230"/>
      <c r="AA7" s="1230"/>
      <c r="AB7" s="1230"/>
      <c r="AC7" s="1230"/>
      <c r="AD7" s="1230"/>
      <c r="AE7" s="1230"/>
      <c r="AF7" s="1230"/>
      <c r="AG7" s="1230"/>
      <c r="AH7" s="1230"/>
      <c r="AI7" s="1230"/>
      <c r="AJ7" s="1230"/>
      <c r="AK7" s="1230"/>
      <c r="AL7" s="1230"/>
      <c r="AM7" s="868" t="s">
        <v>419</v>
      </c>
      <c r="AP7" s="582" t="str">
        <f t="shared" si="0"/>
        <v>Группа потребителей</v>
      </c>
      <c r="AS7" s="538">
        <v>0</v>
      </c>
    </row>
    <row r="8" spans="5:45" ht="11.25" hidden="1" customHeight="1">
      <c r="E8" s="1195"/>
      <c r="F8" s="1195"/>
      <c r="G8" s="1195"/>
      <c r="H8" s="1195"/>
      <c r="I8" s="1214"/>
      <c r="J8" s="1214"/>
      <c r="K8" s="1192" t="e">
        <f>J7&amp;".1"</f>
        <v>#N/A</v>
      </c>
      <c r="L8" s="841" t="s">
        <v>420</v>
      </c>
      <c r="P8" s="1031"/>
      <c r="Q8" s="1031"/>
      <c r="R8" s="844">
        <v>1</v>
      </c>
      <c r="S8" s="870" t="e">
        <f>$K8</f>
        <v>#N/A</v>
      </c>
      <c r="T8" s="871"/>
      <c r="U8" s="872"/>
      <c r="V8" s="338"/>
      <c r="W8" s="332"/>
      <c r="X8" s="338"/>
      <c r="Y8" s="339"/>
      <c r="Z8" s="1231"/>
      <c r="AA8" s="1072" t="s">
        <v>61</v>
      </c>
      <c r="AB8" s="1231"/>
      <c r="AC8" s="1072" t="s">
        <v>61</v>
      </c>
      <c r="AD8" s="338"/>
      <c r="AE8" s="332"/>
      <c r="AF8" s="338"/>
      <c r="AG8" s="339"/>
      <c r="AH8" s="1231"/>
      <c r="AI8" s="1072" t="s">
        <v>61</v>
      </c>
      <c r="AJ8" s="1231"/>
      <c r="AK8" s="1072" t="s">
        <v>61</v>
      </c>
      <c r="AL8" s="332"/>
      <c r="AM8" s="1189" t="s">
        <v>421</v>
      </c>
      <c r="AN8" s="577" t="e">
        <f ca="1">STRCHECKDATE(V9:AL9)</f>
        <v>#NAME?</v>
      </c>
      <c r="AP8" s="582" t="str">
        <f t="shared" si="0"/>
        <v/>
      </c>
      <c r="AS8" s="538">
        <v>0</v>
      </c>
    </row>
    <row r="9" spans="5:45" ht="0.75" hidden="1" customHeight="1">
      <c r="E9" s="1195"/>
      <c r="F9" s="1195"/>
      <c r="G9" s="1195"/>
      <c r="H9" s="1195"/>
      <c r="I9" s="1214"/>
      <c r="J9" s="1214"/>
      <c r="K9" s="1192"/>
      <c r="P9" s="1031"/>
      <c r="Q9" s="1031"/>
      <c r="R9" s="844"/>
      <c r="S9" s="127"/>
      <c r="T9" s="833"/>
      <c r="U9" s="833"/>
      <c r="V9" s="312"/>
      <c r="W9" s="312"/>
      <c r="X9" s="312"/>
      <c r="Y9" s="314" t="str">
        <f>Z8&amp;"-"&amp;AB8</f>
        <v>-</v>
      </c>
      <c r="Z9" s="1198"/>
      <c r="AA9" s="1058"/>
      <c r="AB9" s="1198"/>
      <c r="AC9" s="1058"/>
      <c r="AD9" s="312"/>
      <c r="AE9" s="312"/>
      <c r="AF9" s="312"/>
      <c r="AG9" s="314" t="str">
        <f>AH8&amp;"-"&amp;AJ8</f>
        <v>-</v>
      </c>
      <c r="AH9" s="1198"/>
      <c r="AI9" s="1058"/>
      <c r="AJ9" s="1198"/>
      <c r="AK9" s="1058"/>
      <c r="AL9" s="312"/>
      <c r="AM9" s="1190"/>
      <c r="AP9" s="582" t="str">
        <f t="shared" si="0"/>
        <v/>
      </c>
      <c r="AS9" s="538">
        <v>0</v>
      </c>
    </row>
    <row r="10" spans="5:45" ht="11.25" hidden="1" customHeight="1">
      <c r="E10" s="1195"/>
      <c r="F10" s="1195"/>
      <c r="G10" s="1195"/>
      <c r="H10" s="1195"/>
      <c r="I10" s="1214"/>
      <c r="J10" s="1192"/>
      <c r="P10" s="1031"/>
      <c r="Q10" s="1031"/>
      <c r="R10" s="842"/>
      <c r="S10" s="315"/>
      <c r="T10" s="318" t="s">
        <v>422</v>
      </c>
      <c r="U10" s="52"/>
      <c r="V10" s="52"/>
      <c r="W10" s="52"/>
      <c r="X10" s="52"/>
      <c r="Y10" s="52"/>
      <c r="Z10" s="52"/>
      <c r="AA10" s="52"/>
      <c r="AB10" s="52"/>
      <c r="AC10" s="52"/>
      <c r="AD10" s="52"/>
      <c r="AE10" s="52"/>
      <c r="AF10" s="52"/>
      <c r="AG10" s="52"/>
      <c r="AH10" s="52"/>
      <c r="AI10" s="52"/>
      <c r="AJ10" s="52"/>
      <c r="AK10" s="52"/>
      <c r="AL10" s="317"/>
      <c r="AM10" s="1191"/>
      <c r="AP10" s="582" t="str">
        <f t="shared" si="0"/>
        <v>Добавить вид теплоносителя (параметры теплоносителя)</v>
      </c>
      <c r="AS10" s="538">
        <v>0</v>
      </c>
    </row>
    <row r="11" spans="5:45" ht="11.25" hidden="1" customHeight="1">
      <c r="E11" s="1195"/>
      <c r="F11" s="1195"/>
      <c r="G11" s="1195"/>
      <c r="H11" s="1195"/>
      <c r="I11" s="1192"/>
      <c r="P11" s="1031"/>
      <c r="R11" s="842"/>
      <c r="S11" s="315"/>
      <c r="T11" s="321" t="s">
        <v>423</v>
      </c>
      <c r="U11" s="52"/>
      <c r="V11" s="52"/>
      <c r="W11" s="52"/>
      <c r="X11" s="52"/>
      <c r="Y11" s="52"/>
      <c r="Z11" s="52"/>
      <c r="AA11" s="52"/>
      <c r="AB11" s="52"/>
      <c r="AC11" s="319"/>
      <c r="AD11" s="52"/>
      <c r="AE11" s="52"/>
      <c r="AF11" s="52"/>
      <c r="AG11" s="52"/>
      <c r="AH11" s="52"/>
      <c r="AI11" s="52"/>
      <c r="AJ11" s="52"/>
      <c r="AK11" s="319"/>
      <c r="AL11" s="52"/>
      <c r="AM11" s="320"/>
      <c r="AP11" s="582" t="str">
        <f t="shared" si="0"/>
        <v>Добавить группу потребителей</v>
      </c>
      <c r="AS11" s="538">
        <v>0</v>
      </c>
    </row>
    <row r="12" spans="5:45" ht="0.75" hidden="1" customHeight="1">
      <c r="E12" s="1195"/>
      <c r="F12" s="1195"/>
      <c r="G12" s="1195"/>
      <c r="H12" s="1194"/>
      <c r="R12" s="310"/>
      <c r="S12" s="334"/>
      <c r="T12" s="335"/>
      <c r="U12" s="336"/>
      <c r="V12" s="336"/>
      <c r="W12" s="336"/>
      <c r="X12" s="336"/>
      <c r="Y12" s="336"/>
      <c r="Z12" s="336"/>
      <c r="AA12" s="336"/>
      <c r="AB12" s="336"/>
      <c r="AC12" s="336"/>
      <c r="AD12" s="336"/>
      <c r="AE12" s="336"/>
      <c r="AF12" s="336"/>
      <c r="AG12" s="336"/>
      <c r="AH12" s="336"/>
      <c r="AI12" s="336"/>
      <c r="AJ12" s="336"/>
      <c r="AK12" s="336"/>
      <c r="AL12" s="336"/>
      <c r="AM12" s="337"/>
      <c r="AP12" s="582" t="str">
        <f t="shared" si="0"/>
        <v/>
      </c>
      <c r="AS12" s="538">
        <v>0</v>
      </c>
    </row>
    <row r="13" spans="5:45" ht="0.75" hidden="1" customHeight="1">
      <c r="E13" s="1195"/>
      <c r="F13" s="1195"/>
      <c r="G13" s="1194"/>
      <c r="S13" s="322"/>
      <c r="T13" s="323" t="s">
        <v>425</v>
      </c>
      <c r="U13" s="324"/>
      <c r="V13" s="324"/>
      <c r="W13" s="324"/>
      <c r="X13" s="324"/>
      <c r="Y13" s="324"/>
      <c r="Z13" s="324"/>
      <c r="AA13" s="324"/>
      <c r="AB13" s="324"/>
      <c r="AC13" s="324"/>
      <c r="AD13" s="324"/>
      <c r="AE13" s="324"/>
      <c r="AF13" s="324"/>
      <c r="AG13" s="324"/>
      <c r="AH13" s="324"/>
      <c r="AI13" s="324"/>
      <c r="AJ13" s="324"/>
      <c r="AK13" s="324"/>
      <c r="AL13" s="324"/>
      <c r="AM13" s="324"/>
      <c r="AP13" s="582" t="str">
        <f t="shared" si="0"/>
        <v>Добавить источник для дифференциации</v>
      </c>
      <c r="AS13" s="577">
        <v>0</v>
      </c>
    </row>
    <row r="14" spans="5:45" ht="0.75" hidden="1" customHeight="1">
      <c r="E14" s="1195"/>
      <c r="F14" s="1194"/>
      <c r="T14" s="325" t="s">
        <v>426</v>
      </c>
      <c r="AP14" s="582" t="str">
        <f t="shared" si="0"/>
        <v>Добавить централизованную систему для дифференциации</v>
      </c>
      <c r="AS14" s="577">
        <v>0</v>
      </c>
    </row>
    <row r="15" spans="5:45" ht="0.75" hidden="1" customHeight="1">
      <c r="E15" s="1194"/>
      <c r="T15" s="326" t="s">
        <v>427</v>
      </c>
      <c r="AP15" s="582" t="str">
        <f t="shared" si="0"/>
        <v>Добавить территорию для дифференциации</v>
      </c>
      <c r="AS15" s="577">
        <v>0</v>
      </c>
    </row>
    <row r="16" spans="5:45" ht="14.25" hidden="1" customHeight="1">
      <c r="AS16" s="538">
        <v>0</v>
      </c>
    </row>
    <row r="17" spans="15:45" ht="14.25" hidden="1" customHeight="1">
      <c r="AD17" s="275"/>
      <c r="AE17" s="275"/>
      <c r="AF17" s="275"/>
      <c r="AG17" s="327"/>
      <c r="AH17" s="1199"/>
      <c r="AI17" s="1200" t="s">
        <v>61</v>
      </c>
      <c r="AJ17" s="1199"/>
      <c r="AK17" s="1200" t="s">
        <v>61</v>
      </c>
      <c r="AS17" s="538">
        <v>0</v>
      </c>
    </row>
    <row r="18" spans="15:45" ht="14.25" hidden="1" customHeight="1">
      <c r="AD18" s="275"/>
      <c r="AE18" s="275"/>
      <c r="AF18" s="275"/>
      <c r="AG18" s="314" t="str">
        <f>AH17&amp;"-"&amp;AJ17</f>
        <v>-</v>
      </c>
      <c r="AH18" s="1200"/>
      <c r="AI18" s="1200"/>
      <c r="AJ18" s="1200"/>
      <c r="AK18" s="1200"/>
      <c r="AS18" s="538">
        <v>0</v>
      </c>
    </row>
    <row r="19" spans="15:45" ht="14.25" hidden="1" customHeight="1">
      <c r="AS19" s="538">
        <v>0</v>
      </c>
    </row>
    <row r="20" spans="15:45" ht="22.5" hidden="1" customHeight="1">
      <c r="O20" s="328" t="s">
        <v>428</v>
      </c>
      <c r="Z20" s="328"/>
      <c r="AB20" s="328"/>
      <c r="AH20" s="328"/>
      <c r="AJ20" s="328"/>
      <c r="AS20" s="555">
        <v>0</v>
      </c>
    </row>
    <row r="21" spans="15:45" ht="14.25" hidden="1" customHeight="1">
      <c r="AS21" s="555">
        <v>0</v>
      </c>
    </row>
    <row r="22" spans="15:45" ht="14.25" hidden="1" customHeight="1">
      <c r="O22" s="841" t="s">
        <v>429</v>
      </c>
      <c r="T22" s="555" t="s">
        <v>430</v>
      </c>
      <c r="AA22" s="598" t="s">
        <v>431</v>
      </c>
      <c r="AC22" s="598" t="s">
        <v>432</v>
      </c>
      <c r="AD22" s="555" t="s">
        <v>430</v>
      </c>
      <c r="AI22" s="598" t="s">
        <v>433</v>
      </c>
      <c r="AK22" s="598" t="s">
        <v>432</v>
      </c>
      <c r="AS22" s="555">
        <v>0</v>
      </c>
    </row>
    <row r="23" spans="15:45" ht="14.25" hidden="1" customHeight="1">
      <c r="AS23" s="538">
        <v>0</v>
      </c>
    </row>
    <row r="24" spans="15:45" ht="14.25" hidden="1" customHeight="1">
      <c r="AS24" s="538">
        <v>0</v>
      </c>
    </row>
    <row r="25" spans="15:45" ht="14.65" customHeight="1">
      <c r="Q25" s="756"/>
      <c r="R25" s="756"/>
      <c r="S25" s="847"/>
      <c r="T25" s="556"/>
      <c r="U25" s="556"/>
      <c r="AS25" s="538">
        <v>14</v>
      </c>
    </row>
    <row r="26" spans="15:45" ht="54.75" customHeight="1">
      <c r="Q26" s="756"/>
      <c r="R26" s="756"/>
      <c r="S26" s="114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140"/>
      <c r="U26" s="1140"/>
      <c r="V26" s="1140"/>
      <c r="W26" s="1140"/>
      <c r="X26" s="1140"/>
      <c r="Y26" s="1140"/>
      <c r="Z26" s="1140"/>
      <c r="AA26" s="1140"/>
      <c r="AB26" s="1140"/>
      <c r="AC26" s="1140"/>
      <c r="AD26" s="1140"/>
      <c r="AE26" s="1140"/>
      <c r="AF26" s="1140"/>
      <c r="AG26" s="1140"/>
      <c r="AH26" s="1140"/>
      <c r="AI26" s="1140"/>
      <c r="AJ26" s="1140"/>
      <c r="AS26" s="538">
        <v>52</v>
      </c>
    </row>
    <row r="27" spans="15:45" ht="14.65" customHeight="1">
      <c r="Q27" s="756"/>
      <c r="R27" s="756"/>
      <c r="S27" s="1127" t="str">
        <f>IF(org=0,"Не определено",org)</f>
        <v>АО "НИЖЕГОРОДСКИЙ ВОДОКАНАЛ"</v>
      </c>
      <c r="T27" s="1127"/>
      <c r="U27" s="1127"/>
      <c r="V27" s="1127"/>
      <c r="W27" s="1127"/>
      <c r="X27" s="1127"/>
      <c r="Y27" s="1127"/>
      <c r="Z27" s="1127"/>
      <c r="AA27" s="1127"/>
      <c r="AB27" s="1127"/>
      <c r="AC27" s="1127"/>
      <c r="AD27" s="1127"/>
      <c r="AE27" s="1127"/>
      <c r="AF27" s="1127"/>
      <c r="AG27" s="1127"/>
      <c r="AH27" s="1127"/>
      <c r="AI27" s="1127"/>
      <c r="AJ27" s="1127"/>
      <c r="AS27" s="538">
        <v>14</v>
      </c>
    </row>
    <row r="28" spans="15:45" ht="14.25" hidden="1" customHeight="1">
      <c r="Q28" s="756"/>
      <c r="R28" s="756"/>
      <c r="S28" s="847"/>
      <c r="T28" s="556"/>
      <c r="U28" s="556"/>
      <c r="V28" s="826"/>
      <c r="W28" s="826"/>
      <c r="X28" s="826"/>
      <c r="Y28" s="826"/>
      <c r="Z28" s="826"/>
      <c r="AA28" s="826"/>
      <c r="AB28" s="826"/>
      <c r="AC28" s="826"/>
      <c r="AD28" s="826"/>
      <c r="AE28" s="826"/>
      <c r="AF28" s="826"/>
      <c r="AG28" s="826"/>
      <c r="AH28" s="826"/>
      <c r="AI28" s="826"/>
      <c r="AJ28" s="826"/>
      <c r="AK28" s="826"/>
      <c r="AS28" s="538">
        <v>0</v>
      </c>
    </row>
    <row r="29" spans="15:45" ht="25.5" hidden="1" customHeight="1">
      <c r="S29" s="1186" t="s">
        <v>41</v>
      </c>
      <c r="T29" s="1186"/>
      <c r="U29" s="849"/>
      <c r="V29" s="1187" t="str">
        <f>IF(TITLE_NAME_OR_PR_CHANGE="",IF(TITLE_NAME_OR_PR="","",TITLE_NAME_OR_PR),TITLE_NAME_OR_PR_CHANGE)</f>
        <v/>
      </c>
      <c r="W29" s="1187"/>
      <c r="X29" s="1187"/>
      <c r="Y29" s="1187"/>
      <c r="Z29" s="1187"/>
      <c r="AA29" s="1187"/>
      <c r="AB29" s="1187"/>
      <c r="AD29" s="1187" t="str">
        <f>IF(TITLE_NAME_OR_PR_CHANGE="",IF(TITLE_NAME_OR_PR="","",TITLE_NAME_OR_PR),TITLE_NAME_OR_PR_CHANGE)</f>
        <v/>
      </c>
      <c r="AE29" s="1187"/>
      <c r="AF29" s="1187"/>
      <c r="AG29" s="1187"/>
      <c r="AH29" s="1187"/>
      <c r="AI29" s="1187"/>
      <c r="AJ29" s="1187"/>
      <c r="AS29" s="592">
        <v>0</v>
      </c>
    </row>
    <row r="30" spans="15:45" ht="18.75" hidden="1" customHeight="1">
      <c r="S30" s="1186" t="s">
        <v>434</v>
      </c>
      <c r="T30" s="1186"/>
      <c r="U30" s="849"/>
      <c r="V30" s="1196" t="str">
        <f>IF(TITLE_DATE_PR_CHANGE="",IF(TITLE_DATE_PR="","",TITLE_DATE_PR),TITLE_DATE_PR_CHANGE)</f>
        <v/>
      </c>
      <c r="W30" s="1196"/>
      <c r="X30" s="1196"/>
      <c r="Y30" s="1196"/>
      <c r="Z30" s="1196"/>
      <c r="AA30" s="1196"/>
      <c r="AB30" s="1196"/>
      <c r="AD30" s="1196" t="str">
        <f>IF(TITLE_DATE_PR_CHANGE="",IF(TITLE_DATE_PR="","",TITLE_DATE_PR),TITLE_DATE_PR_CHANGE)</f>
        <v/>
      </c>
      <c r="AE30" s="1196"/>
      <c r="AF30" s="1196"/>
      <c r="AG30" s="1196"/>
      <c r="AH30" s="1196"/>
      <c r="AI30" s="1196"/>
      <c r="AJ30" s="1196"/>
      <c r="AS30" s="592">
        <v>0</v>
      </c>
    </row>
    <row r="31" spans="15:45" ht="18.75" hidden="1" customHeight="1">
      <c r="S31" s="1186" t="s">
        <v>435</v>
      </c>
      <c r="T31" s="1186"/>
      <c r="U31" s="849"/>
      <c r="V31" s="1187" t="str">
        <f>IF(TITLE_NUMBER_PR_CHANGE="",IF(TITLE_NUMBER_PR="","",TITLE_NUMBER_PR),TITLE_NUMBER_PR_CHANGE)</f>
        <v/>
      </c>
      <c r="W31" s="1187"/>
      <c r="X31" s="1187"/>
      <c r="Y31" s="1187"/>
      <c r="Z31" s="1187"/>
      <c r="AA31" s="1187"/>
      <c r="AB31" s="1187"/>
      <c r="AD31" s="1187" t="str">
        <f>IF(TITLE_NUMBER_PR_CHANGE="",IF(TITLE_NUMBER_PR="","",TITLE_NUMBER_PR),TITLE_NUMBER_PR_CHANGE)</f>
        <v/>
      </c>
      <c r="AE31" s="1187"/>
      <c r="AF31" s="1187"/>
      <c r="AG31" s="1187"/>
      <c r="AH31" s="1187"/>
      <c r="AI31" s="1187"/>
      <c r="AJ31" s="1187"/>
      <c r="AS31" s="592">
        <v>0</v>
      </c>
    </row>
    <row r="32" spans="15:45" ht="18.75" hidden="1" customHeight="1">
      <c r="S32" s="1186" t="s">
        <v>42</v>
      </c>
      <c r="T32" s="1186"/>
      <c r="U32" s="849"/>
      <c r="V32" s="1187" t="str">
        <f>IF(TITLE_IST_PUB_CHANGE="",IF(TITLE_IST_PUB="","",TITLE_IST_PUB),TITLE_IST_PUB_CHANGE)</f>
        <v/>
      </c>
      <c r="W32" s="1187"/>
      <c r="X32" s="1187"/>
      <c r="Y32" s="1187"/>
      <c r="Z32" s="1187"/>
      <c r="AA32" s="1187"/>
      <c r="AB32" s="1187"/>
      <c r="AD32" s="1187" t="str">
        <f>IF(TITLE_IST_PUB_CHANGE="",IF(TITLE_IST_PUB="","",TITLE_IST_PUB),TITLE_IST_PUB_CHANGE)</f>
        <v/>
      </c>
      <c r="AE32" s="1187"/>
      <c r="AF32" s="1187"/>
      <c r="AG32" s="1187"/>
      <c r="AH32" s="1187"/>
      <c r="AI32" s="1187"/>
      <c r="AJ32" s="1187"/>
      <c r="AS32" s="592">
        <v>0</v>
      </c>
    </row>
    <row r="33" spans="1:45" ht="14.25" hidden="1" customHeight="1">
      <c r="Q33" s="756"/>
      <c r="R33" s="756"/>
      <c r="S33" s="847"/>
      <c r="T33" s="556"/>
      <c r="U33" s="556"/>
      <c r="V33" s="826"/>
      <c r="W33" s="826"/>
      <c r="X33" s="826"/>
      <c r="Y33" s="826"/>
      <c r="Z33" s="826"/>
      <c r="AA33" s="826"/>
      <c r="AB33" s="826"/>
      <c r="AC33" s="826"/>
      <c r="AD33" s="826"/>
      <c r="AE33" s="826"/>
      <c r="AF33" s="826"/>
      <c r="AG33" s="826"/>
      <c r="AH33" s="826"/>
      <c r="AI33" s="826"/>
      <c r="AJ33" s="826"/>
      <c r="AK33" s="826"/>
      <c r="AS33" s="538">
        <v>0</v>
      </c>
    </row>
    <row r="34" spans="1:45" ht="18.75" hidden="1" customHeight="1">
      <c r="S34" s="1186" t="s">
        <v>436</v>
      </c>
      <c r="T34" s="1186"/>
      <c r="U34" s="849"/>
      <c r="V34" s="1196" t="str">
        <f>IF(TITLE_DATE_PR_CHANGE="",IF(TITLE_DATE_PR="","",TITLE_DATE_PR),TITLE_DATE_PR_CHANGE)</f>
        <v/>
      </c>
      <c r="W34" s="1196"/>
      <c r="X34" s="1196"/>
      <c r="Y34" s="1196"/>
      <c r="Z34" s="1196"/>
      <c r="AA34" s="1196"/>
      <c r="AB34" s="1196"/>
      <c r="AD34" s="1196" t="str">
        <f>IF(TITLE_DATE_PR_CHANGE="",IF(TITLE_DATE_PR="","",TITLE_DATE_PR),TITLE_DATE_PR_CHANGE)</f>
        <v/>
      </c>
      <c r="AE34" s="1196"/>
      <c r="AF34" s="1196"/>
      <c r="AG34" s="1196"/>
      <c r="AH34" s="1196"/>
      <c r="AI34" s="1196"/>
      <c r="AJ34" s="1196"/>
      <c r="AS34" s="592">
        <v>0</v>
      </c>
    </row>
    <row r="35" spans="1:45" ht="18.75" hidden="1" customHeight="1">
      <c r="S35" s="1186" t="s">
        <v>437</v>
      </c>
      <c r="T35" s="1186"/>
      <c r="U35" s="849"/>
      <c r="V35" s="1187" t="str">
        <f>IF(TITLE_NUMBER_PR_CHANGE="",IF(TITLE_NUMBER_PR="","",TITLE_NUMBER_PR),TITLE_NUMBER_PR_CHANGE)</f>
        <v/>
      </c>
      <c r="W35" s="1187"/>
      <c r="X35" s="1187"/>
      <c r="Y35" s="1187"/>
      <c r="Z35" s="1187"/>
      <c r="AA35" s="1187"/>
      <c r="AB35" s="1187"/>
      <c r="AD35" s="1187" t="str">
        <f>IF(TITLE_NUMBER_PR_CHANGE="",IF(TITLE_NUMBER_PR="","",TITLE_NUMBER_PR),TITLE_NUMBER_PR_CHANGE)</f>
        <v/>
      </c>
      <c r="AE35" s="1187"/>
      <c r="AF35" s="1187"/>
      <c r="AG35" s="1187"/>
      <c r="AH35" s="1187"/>
      <c r="AI35" s="1187"/>
      <c r="AJ35" s="1187"/>
      <c r="AS35" s="592">
        <v>0</v>
      </c>
    </row>
    <row r="36" spans="1:45" ht="0" hidden="1" customHeight="1">
      <c r="AC36" s="577" t="s">
        <v>438</v>
      </c>
      <c r="AK36" s="577" t="s">
        <v>438</v>
      </c>
      <c r="AS36" s="592">
        <v>0</v>
      </c>
    </row>
    <row r="37" spans="1:45" ht="14.65" customHeight="1">
      <c r="Q37" s="756"/>
      <c r="R37" s="756"/>
      <c r="S37" s="847"/>
      <c r="T37" s="556"/>
      <c r="U37" s="850"/>
      <c r="V37" s="1188"/>
      <c r="W37" s="1188"/>
      <c r="X37" s="1188"/>
      <c r="Y37" s="1188"/>
      <c r="Z37" s="1188"/>
      <c r="AA37" s="1188"/>
      <c r="AB37" s="1188"/>
      <c r="AC37" s="1188"/>
      <c r="AD37" s="1188"/>
      <c r="AE37" s="1188"/>
      <c r="AF37" s="1188"/>
      <c r="AG37" s="1188"/>
      <c r="AH37" s="1188"/>
      <c r="AI37" s="1188"/>
      <c r="AJ37" s="1188"/>
      <c r="AK37" s="1188"/>
      <c r="AS37" s="538">
        <v>14</v>
      </c>
    </row>
    <row r="38" spans="1:45" ht="14.65" customHeight="1">
      <c r="Q38" s="756"/>
      <c r="R38" s="756"/>
      <c r="S38" s="1066" t="s">
        <v>311</v>
      </c>
      <c r="T38" s="1066"/>
      <c r="U38" s="1066"/>
      <c r="V38" s="1066"/>
      <c r="W38" s="1066"/>
      <c r="X38" s="1066"/>
      <c r="Y38" s="1066"/>
      <c r="Z38" s="1066"/>
      <c r="AA38" s="1066"/>
      <c r="AB38" s="1066"/>
      <c r="AC38" s="1066"/>
      <c r="AD38" s="1066"/>
      <c r="AE38" s="1066"/>
      <c r="AF38" s="1066"/>
      <c r="AG38" s="1066"/>
      <c r="AH38" s="1066"/>
      <c r="AI38" s="1066"/>
      <c r="AJ38" s="1066"/>
      <c r="AK38" s="1066"/>
      <c r="AL38" s="1066"/>
      <c r="AM38" s="1066" t="s">
        <v>312</v>
      </c>
      <c r="AS38" s="538">
        <v>14</v>
      </c>
    </row>
    <row r="39" spans="1:45" ht="14.65" customHeight="1">
      <c r="Q39" s="756"/>
      <c r="R39" s="756"/>
      <c r="S39" s="1202" t="s">
        <v>87</v>
      </c>
      <c r="T39" s="1154" t="s">
        <v>439</v>
      </c>
      <c r="U39" s="817"/>
      <c r="V39" s="1203" t="s">
        <v>440</v>
      </c>
      <c r="W39" s="1204"/>
      <c r="X39" s="1204"/>
      <c r="Y39" s="1204"/>
      <c r="Z39" s="1204"/>
      <c r="AA39" s="1204"/>
      <c r="AB39" s="1205"/>
      <c r="AC39" s="1206" t="s">
        <v>441</v>
      </c>
      <c r="AD39" s="1203" t="s">
        <v>440</v>
      </c>
      <c r="AE39" s="1204"/>
      <c r="AF39" s="1204"/>
      <c r="AG39" s="1204"/>
      <c r="AH39" s="1204"/>
      <c r="AI39" s="1204"/>
      <c r="AJ39" s="1205"/>
      <c r="AK39" s="1206" t="s">
        <v>442</v>
      </c>
      <c r="AL39" s="1209" t="s">
        <v>443</v>
      </c>
      <c r="AM39" s="1066"/>
      <c r="AS39" s="538">
        <v>14</v>
      </c>
    </row>
    <row r="40" spans="1:45" ht="35.65" customHeight="1">
      <c r="Q40" s="756"/>
      <c r="R40" s="756"/>
      <c r="S40" s="1202"/>
      <c r="T40" s="1154"/>
      <c r="U40" s="822"/>
      <c r="V40" s="1126" t="s">
        <v>444</v>
      </c>
      <c r="W40" s="1212"/>
      <c r="X40" s="1048" t="s">
        <v>446</v>
      </c>
      <c r="Y40" s="1047"/>
      <c r="Z40" s="1048" t="s">
        <v>447</v>
      </c>
      <c r="AA40" s="1053"/>
      <c r="AB40" s="1047"/>
      <c r="AC40" s="1207"/>
      <c r="AD40" s="1126" t="s">
        <v>461</v>
      </c>
      <c r="AE40" s="1212"/>
      <c r="AF40" s="1048" t="s">
        <v>446</v>
      </c>
      <c r="AG40" s="1047"/>
      <c r="AH40" s="1048" t="s">
        <v>447</v>
      </c>
      <c r="AI40" s="1053"/>
      <c r="AJ40" s="1047"/>
      <c r="AK40" s="1207"/>
      <c r="AL40" s="1210"/>
      <c r="AM40" s="1066"/>
      <c r="AS40" s="538">
        <v>34</v>
      </c>
    </row>
    <row r="41" spans="1:45" ht="35.65" customHeight="1">
      <c r="B41" s="598" t="s">
        <v>148</v>
      </c>
      <c r="C41" s="598" t="s">
        <v>149</v>
      </c>
      <c r="D41" s="598" t="s">
        <v>150</v>
      </c>
      <c r="E41" s="841" t="s">
        <v>448</v>
      </c>
      <c r="F41" s="841" t="s">
        <v>449</v>
      </c>
      <c r="G41" s="841" t="s">
        <v>450</v>
      </c>
      <c r="H41" s="841" t="s">
        <v>451</v>
      </c>
      <c r="I41" s="841" t="s">
        <v>452</v>
      </c>
      <c r="J41" s="841" t="s">
        <v>453</v>
      </c>
      <c r="K41" s="841" t="s">
        <v>454</v>
      </c>
      <c r="L41" s="841" t="s">
        <v>429</v>
      </c>
      <c r="Q41" s="756"/>
      <c r="R41" s="756"/>
      <c r="S41" s="1202"/>
      <c r="T41" s="1154"/>
      <c r="U41" s="852"/>
      <c r="V41" s="1173"/>
      <c r="W41" s="1213"/>
      <c r="X41" s="602" t="s">
        <v>455</v>
      </c>
      <c r="Y41" s="602" t="s">
        <v>456</v>
      </c>
      <c r="Z41" s="602" t="s">
        <v>457</v>
      </c>
      <c r="AA41" s="1162" t="s">
        <v>458</v>
      </c>
      <c r="AB41" s="1164"/>
      <c r="AC41" s="1208"/>
      <c r="AD41" s="1173"/>
      <c r="AE41" s="1213"/>
      <c r="AF41" s="602" t="s">
        <v>455</v>
      </c>
      <c r="AG41" s="602" t="s">
        <v>456</v>
      </c>
      <c r="AH41" s="602" t="s">
        <v>457</v>
      </c>
      <c r="AI41" s="1162" t="s">
        <v>458</v>
      </c>
      <c r="AJ41" s="1164"/>
      <c r="AK41" s="1208"/>
      <c r="AL41" s="1211"/>
      <c r="AM41" s="1066"/>
      <c r="AS41" s="538">
        <v>34</v>
      </c>
    </row>
    <row r="42" spans="1:45" ht="11.25" hidden="1" customHeight="1">
      <c r="Q42" s="853"/>
      <c r="R42" s="854">
        <v>1</v>
      </c>
      <c r="S42" s="329" t="s">
        <v>114</v>
      </c>
      <c r="T42" s="330" t="s">
        <v>102</v>
      </c>
      <c r="U42" s="855" t="str">
        <f ca="1">OFFSET(U42,0,-1)</f>
        <v>2</v>
      </c>
      <c r="V42" s="856">
        <f ca="1">OFFSET(V42,0,-1)+1</f>
        <v>3</v>
      </c>
      <c r="W42" s="856"/>
      <c r="X42" s="856">
        <f ca="1">OFFSET(X42,0,-1)+1</f>
        <v>1</v>
      </c>
      <c r="Y42" s="856">
        <f ca="1">OFFSET(Y42,0,-1)+1</f>
        <v>2</v>
      </c>
      <c r="Z42" s="856">
        <f ca="1">OFFSET(Z42,0,-1)+1</f>
        <v>3</v>
      </c>
      <c r="AA42" s="1201">
        <f ca="1">OFFSET(AA42,0,-1)+1</f>
        <v>4</v>
      </c>
      <c r="AB42" s="1201"/>
      <c r="AC42" s="856">
        <f ca="1">OFFSET(AC42,0,-2)+1</f>
        <v>5</v>
      </c>
      <c r="AD42" s="856">
        <f ca="1">OFFSET(AD42,0,-1)+1</f>
        <v>6</v>
      </c>
      <c r="AE42" s="856"/>
      <c r="AF42" s="856">
        <f ca="1">OFFSET(AF42,0,-1)+1</f>
        <v>1</v>
      </c>
      <c r="AG42" s="856">
        <f ca="1">OFFSET(AG42,0,-1)+1</f>
        <v>2</v>
      </c>
      <c r="AH42" s="856">
        <f ca="1">OFFSET(AH42,0,-1)+1</f>
        <v>3</v>
      </c>
      <c r="AI42" s="1201">
        <f ca="1">OFFSET(AI42,0,-1)+1</f>
        <v>4</v>
      </c>
      <c r="AJ42" s="1201"/>
      <c r="AK42" s="856">
        <f ca="1">OFFSET(AK42,0,-2)+1</f>
        <v>5</v>
      </c>
      <c r="AL42" s="855">
        <f ca="1">OFFSET(AL42,0,-1)</f>
        <v>5</v>
      </c>
      <c r="AM42" s="856">
        <f ca="1">OFFSET(AM42,0,-1)+1</f>
        <v>6</v>
      </c>
      <c r="AS42" s="681">
        <v>0</v>
      </c>
    </row>
    <row r="43" spans="1:45" ht="21.95" customHeight="1">
      <c r="A43" s="857" t="s">
        <v>193</v>
      </c>
      <c r="E43" s="1194">
        <v>1</v>
      </c>
      <c r="R43" s="310"/>
      <c r="S43" s="832">
        <f>INDEX(PT_DIFFERENTIATION_NUM_NTAR,MATCH(A43,PT_DIFFERENTIATION_NTAR_ID,0))</f>
        <v>0</v>
      </c>
      <c r="T43" s="795" t="s">
        <v>136</v>
      </c>
      <c r="U43" s="833"/>
      <c r="V43" s="1180"/>
      <c r="W43" s="1181"/>
      <c r="X43" s="1181"/>
      <c r="Y43" s="1181"/>
      <c r="Z43" s="1181"/>
      <c r="AA43" s="1181"/>
      <c r="AB43" s="1181"/>
      <c r="AC43" s="1182"/>
      <c r="AD43" s="1180" t="str">
        <f>INDEX(PT_DIFFERENTIATION_NTAR,MATCH(A43,PT_DIFFERENTIATION_NTAR_ID,0))</f>
        <v/>
      </c>
      <c r="AE43" s="1181"/>
      <c r="AF43" s="1181"/>
      <c r="AG43" s="1181"/>
      <c r="AH43" s="1181"/>
      <c r="AI43" s="1181"/>
      <c r="AJ43" s="1181"/>
      <c r="AK43" s="1181"/>
      <c r="AL43" s="1182"/>
      <c r="AM43" s="83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582" t="str">
        <f t="shared" ref="AP43:AP57" si="1">IF(T43="","",T43)</f>
        <v>Наименование тарифа</v>
      </c>
      <c r="AS43" s="538">
        <v>21</v>
      </c>
    </row>
    <row r="44" spans="1:45" ht="21.95" customHeight="1">
      <c r="A44" s="857" t="s">
        <v>193</v>
      </c>
      <c r="B44" s="857" t="s">
        <v>194</v>
      </c>
      <c r="E44" s="1195"/>
      <c r="F44" s="1194">
        <v>1</v>
      </c>
      <c r="Q44" s="836"/>
      <c r="R44" s="837"/>
      <c r="S44" s="832" t="str">
        <f>INDEX(PT_DIFFERENTIATION_NUM_TER,MATCH(B44,PT_DIFFERENTIATION_TER_ID,0))</f>
        <v>.</v>
      </c>
      <c r="T44" s="838" t="s">
        <v>408</v>
      </c>
      <c r="U44" s="833"/>
      <c r="V44" s="1180"/>
      <c r="W44" s="1181"/>
      <c r="X44" s="1181"/>
      <c r="Y44" s="1181"/>
      <c r="Z44" s="1181"/>
      <c r="AA44" s="1181"/>
      <c r="AB44" s="1181"/>
      <c r="AC44" s="1182"/>
      <c r="AD44" s="1180" t="str">
        <f>INDEX(PT_DIFFERENTIATION_TER,MATCH(B44,PT_DIFFERENTIATION_TER_ID,0))</f>
        <v/>
      </c>
      <c r="AE44" s="1181"/>
      <c r="AF44" s="1181"/>
      <c r="AG44" s="1181"/>
      <c r="AH44" s="1181"/>
      <c r="AI44" s="1181"/>
      <c r="AJ44" s="1181"/>
      <c r="AK44" s="1181"/>
      <c r="AL44" s="1182"/>
      <c r="AM44" s="835" t="s">
        <v>409</v>
      </c>
      <c r="AP44" s="582" t="str">
        <f t="shared" si="1"/>
        <v>Территория действия тарифа</v>
      </c>
      <c r="AS44" s="538">
        <v>21</v>
      </c>
    </row>
    <row r="45" spans="1:45" ht="24" customHeight="1">
      <c r="A45" s="857" t="s">
        <v>193</v>
      </c>
      <c r="B45" s="857" t="s">
        <v>194</v>
      </c>
      <c r="C45" s="857" t="s">
        <v>195</v>
      </c>
      <c r="E45" s="1195"/>
      <c r="F45" s="1195"/>
      <c r="G45" s="1194">
        <v>1</v>
      </c>
      <c r="Q45" s="836"/>
      <c r="R45" s="837"/>
      <c r="S45" s="832" t="str">
        <f>INDEX(PT_DIFFERENTIATION_NUM_CS,MATCH(C45,PT_DIFFERENTIATION_CS_ID,0))</f>
        <v>..</v>
      </c>
      <c r="T45" s="839" t="s">
        <v>410</v>
      </c>
      <c r="U45" s="833"/>
      <c r="V45" s="1180"/>
      <c r="W45" s="1181"/>
      <c r="X45" s="1181"/>
      <c r="Y45" s="1181"/>
      <c r="Z45" s="1181"/>
      <c r="AA45" s="1181"/>
      <c r="AB45" s="1181"/>
      <c r="AC45" s="1182"/>
      <c r="AD45" s="1180" t="str">
        <f>INDEX(PT_DIFFERENTIATION_CS,MATCH(C45,PT_DIFFERENTIATION_CS_ID,0))</f>
        <v/>
      </c>
      <c r="AE45" s="1181"/>
      <c r="AF45" s="1181"/>
      <c r="AG45" s="1181"/>
      <c r="AH45" s="1181"/>
      <c r="AI45" s="1181"/>
      <c r="AJ45" s="1181"/>
      <c r="AK45" s="1181"/>
      <c r="AL45" s="1182"/>
      <c r="AM45" s="835" t="s">
        <v>411</v>
      </c>
      <c r="AP45" s="582" t="str">
        <f t="shared" si="1"/>
        <v xml:space="preserve">Наименование системы теплоснабжения </v>
      </c>
      <c r="AS45" s="538">
        <v>23</v>
      </c>
    </row>
    <row r="46" spans="1:45" ht="21.95" customHeight="1">
      <c r="A46" s="857" t="s">
        <v>193</v>
      </c>
      <c r="B46" s="857" t="s">
        <v>194</v>
      </c>
      <c r="C46" s="857" t="s">
        <v>195</v>
      </c>
      <c r="D46" s="857" t="s">
        <v>196</v>
      </c>
      <c r="E46" s="1195"/>
      <c r="F46" s="1195"/>
      <c r="G46" s="1195"/>
      <c r="H46" s="1194">
        <v>1</v>
      </c>
      <c r="Q46" s="836"/>
      <c r="R46" s="837"/>
      <c r="S46" s="832" t="str">
        <f>INDEX(PT_DIFFERENTIATION_NUM_IST_TE,MATCH(D46,PT_DIFFERENTIATION_IST_TE_ID,0))</f>
        <v>...</v>
      </c>
      <c r="T46" s="840" t="s">
        <v>412</v>
      </c>
      <c r="U46" s="833"/>
      <c r="V46" s="1180"/>
      <c r="W46" s="1181"/>
      <c r="X46" s="1181"/>
      <c r="Y46" s="1181"/>
      <c r="Z46" s="1181"/>
      <c r="AA46" s="1181"/>
      <c r="AB46" s="1181"/>
      <c r="AC46" s="1182"/>
      <c r="AD46" s="1180" t="str">
        <f>INDEX(PT_DIFFERENTIATION_IST_TE,MATCH(D46,PT_DIFFERENTIATION_IST_TE_ID,0))</f>
        <v/>
      </c>
      <c r="AE46" s="1181"/>
      <c r="AF46" s="1181"/>
      <c r="AG46" s="1181"/>
      <c r="AH46" s="1181"/>
      <c r="AI46" s="1181"/>
      <c r="AJ46" s="1181"/>
      <c r="AK46" s="1181"/>
      <c r="AL46" s="1182"/>
      <c r="AM46" s="835" t="s">
        <v>413</v>
      </c>
      <c r="AP46" s="582" t="str">
        <f t="shared" si="1"/>
        <v xml:space="preserve">Источник тепловой энергии  </v>
      </c>
      <c r="AS46" s="538">
        <v>21</v>
      </c>
    </row>
    <row r="47" spans="1:45" ht="0" hidden="1" customHeight="1">
      <c r="A47" s="574" t="s">
        <v>193</v>
      </c>
      <c r="B47" s="574" t="s">
        <v>194</v>
      </c>
      <c r="C47" s="574" t="s">
        <v>195</v>
      </c>
      <c r="D47" s="574" t="s">
        <v>196</v>
      </c>
      <c r="E47" s="1195"/>
      <c r="F47" s="1195"/>
      <c r="G47" s="1195"/>
      <c r="H47" s="1195"/>
      <c r="I47" s="1192" t="str">
        <f>S46&amp;".1"</f>
        <v>....1</v>
      </c>
      <c r="L47" s="863" t="s">
        <v>414</v>
      </c>
      <c r="P47" s="1193">
        <v>1</v>
      </c>
      <c r="R47" s="842"/>
      <c r="S47" s="635"/>
      <c r="T47" s="859"/>
      <c r="U47" s="860"/>
      <c r="V47" s="1222"/>
      <c r="W47" s="1223"/>
      <c r="X47" s="1223"/>
      <c r="Y47" s="1223"/>
      <c r="Z47" s="1223"/>
      <c r="AA47" s="1223"/>
      <c r="AB47" s="1223"/>
      <c r="AC47" s="1224"/>
      <c r="AD47" s="1222"/>
      <c r="AE47" s="1223"/>
      <c r="AF47" s="1223"/>
      <c r="AG47" s="1223"/>
      <c r="AH47" s="1223"/>
      <c r="AI47" s="1223"/>
      <c r="AJ47" s="1223"/>
      <c r="AK47" s="1223"/>
      <c r="AL47" s="1224"/>
      <c r="AM47" s="862"/>
      <c r="AP47" s="582" t="str">
        <f t="shared" si="1"/>
        <v/>
      </c>
      <c r="AS47" s="577">
        <v>0</v>
      </c>
    </row>
    <row r="48" spans="1:45" ht="21.95" customHeight="1">
      <c r="A48" s="857" t="s">
        <v>193</v>
      </c>
      <c r="B48" s="857" t="s">
        <v>194</v>
      </c>
      <c r="C48" s="857" t="s">
        <v>195</v>
      </c>
      <c r="D48" s="857" t="s">
        <v>196</v>
      </c>
      <c r="E48" s="1195"/>
      <c r="F48" s="1195"/>
      <c r="G48" s="1195"/>
      <c r="H48" s="1195"/>
      <c r="I48" s="1214"/>
      <c r="J48" s="1192" t="str">
        <f>S46&amp;".1"</f>
        <v>....1</v>
      </c>
      <c r="L48" s="841" t="s">
        <v>417</v>
      </c>
      <c r="P48" s="1031"/>
      <c r="Q48" s="1193">
        <v>1</v>
      </c>
      <c r="R48" s="844"/>
      <c r="S48" s="832" t="str">
        <f>$J48</f>
        <v>....1</v>
      </c>
      <c r="T48" s="845" t="s">
        <v>418</v>
      </c>
      <c r="U48" s="833"/>
      <c r="V48" s="1183"/>
      <c r="W48" s="1184"/>
      <c r="X48" s="1184"/>
      <c r="Y48" s="1184"/>
      <c r="Z48" s="1184"/>
      <c r="AA48" s="1184"/>
      <c r="AB48" s="1184"/>
      <c r="AC48" s="1185"/>
      <c r="AD48" s="1183"/>
      <c r="AE48" s="1184"/>
      <c r="AF48" s="1184"/>
      <c r="AG48" s="1184"/>
      <c r="AH48" s="1184"/>
      <c r="AI48" s="1184"/>
      <c r="AJ48" s="1184"/>
      <c r="AK48" s="1184"/>
      <c r="AL48" s="1185"/>
      <c r="AM48" s="835" t="s">
        <v>419</v>
      </c>
      <c r="AP48" s="582" t="str">
        <f t="shared" si="1"/>
        <v>Группа потребителей</v>
      </c>
      <c r="AS48" s="538">
        <v>21</v>
      </c>
    </row>
    <row r="49" spans="1:45" ht="21.95" customHeight="1">
      <c r="A49" s="857" t="s">
        <v>193</v>
      </c>
      <c r="B49" s="857" t="s">
        <v>194</v>
      </c>
      <c r="C49" s="857" t="s">
        <v>195</v>
      </c>
      <c r="D49" s="857" t="s">
        <v>196</v>
      </c>
      <c r="E49" s="1195"/>
      <c r="F49" s="1195"/>
      <c r="G49" s="1195"/>
      <c r="H49" s="1195"/>
      <c r="I49" s="1214"/>
      <c r="J49" s="1214"/>
      <c r="K49" s="1192" t="str">
        <f>J48&amp;".1"</f>
        <v>....1.1</v>
      </c>
      <c r="L49" s="841" t="s">
        <v>420</v>
      </c>
      <c r="P49" s="1031"/>
      <c r="Q49" s="1031"/>
      <c r="R49" s="844">
        <v>1</v>
      </c>
      <c r="S49" s="832" t="str">
        <f>$K49</f>
        <v>....1.1</v>
      </c>
      <c r="T49" s="846"/>
      <c r="U49" s="833"/>
      <c r="V49" s="311"/>
      <c r="W49" s="312"/>
      <c r="X49" s="311"/>
      <c r="Y49" s="313"/>
      <c r="Z49" s="1197"/>
      <c r="AA49" s="1058" t="s">
        <v>61</v>
      </c>
      <c r="AB49" s="1197"/>
      <c r="AC49" s="1058" t="s">
        <v>61</v>
      </c>
      <c r="AD49" s="311"/>
      <c r="AE49" s="312"/>
      <c r="AF49" s="311"/>
      <c r="AG49" s="313"/>
      <c r="AH49" s="1197"/>
      <c r="AI49" s="1058" t="s">
        <v>61</v>
      </c>
      <c r="AJ49" s="1215"/>
      <c r="AK49" s="1058" t="s">
        <v>61</v>
      </c>
      <c r="AL49" s="331"/>
      <c r="AM49" s="1189" t="s">
        <v>462</v>
      </c>
      <c r="AN49" s="577" t="e">
        <f ca="1">STRCHECKDATE(V50:AL50)</f>
        <v>#NAME?</v>
      </c>
      <c r="AP49" s="582" t="str">
        <f t="shared" si="1"/>
        <v/>
      </c>
      <c r="AS49" s="538">
        <v>21</v>
      </c>
    </row>
    <row r="50" spans="1:45" ht="1.1499999999999999" customHeight="1">
      <c r="A50" s="857" t="s">
        <v>193</v>
      </c>
      <c r="B50" s="857" t="s">
        <v>194</v>
      </c>
      <c r="C50" s="857" t="s">
        <v>195</v>
      </c>
      <c r="D50" s="857" t="s">
        <v>196</v>
      </c>
      <c r="E50" s="1195"/>
      <c r="F50" s="1195"/>
      <c r="G50" s="1195"/>
      <c r="H50" s="1195"/>
      <c r="I50" s="1214"/>
      <c r="J50" s="1214"/>
      <c r="K50" s="1192"/>
      <c r="P50" s="1031"/>
      <c r="Q50" s="1031"/>
      <c r="R50" s="844"/>
      <c r="S50" s="127"/>
      <c r="T50" s="833"/>
      <c r="U50" s="833"/>
      <c r="V50" s="312"/>
      <c r="W50" s="312"/>
      <c r="X50" s="312"/>
      <c r="Y50" s="314" t="str">
        <f>Z49&amp;"-"&amp;AB49</f>
        <v>-</v>
      </c>
      <c r="Z50" s="1198"/>
      <c r="AA50" s="1058"/>
      <c r="AB50" s="1198"/>
      <c r="AC50" s="1058"/>
      <c r="AD50" s="312"/>
      <c r="AE50" s="312"/>
      <c r="AF50" s="312"/>
      <c r="AG50" s="314" t="str">
        <f>AH49&amp;"-"&amp;AJ49</f>
        <v>-</v>
      </c>
      <c r="AH50" s="1198"/>
      <c r="AI50" s="1058"/>
      <c r="AJ50" s="1216"/>
      <c r="AK50" s="1058"/>
      <c r="AL50" s="332"/>
      <c r="AM50" s="1190"/>
      <c r="AP50" s="582" t="str">
        <f t="shared" si="1"/>
        <v/>
      </c>
      <c r="AS50" s="538">
        <v>1</v>
      </c>
    </row>
    <row r="51" spans="1:45" ht="11.45" customHeight="1">
      <c r="A51" s="857" t="s">
        <v>193</v>
      </c>
      <c r="B51" s="857" t="s">
        <v>194</v>
      </c>
      <c r="C51" s="857" t="s">
        <v>195</v>
      </c>
      <c r="D51" s="857" t="s">
        <v>196</v>
      </c>
      <c r="E51" s="1195"/>
      <c r="F51" s="1195"/>
      <c r="G51" s="1195"/>
      <c r="H51" s="1195"/>
      <c r="I51" s="1214"/>
      <c r="J51" s="1192"/>
      <c r="P51" s="1031"/>
      <c r="Q51" s="1031"/>
      <c r="R51" s="842"/>
      <c r="S51" s="315"/>
      <c r="T51" s="318" t="s">
        <v>422</v>
      </c>
      <c r="U51" s="52"/>
      <c r="V51" s="52"/>
      <c r="W51" s="52"/>
      <c r="X51" s="52"/>
      <c r="Y51" s="52"/>
      <c r="Z51" s="52"/>
      <c r="AA51" s="52"/>
      <c r="AB51" s="52"/>
      <c r="AC51" s="52"/>
      <c r="AD51" s="52"/>
      <c r="AE51" s="52"/>
      <c r="AF51" s="52"/>
      <c r="AG51" s="52"/>
      <c r="AH51" s="52"/>
      <c r="AI51" s="52"/>
      <c r="AJ51" s="52"/>
      <c r="AK51" s="52"/>
      <c r="AL51" s="317"/>
      <c r="AM51" s="1191"/>
      <c r="AP51" s="582" t="str">
        <f t="shared" si="1"/>
        <v>Добавить вид теплоносителя (параметры теплоносителя)</v>
      </c>
      <c r="AS51" s="538">
        <v>11</v>
      </c>
    </row>
    <row r="52" spans="1:45" ht="11.45" customHeight="1">
      <c r="A52" s="857" t="s">
        <v>193</v>
      </c>
      <c r="B52" s="857" t="s">
        <v>194</v>
      </c>
      <c r="C52" s="857" t="s">
        <v>195</v>
      </c>
      <c r="D52" s="857" t="s">
        <v>196</v>
      </c>
      <c r="E52" s="1195"/>
      <c r="F52" s="1195"/>
      <c r="G52" s="1195"/>
      <c r="H52" s="1195"/>
      <c r="I52" s="1192"/>
      <c r="P52" s="1031"/>
      <c r="R52" s="842"/>
      <c r="S52" s="315"/>
      <c r="T52" s="321" t="s">
        <v>423</v>
      </c>
      <c r="U52" s="52"/>
      <c r="V52" s="52"/>
      <c r="W52" s="52"/>
      <c r="X52" s="52"/>
      <c r="Y52" s="52"/>
      <c r="Z52" s="52"/>
      <c r="AA52" s="52"/>
      <c r="AB52" s="52"/>
      <c r="AC52" s="319"/>
      <c r="AD52" s="52"/>
      <c r="AE52" s="52"/>
      <c r="AF52" s="52"/>
      <c r="AG52" s="52"/>
      <c r="AH52" s="52"/>
      <c r="AI52" s="52"/>
      <c r="AJ52" s="52"/>
      <c r="AK52" s="319"/>
      <c r="AL52" s="52"/>
      <c r="AM52" s="320"/>
      <c r="AP52" s="582" t="str">
        <f t="shared" si="1"/>
        <v>Добавить группу потребителей</v>
      </c>
      <c r="AS52" s="538">
        <v>11</v>
      </c>
    </row>
    <row r="53" spans="1:45" ht="0" hidden="1" customHeight="1">
      <c r="A53" s="857" t="s">
        <v>193</v>
      </c>
      <c r="B53" s="857" t="s">
        <v>194</v>
      </c>
      <c r="C53" s="857" t="s">
        <v>195</v>
      </c>
      <c r="D53" s="857" t="s">
        <v>196</v>
      </c>
      <c r="E53" s="1195"/>
      <c r="F53" s="1195"/>
      <c r="G53" s="1195"/>
      <c r="H53" s="1194"/>
      <c r="R53" s="310"/>
      <c r="S53" s="334"/>
      <c r="T53" s="335"/>
      <c r="U53" s="336"/>
      <c r="V53" s="336"/>
      <c r="W53" s="336"/>
      <c r="X53" s="336"/>
      <c r="Y53" s="336"/>
      <c r="Z53" s="336"/>
      <c r="AA53" s="336"/>
      <c r="AB53" s="336"/>
      <c r="AC53" s="336"/>
      <c r="AD53" s="336"/>
      <c r="AE53" s="336"/>
      <c r="AF53" s="336"/>
      <c r="AG53" s="336"/>
      <c r="AH53" s="336"/>
      <c r="AI53" s="336"/>
      <c r="AJ53" s="336"/>
      <c r="AK53" s="336"/>
      <c r="AL53" s="336"/>
      <c r="AM53" s="337"/>
      <c r="AP53" s="582" t="str">
        <f t="shared" si="1"/>
        <v/>
      </c>
      <c r="AS53" s="538">
        <v>0</v>
      </c>
    </row>
    <row r="54" spans="1:45" ht="1.1499999999999999" customHeight="1">
      <c r="A54" s="574" t="s">
        <v>193</v>
      </c>
      <c r="B54" s="574" t="s">
        <v>194</v>
      </c>
      <c r="C54" s="574" t="s">
        <v>195</v>
      </c>
      <c r="E54" s="1195"/>
      <c r="F54" s="1195"/>
      <c r="G54" s="1194"/>
      <c r="T54" s="326" t="s">
        <v>425</v>
      </c>
      <c r="AP54" s="582" t="str">
        <f t="shared" si="1"/>
        <v>Добавить источник для дифференциации</v>
      </c>
      <c r="AS54" s="577">
        <v>1</v>
      </c>
    </row>
    <row r="55" spans="1:45" ht="1.1499999999999999" customHeight="1">
      <c r="A55" s="574" t="s">
        <v>193</v>
      </c>
      <c r="B55" s="574" t="s">
        <v>194</v>
      </c>
      <c r="E55" s="1195"/>
      <c r="F55" s="1194"/>
      <c r="T55" s="326" t="s">
        <v>426</v>
      </c>
      <c r="AP55" s="582" t="str">
        <f t="shared" si="1"/>
        <v>Добавить централизованную систему для дифференциации</v>
      </c>
      <c r="AS55" s="577">
        <v>1</v>
      </c>
    </row>
    <row r="56" spans="1:45" ht="1.1499999999999999" customHeight="1">
      <c r="A56" s="574" t="s">
        <v>193</v>
      </c>
      <c r="E56" s="1194"/>
      <c r="T56" s="326" t="s">
        <v>427</v>
      </c>
      <c r="AP56" s="582" t="str">
        <f t="shared" si="1"/>
        <v>Добавить территорию для дифференциации</v>
      </c>
      <c r="AS56" s="577">
        <v>1</v>
      </c>
    </row>
    <row r="57" spans="1:45" ht="1.1499999999999999" customHeight="1">
      <c r="T57" s="326" t="s">
        <v>459</v>
      </c>
      <c r="AP57" s="582" t="str">
        <f t="shared" si="1"/>
        <v>Добавить наименование тарифа</v>
      </c>
      <c r="AS57" s="577">
        <v>1</v>
      </c>
    </row>
    <row r="58" spans="1:45" ht="11.45" customHeight="1">
      <c r="AS58" s="538">
        <v>11</v>
      </c>
    </row>
    <row r="59" spans="1:45" ht="23.25" customHeight="1">
      <c r="T59" s="1031"/>
      <c r="U59" s="1031"/>
      <c r="V59" s="1031"/>
      <c r="W59" s="1031"/>
      <c r="X59" s="1031"/>
      <c r="Y59" s="1031"/>
      <c r="Z59" s="1031"/>
      <c r="AA59" s="1031"/>
      <c r="AB59" s="1031"/>
      <c r="AC59" s="1031"/>
      <c r="AD59" s="1031"/>
      <c r="AE59" s="1031"/>
      <c r="AF59" s="1031"/>
      <c r="AG59" s="1031"/>
      <c r="AH59" s="1031"/>
      <c r="AI59" s="1031"/>
      <c r="AJ59" s="1031"/>
      <c r="AK59" s="1031"/>
      <c r="AL59" s="1031"/>
      <c r="AM59" s="1031"/>
      <c r="AS59" s="538">
        <v>22</v>
      </c>
    </row>
    <row r="60" spans="1:45" ht="30.4" customHeight="1">
      <c r="T60" s="1031"/>
      <c r="U60" s="1031"/>
      <c r="V60" s="1031"/>
      <c r="W60" s="1031"/>
      <c r="X60" s="1031"/>
      <c r="Y60" s="1031"/>
      <c r="Z60" s="1031"/>
      <c r="AA60" s="1031"/>
      <c r="AB60" s="1031"/>
      <c r="AC60" s="1031"/>
      <c r="AD60" s="1031"/>
      <c r="AE60" s="1031"/>
      <c r="AF60" s="1031"/>
      <c r="AG60" s="1031"/>
      <c r="AH60" s="1031"/>
      <c r="AI60" s="1031"/>
      <c r="AJ60" s="1031"/>
      <c r="AK60" s="1031"/>
      <c r="AL60" s="1031"/>
      <c r="AM60" s="1031"/>
      <c r="AS60" s="538">
        <v>29</v>
      </c>
    </row>
    <row r="61" spans="1:45" ht="42" customHeight="1">
      <c r="T61" s="1031"/>
      <c r="U61" s="1031"/>
      <c r="V61" s="1031"/>
      <c r="W61" s="1031"/>
      <c r="X61" s="1031"/>
      <c r="Y61" s="1031"/>
      <c r="Z61" s="1031"/>
      <c r="AA61" s="1031"/>
      <c r="AB61" s="1031"/>
      <c r="AC61" s="1031"/>
      <c r="AD61" s="1031"/>
      <c r="AE61" s="1031"/>
      <c r="AF61" s="1031"/>
      <c r="AG61" s="1031"/>
      <c r="AH61" s="1031"/>
      <c r="AI61" s="1031"/>
      <c r="AJ61" s="1031"/>
      <c r="AK61" s="1031"/>
      <c r="AL61" s="1031"/>
      <c r="AM61" s="1031"/>
      <c r="AS61" s="538">
        <v>40</v>
      </c>
    </row>
    <row r="62" spans="1:45" ht="14.65" customHeight="1">
      <c r="AS62" s="538">
        <v>14</v>
      </c>
    </row>
    <row r="63" spans="1:45" ht="21" customHeight="1">
      <c r="T63" s="1031"/>
      <c r="U63" s="1031"/>
      <c r="V63" s="1031"/>
      <c r="W63" s="1031"/>
      <c r="X63" s="1031"/>
      <c r="Y63" s="1031"/>
      <c r="Z63" s="1031"/>
      <c r="AA63" s="1031"/>
      <c r="AB63" s="1031"/>
      <c r="AC63" s="1031"/>
      <c r="AD63" s="1031"/>
      <c r="AE63" s="1031"/>
      <c r="AF63" s="1031"/>
      <c r="AG63" s="1031"/>
      <c r="AH63" s="1031"/>
      <c r="AI63" s="1031"/>
      <c r="AJ63" s="1031"/>
      <c r="AK63" s="1031"/>
      <c r="AL63" s="1031"/>
      <c r="AM63" s="1031"/>
      <c r="AS63" s="538">
        <v>20</v>
      </c>
    </row>
    <row r="64" spans="1:45" ht="29.25" customHeight="1">
      <c r="T64" s="1031"/>
      <c r="U64" s="1031"/>
      <c r="V64" s="1031"/>
      <c r="W64" s="1031"/>
      <c r="X64" s="1031"/>
      <c r="Y64" s="1031"/>
      <c r="Z64" s="1031"/>
      <c r="AA64" s="1031"/>
      <c r="AB64" s="1031"/>
      <c r="AC64" s="1031"/>
      <c r="AD64" s="1031"/>
      <c r="AE64" s="1031"/>
      <c r="AF64" s="1031"/>
      <c r="AG64" s="1031"/>
      <c r="AH64" s="1031"/>
      <c r="AI64" s="1031"/>
      <c r="AJ64" s="1031"/>
      <c r="AK64" s="1031"/>
      <c r="AL64" s="1031"/>
      <c r="AM64" s="1031"/>
      <c r="AS64" s="538">
        <v>28</v>
      </c>
    </row>
    <row r="65" spans="1:45" ht="35.65" customHeight="1">
      <c r="T65" s="1031"/>
      <c r="U65" s="1031"/>
      <c r="V65" s="1031"/>
      <c r="W65" s="1031"/>
      <c r="X65" s="1031"/>
      <c r="Y65" s="1031"/>
      <c r="Z65" s="1031"/>
      <c r="AA65" s="1031"/>
      <c r="AB65" s="1031"/>
      <c r="AC65" s="1031"/>
      <c r="AD65" s="1031"/>
      <c r="AE65" s="1031"/>
      <c r="AF65" s="1031"/>
      <c r="AG65" s="1031"/>
      <c r="AH65" s="1031"/>
      <c r="AI65" s="1031"/>
      <c r="AJ65" s="1031"/>
      <c r="AK65" s="1031"/>
      <c r="AL65" s="1031"/>
      <c r="AM65" s="1031"/>
      <c r="AS65" s="538">
        <v>34</v>
      </c>
    </row>
    <row r="66" spans="1:45" ht="22.5" hidden="1" customHeight="1">
      <c r="A66" s="555" t="s">
        <v>81</v>
      </c>
      <c r="B66" s="555">
        <v>0</v>
      </c>
      <c r="C66" s="555">
        <v>0</v>
      </c>
      <c r="D66" s="555">
        <v>0</v>
      </c>
      <c r="E66" s="555">
        <v>0</v>
      </c>
      <c r="F66" s="555">
        <v>0</v>
      </c>
      <c r="G66" s="555">
        <v>0</v>
      </c>
      <c r="H66" s="555">
        <v>0</v>
      </c>
      <c r="I66" s="555">
        <v>0</v>
      </c>
      <c r="J66" s="555">
        <v>0</v>
      </c>
      <c r="K66" s="555">
        <v>0</v>
      </c>
      <c r="L66" s="667">
        <v>0</v>
      </c>
      <c r="M66" s="12">
        <v>0</v>
      </c>
      <c r="N66" s="12">
        <v>0</v>
      </c>
      <c r="O66" s="12">
        <v>0</v>
      </c>
      <c r="P66" s="300">
        <v>0</v>
      </c>
      <c r="Q66" s="821">
        <v>3</v>
      </c>
      <c r="R66" s="821">
        <v>3</v>
      </c>
      <c r="S66" s="553">
        <v>12</v>
      </c>
      <c r="T66" s="538">
        <v>31</v>
      </c>
      <c r="U66" s="538">
        <v>0</v>
      </c>
      <c r="V66" s="538">
        <v>0</v>
      </c>
      <c r="W66" s="538">
        <v>0</v>
      </c>
      <c r="X66" s="538">
        <v>0</v>
      </c>
      <c r="Y66" s="538">
        <v>0</v>
      </c>
      <c r="Z66" s="538">
        <v>0</v>
      </c>
      <c r="AA66" s="538">
        <v>0</v>
      </c>
      <c r="AB66" s="538">
        <v>0</v>
      </c>
      <c r="AC66" s="538">
        <v>0</v>
      </c>
      <c r="AD66" s="538">
        <v>24</v>
      </c>
      <c r="AE66" s="538">
        <v>0</v>
      </c>
      <c r="AF66" s="538">
        <v>24</v>
      </c>
      <c r="AG66" s="538">
        <v>24</v>
      </c>
      <c r="AH66" s="538">
        <v>11</v>
      </c>
      <c r="AI66" s="538">
        <v>3</v>
      </c>
      <c r="AJ66" s="538">
        <v>11</v>
      </c>
      <c r="AK66" s="538">
        <v>0</v>
      </c>
      <c r="AL66" s="538">
        <v>4</v>
      </c>
      <c r="AM66" s="538">
        <v>115</v>
      </c>
      <c r="AN66" s="577">
        <v>10</v>
      </c>
      <c r="AO66" s="577">
        <v>10</v>
      </c>
      <c r="AP66" s="577">
        <v>10</v>
      </c>
      <c r="AQ66" s="577">
        <v>10</v>
      </c>
      <c r="AR66" s="577">
        <v>10</v>
      </c>
      <c r="AS66" s="538">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2" style="1029" hidden="1" customWidth="1"/>
    <col min="10" max="10" width="9.85546875" style="1029" hidden="1" customWidth="1"/>
    <col min="11" max="11" width="11.42578125" style="1029" hidden="1" customWidth="1"/>
    <col min="12" max="12" width="19.140625" style="1029" hidden="1" customWidth="1"/>
    <col min="13" max="14" width="12.28515625" style="1029" hidden="1" customWidth="1"/>
    <col min="15" max="15" width="23.42578125" style="1029" hidden="1" customWidth="1"/>
    <col min="16" max="16" width="3.7109375" style="1029" hidden="1" customWidth="1"/>
    <col min="17" max="18" width="3" style="1029" customWidth="1"/>
    <col min="19" max="19" width="12" style="1029" customWidth="1"/>
    <col min="20" max="20" width="31" style="1029" customWidth="1"/>
    <col min="21" max="21" width="0.140625" style="1029" customWidth="1"/>
    <col min="22" max="22" width="24.7109375" style="1029" hidden="1" customWidth="1"/>
    <col min="23" max="23" width="0.140625" style="1029" hidden="1" customWidth="1"/>
    <col min="24" max="25" width="24.7109375" style="1029" hidden="1" customWidth="1"/>
    <col min="26" max="26" width="11.7109375" style="1029" hidden="1" customWidth="1"/>
    <col min="27" max="27" width="3.7109375" style="1029" hidden="1" customWidth="1"/>
    <col min="28" max="28" width="11.7109375" style="1029" hidden="1" customWidth="1"/>
    <col min="29" max="29" width="8.5703125" style="1029" hidden="1" customWidth="1"/>
    <col min="30" max="30" width="24.7109375" style="1029" customWidth="1"/>
    <col min="31" max="31" width="0.140625" style="1029" customWidth="1"/>
    <col min="32" max="33" width="24" style="1029" customWidth="1"/>
    <col min="34" max="34" width="11" style="1029" customWidth="1"/>
    <col min="35" max="35" width="3.7109375" style="1029" customWidth="1"/>
    <col min="36" max="36" width="11" style="1029" customWidth="1"/>
    <col min="37" max="37" width="8.5703125" style="1029" hidden="1" customWidth="1"/>
    <col min="38" max="38" width="4" style="1029" customWidth="1"/>
    <col min="39" max="39" width="115" style="1029" customWidth="1"/>
    <col min="40" max="44" width="10" style="1029" customWidth="1"/>
    <col min="45" max="45" width="10.5703125" style="1029" hidden="1"/>
  </cols>
  <sheetData>
    <row r="1" spans="5:45" ht="22.5" hidden="1" customHeight="1">
      <c r="AS1" s="538" t="s">
        <v>14</v>
      </c>
    </row>
    <row r="2" spans="5:45" ht="21" hidden="1" customHeight="1">
      <c r="E2" s="1194">
        <v>1</v>
      </c>
      <c r="R2" s="310"/>
      <c r="S2" s="832" t="e">
        <f>INDEX(PT_DIFFERENTIATION_NUM_NTAR,MATCH(A2,PT_DIFFERENTIATION_NTAR_ID,0))</f>
        <v>#N/A</v>
      </c>
      <c r="T2" s="795" t="s">
        <v>136</v>
      </c>
      <c r="U2" s="833"/>
      <c r="V2" s="1180"/>
      <c r="W2" s="1181"/>
      <c r="X2" s="1181"/>
      <c r="Y2" s="1181"/>
      <c r="Z2" s="1181"/>
      <c r="AA2" s="1181"/>
      <c r="AB2" s="1181"/>
      <c r="AC2" s="1182"/>
      <c r="AD2" s="1180" t="e">
        <f>INDEX(PT_DIFFERENTIATION_NTAR,MATCH(A2,PT_DIFFERENTIATION_NTAR_ID,0))</f>
        <v>#N/A</v>
      </c>
      <c r="AE2" s="1181"/>
      <c r="AF2" s="1181"/>
      <c r="AG2" s="1181"/>
      <c r="AH2" s="1181"/>
      <c r="AI2" s="1181"/>
      <c r="AJ2" s="1181"/>
      <c r="AK2" s="1181"/>
      <c r="AL2" s="1182"/>
      <c r="AM2" s="835" t="s">
        <v>407</v>
      </c>
      <c r="AP2" s="582" t="str">
        <f t="shared" ref="AP2:AP15" si="0">IF(T2="","",T2)</f>
        <v>Наименование тарифа</v>
      </c>
      <c r="AS2" s="538">
        <v>0</v>
      </c>
    </row>
    <row r="3" spans="5:45" ht="21" hidden="1" customHeight="1">
      <c r="E3" s="1195"/>
      <c r="F3" s="1194">
        <v>1</v>
      </c>
      <c r="Q3" s="836"/>
      <c r="R3" s="837"/>
      <c r="S3" s="832" t="e">
        <f>INDEX(PT_DIFFERENTIATION_NUM_TER,MATCH(B3,PT_DIFFERENTIATION_TER_ID,0))</f>
        <v>#N/A</v>
      </c>
      <c r="T3" s="838" t="s">
        <v>408</v>
      </c>
      <c r="U3" s="833"/>
      <c r="V3" s="1180"/>
      <c r="W3" s="1181"/>
      <c r="X3" s="1181"/>
      <c r="Y3" s="1181"/>
      <c r="Z3" s="1181"/>
      <c r="AA3" s="1181"/>
      <c r="AB3" s="1181"/>
      <c r="AC3" s="1182"/>
      <c r="AD3" s="1180" t="e">
        <f>INDEX(PT_DIFFERENTIATION_TER,MATCH(B3,PT_DIFFERENTIATION_TER_ID,0))</f>
        <v>#N/A</v>
      </c>
      <c r="AE3" s="1181"/>
      <c r="AF3" s="1181"/>
      <c r="AG3" s="1181"/>
      <c r="AH3" s="1181"/>
      <c r="AI3" s="1181"/>
      <c r="AJ3" s="1181"/>
      <c r="AK3" s="1181"/>
      <c r="AL3" s="1182"/>
      <c r="AM3" s="835" t="s">
        <v>409</v>
      </c>
      <c r="AP3" s="582" t="str">
        <f t="shared" si="0"/>
        <v>Территория действия тарифа</v>
      </c>
      <c r="AS3" s="538">
        <v>0</v>
      </c>
    </row>
    <row r="4" spans="5:45" ht="23.25" hidden="1" customHeight="1">
      <c r="E4" s="1195"/>
      <c r="F4" s="1195"/>
      <c r="G4" s="1194">
        <v>1</v>
      </c>
      <c r="Q4" s="836"/>
      <c r="R4" s="837"/>
      <c r="S4" s="832" t="e">
        <f>INDEX(PT_DIFFERENTIATION_NUM_CS,MATCH(C4,PT_DIFFERENTIATION_CS_ID,0))</f>
        <v>#N/A</v>
      </c>
      <c r="T4" s="839" t="s">
        <v>410</v>
      </c>
      <c r="U4" s="833"/>
      <c r="V4" s="1180"/>
      <c r="W4" s="1181"/>
      <c r="X4" s="1181"/>
      <c r="Y4" s="1181"/>
      <c r="Z4" s="1181"/>
      <c r="AA4" s="1181"/>
      <c r="AB4" s="1181"/>
      <c r="AC4" s="1182"/>
      <c r="AD4" s="1180" t="e">
        <f>INDEX(PT_DIFFERENTIATION_CS,MATCH(C4,PT_DIFFERENTIATION_CS_ID,0))</f>
        <v>#N/A</v>
      </c>
      <c r="AE4" s="1181"/>
      <c r="AF4" s="1181"/>
      <c r="AG4" s="1181"/>
      <c r="AH4" s="1181"/>
      <c r="AI4" s="1181"/>
      <c r="AJ4" s="1181"/>
      <c r="AK4" s="1181"/>
      <c r="AL4" s="1182"/>
      <c r="AM4" s="835" t="s">
        <v>411</v>
      </c>
      <c r="AP4" s="582" t="str">
        <f t="shared" si="0"/>
        <v xml:space="preserve">Наименование системы теплоснабжения </v>
      </c>
      <c r="AS4" s="538">
        <v>0</v>
      </c>
    </row>
    <row r="5" spans="5:45" ht="21" hidden="1" customHeight="1">
      <c r="E5" s="1195"/>
      <c r="F5" s="1195"/>
      <c r="G5" s="1195"/>
      <c r="H5" s="1194">
        <v>1</v>
      </c>
      <c r="Q5" s="836"/>
      <c r="R5" s="837"/>
      <c r="S5" s="832" t="e">
        <f>INDEX(PT_DIFFERENTIATION_NUM_IST_TE,MATCH(D5,PT_DIFFERENTIATION_IST_TE_ID,0))</f>
        <v>#N/A</v>
      </c>
      <c r="T5" s="840" t="s">
        <v>412</v>
      </c>
      <c r="U5" s="833"/>
      <c r="V5" s="1180"/>
      <c r="W5" s="1181"/>
      <c r="X5" s="1181"/>
      <c r="Y5" s="1181"/>
      <c r="Z5" s="1181"/>
      <c r="AA5" s="1181"/>
      <c r="AB5" s="1181"/>
      <c r="AC5" s="1182"/>
      <c r="AD5" s="1180" t="e">
        <f>INDEX(PT_DIFFERENTIATION_IST_TE,MATCH(D5,PT_DIFFERENTIATION_IST_TE_ID,0))</f>
        <v>#N/A</v>
      </c>
      <c r="AE5" s="1181"/>
      <c r="AF5" s="1181"/>
      <c r="AG5" s="1181"/>
      <c r="AH5" s="1181"/>
      <c r="AI5" s="1181"/>
      <c r="AJ5" s="1181"/>
      <c r="AK5" s="1181"/>
      <c r="AL5" s="1182"/>
      <c r="AM5" s="835" t="s">
        <v>413</v>
      </c>
      <c r="AP5" s="582" t="str">
        <f t="shared" si="0"/>
        <v xml:space="preserve">Источник тепловой энергии  </v>
      </c>
      <c r="AS5" s="538">
        <v>0</v>
      </c>
    </row>
    <row r="6" spans="5:45" ht="14.25" hidden="1" customHeight="1">
      <c r="E6" s="1195"/>
      <c r="F6" s="1195"/>
      <c r="G6" s="1195"/>
      <c r="H6" s="1195"/>
      <c r="I6" s="1192" t="e">
        <f>S5&amp;".1"</f>
        <v>#N/A</v>
      </c>
      <c r="L6" s="841" t="s">
        <v>414</v>
      </c>
      <c r="P6" s="1193">
        <v>1</v>
      </c>
      <c r="R6" s="842"/>
      <c r="S6" s="635"/>
      <c r="T6" s="859"/>
      <c r="U6" s="860"/>
      <c r="V6" s="1222"/>
      <c r="W6" s="1223"/>
      <c r="X6" s="1223"/>
      <c r="Y6" s="1223"/>
      <c r="Z6" s="1223"/>
      <c r="AA6" s="1223"/>
      <c r="AB6" s="1223"/>
      <c r="AC6" s="1224"/>
      <c r="AD6" s="1222"/>
      <c r="AE6" s="1223"/>
      <c r="AF6" s="1223"/>
      <c r="AG6" s="1223"/>
      <c r="AH6" s="1223"/>
      <c r="AI6" s="1223"/>
      <c r="AJ6" s="1223"/>
      <c r="AK6" s="1223"/>
      <c r="AL6" s="1224"/>
      <c r="AM6" s="862"/>
      <c r="AP6" s="582" t="str">
        <f t="shared" si="0"/>
        <v/>
      </c>
      <c r="AS6" s="538">
        <v>0</v>
      </c>
    </row>
    <row r="7" spans="5:45" ht="21" hidden="1" customHeight="1">
      <c r="E7" s="1195"/>
      <c r="F7" s="1195"/>
      <c r="G7" s="1195"/>
      <c r="H7" s="1195"/>
      <c r="I7" s="1214"/>
      <c r="J7" s="1192" t="e">
        <f>I6&amp;".1"</f>
        <v>#N/A</v>
      </c>
      <c r="L7" s="841" t="s">
        <v>417</v>
      </c>
      <c r="P7" s="1031"/>
      <c r="Q7" s="1193">
        <v>1</v>
      </c>
      <c r="R7" s="844"/>
      <c r="S7" s="832" t="e">
        <f>$J7</f>
        <v>#N/A</v>
      </c>
      <c r="T7" s="845" t="s">
        <v>418</v>
      </c>
      <c r="U7" s="833"/>
      <c r="V7" s="1183"/>
      <c r="W7" s="1184"/>
      <c r="X7" s="1184"/>
      <c r="Y7" s="1184"/>
      <c r="Z7" s="1184"/>
      <c r="AA7" s="1184"/>
      <c r="AB7" s="1184"/>
      <c r="AC7" s="1185"/>
      <c r="AD7" s="1183"/>
      <c r="AE7" s="1184"/>
      <c r="AF7" s="1184"/>
      <c r="AG7" s="1184"/>
      <c r="AH7" s="1184"/>
      <c r="AI7" s="1184"/>
      <c r="AJ7" s="1184"/>
      <c r="AK7" s="1184"/>
      <c r="AL7" s="1185"/>
      <c r="AM7" s="835" t="s">
        <v>419</v>
      </c>
      <c r="AP7" s="582" t="str">
        <f t="shared" si="0"/>
        <v>Группа потребителей</v>
      </c>
      <c r="AS7" s="538">
        <v>0</v>
      </c>
    </row>
    <row r="8" spans="5:45" ht="21" hidden="1" customHeight="1">
      <c r="E8" s="1195"/>
      <c r="F8" s="1195"/>
      <c r="G8" s="1195"/>
      <c r="H8" s="1195"/>
      <c r="I8" s="1214"/>
      <c r="J8" s="1214"/>
      <c r="K8" s="1192" t="e">
        <f>J7&amp;".1"</f>
        <v>#N/A</v>
      </c>
      <c r="L8" s="841" t="s">
        <v>420</v>
      </c>
      <c r="P8" s="1031"/>
      <c r="Q8" s="1031"/>
      <c r="R8" s="844">
        <v>1</v>
      </c>
      <c r="S8" s="832" t="e">
        <f>$K8</f>
        <v>#N/A</v>
      </c>
      <c r="T8" s="846"/>
      <c r="U8" s="833"/>
      <c r="V8" s="311"/>
      <c r="W8" s="312"/>
      <c r="X8" s="311"/>
      <c r="Y8" s="313"/>
      <c r="Z8" s="1197"/>
      <c r="AA8" s="1058" t="s">
        <v>61</v>
      </c>
      <c r="AB8" s="1197"/>
      <c r="AC8" s="1058" t="s">
        <v>61</v>
      </c>
      <c r="AD8" s="311"/>
      <c r="AE8" s="312"/>
      <c r="AF8" s="311"/>
      <c r="AG8" s="313"/>
      <c r="AH8" s="1197"/>
      <c r="AI8" s="1058" t="s">
        <v>61</v>
      </c>
      <c r="AJ8" s="1197"/>
      <c r="AK8" s="1058" t="s">
        <v>61</v>
      </c>
      <c r="AL8" s="312"/>
      <c r="AM8" s="1189" t="s">
        <v>421</v>
      </c>
      <c r="AN8" s="577" t="e">
        <f ca="1">STRCHECKDATE(V9:AL9)</f>
        <v>#NAME?</v>
      </c>
      <c r="AP8" s="582" t="str">
        <f t="shared" si="0"/>
        <v/>
      </c>
      <c r="AS8" s="538">
        <v>0</v>
      </c>
    </row>
    <row r="9" spans="5:45" ht="14.25" hidden="1" customHeight="1">
      <c r="E9" s="1195"/>
      <c r="F9" s="1195"/>
      <c r="G9" s="1195"/>
      <c r="H9" s="1195"/>
      <c r="I9" s="1214"/>
      <c r="J9" s="1214"/>
      <c r="K9" s="1192"/>
      <c r="P9" s="1031"/>
      <c r="Q9" s="1031"/>
      <c r="R9" s="844"/>
      <c r="S9" s="127"/>
      <c r="T9" s="833"/>
      <c r="U9" s="833"/>
      <c r="V9" s="312"/>
      <c r="W9" s="312"/>
      <c r="X9" s="312"/>
      <c r="Y9" s="314" t="str">
        <f>Z8&amp;"-"&amp;AB8</f>
        <v>-</v>
      </c>
      <c r="Z9" s="1198"/>
      <c r="AA9" s="1058"/>
      <c r="AB9" s="1198"/>
      <c r="AC9" s="1058"/>
      <c r="AD9" s="312"/>
      <c r="AE9" s="312"/>
      <c r="AF9" s="312"/>
      <c r="AG9" s="314" t="str">
        <f>AH8&amp;"-"&amp;AJ8</f>
        <v>-</v>
      </c>
      <c r="AH9" s="1198"/>
      <c r="AI9" s="1058"/>
      <c r="AJ9" s="1198"/>
      <c r="AK9" s="1058"/>
      <c r="AL9" s="312"/>
      <c r="AM9" s="1190"/>
      <c r="AP9" s="582" t="str">
        <f t="shared" si="0"/>
        <v/>
      </c>
      <c r="AS9" s="538">
        <v>0</v>
      </c>
    </row>
    <row r="10" spans="5:45" ht="15" hidden="1" customHeight="1">
      <c r="E10" s="1195"/>
      <c r="F10" s="1195"/>
      <c r="G10" s="1195"/>
      <c r="H10" s="1195"/>
      <c r="I10" s="1214"/>
      <c r="J10" s="1192"/>
      <c r="P10" s="1031"/>
      <c r="Q10" s="1031"/>
      <c r="R10" s="842"/>
      <c r="S10" s="315"/>
      <c r="T10" s="318" t="s">
        <v>422</v>
      </c>
      <c r="U10" s="52"/>
      <c r="V10" s="52"/>
      <c r="W10" s="52"/>
      <c r="X10" s="52"/>
      <c r="Y10" s="52"/>
      <c r="Z10" s="52"/>
      <c r="AA10" s="52"/>
      <c r="AB10" s="52"/>
      <c r="AC10" s="52"/>
      <c r="AD10" s="52"/>
      <c r="AE10" s="52"/>
      <c r="AF10" s="52"/>
      <c r="AG10" s="52"/>
      <c r="AH10" s="52"/>
      <c r="AI10" s="52"/>
      <c r="AJ10" s="52"/>
      <c r="AK10" s="52"/>
      <c r="AL10" s="317"/>
      <c r="AM10" s="1191"/>
      <c r="AP10" s="582" t="str">
        <f t="shared" si="0"/>
        <v>Добавить вид теплоносителя (параметры теплоносителя)</v>
      </c>
      <c r="AS10" s="538">
        <v>0</v>
      </c>
    </row>
    <row r="11" spans="5:45" ht="11.25" hidden="1" customHeight="1">
      <c r="E11" s="1195"/>
      <c r="F11" s="1195"/>
      <c r="G11" s="1195"/>
      <c r="H11" s="1195"/>
      <c r="I11" s="1192"/>
      <c r="P11" s="1031"/>
      <c r="R11" s="842"/>
      <c r="S11" s="315"/>
      <c r="T11" s="321" t="s">
        <v>423</v>
      </c>
      <c r="U11" s="52"/>
      <c r="V11" s="52"/>
      <c r="W11" s="52"/>
      <c r="X11" s="52"/>
      <c r="Y11" s="52"/>
      <c r="Z11" s="52"/>
      <c r="AA11" s="52"/>
      <c r="AB11" s="52"/>
      <c r="AC11" s="319"/>
      <c r="AD11" s="52"/>
      <c r="AE11" s="52"/>
      <c r="AF11" s="52"/>
      <c r="AG11" s="52"/>
      <c r="AH11" s="52"/>
      <c r="AI11" s="52"/>
      <c r="AJ11" s="52"/>
      <c r="AK11" s="319"/>
      <c r="AL11" s="52"/>
      <c r="AM11" s="320"/>
      <c r="AP11" s="582" t="str">
        <f t="shared" si="0"/>
        <v>Добавить группу потребителей</v>
      </c>
      <c r="AS11" s="538">
        <v>0</v>
      </c>
    </row>
    <row r="12" spans="5:45" ht="14.25" hidden="1" customHeight="1">
      <c r="E12" s="1195"/>
      <c r="F12" s="1195"/>
      <c r="G12" s="1195"/>
      <c r="H12" s="1194"/>
      <c r="R12" s="310"/>
      <c r="S12" s="334"/>
      <c r="T12" s="335"/>
      <c r="U12" s="336"/>
      <c r="V12" s="336"/>
      <c r="W12" s="336"/>
      <c r="X12" s="336"/>
      <c r="Y12" s="336"/>
      <c r="Z12" s="336"/>
      <c r="AA12" s="336"/>
      <c r="AB12" s="336"/>
      <c r="AC12" s="336"/>
      <c r="AD12" s="336"/>
      <c r="AE12" s="336"/>
      <c r="AF12" s="336"/>
      <c r="AG12" s="336"/>
      <c r="AH12" s="336"/>
      <c r="AI12" s="336"/>
      <c r="AJ12" s="336"/>
      <c r="AK12" s="336"/>
      <c r="AL12" s="336"/>
      <c r="AM12" s="337"/>
      <c r="AP12" s="582" t="str">
        <f t="shared" si="0"/>
        <v/>
      </c>
      <c r="AS12" s="538">
        <v>0</v>
      </c>
    </row>
    <row r="13" spans="5:45" ht="14.25" hidden="1" customHeight="1">
      <c r="E13" s="1195"/>
      <c r="F13" s="1195"/>
      <c r="G13" s="1194"/>
      <c r="S13" s="322"/>
      <c r="T13" s="323" t="s">
        <v>425</v>
      </c>
      <c r="U13" s="324"/>
      <c r="V13" s="324"/>
      <c r="W13" s="324"/>
      <c r="X13" s="324"/>
      <c r="Y13" s="324"/>
      <c r="Z13" s="324"/>
      <c r="AA13" s="324"/>
      <c r="AB13" s="324"/>
      <c r="AC13" s="324"/>
      <c r="AD13" s="324"/>
      <c r="AE13" s="324"/>
      <c r="AF13" s="324"/>
      <c r="AG13" s="324"/>
      <c r="AH13" s="324"/>
      <c r="AI13" s="324"/>
      <c r="AJ13" s="324"/>
      <c r="AK13" s="324"/>
      <c r="AL13" s="324"/>
      <c r="AM13" s="324"/>
      <c r="AP13" s="582" t="str">
        <f t="shared" si="0"/>
        <v>Добавить источник для дифференциации</v>
      </c>
      <c r="AS13" s="577">
        <v>0</v>
      </c>
    </row>
    <row r="14" spans="5:45" ht="14.25" hidden="1" customHeight="1">
      <c r="E14" s="1195"/>
      <c r="F14" s="1194"/>
      <c r="T14" s="325" t="s">
        <v>426</v>
      </c>
      <c r="AP14" s="582" t="str">
        <f t="shared" si="0"/>
        <v>Добавить централизованную систему для дифференциации</v>
      </c>
      <c r="AS14" s="577">
        <v>0</v>
      </c>
    </row>
    <row r="15" spans="5:45" ht="14.25" hidden="1" customHeight="1">
      <c r="E15" s="1194"/>
      <c r="T15" s="326" t="s">
        <v>427</v>
      </c>
      <c r="AP15" s="582" t="str">
        <f t="shared" si="0"/>
        <v>Добавить территорию для дифференциации</v>
      </c>
      <c r="AS15" s="577">
        <v>0</v>
      </c>
    </row>
    <row r="16" spans="5:45" ht="14.25" hidden="1" customHeight="1">
      <c r="AS16" s="538">
        <v>0</v>
      </c>
    </row>
    <row r="17" spans="15:45" ht="14.25" hidden="1" customHeight="1">
      <c r="AD17" s="275"/>
      <c r="AE17" s="275"/>
      <c r="AF17" s="275"/>
      <c r="AG17" s="327"/>
      <c r="AH17" s="1199"/>
      <c r="AI17" s="1200" t="s">
        <v>61</v>
      </c>
      <c r="AJ17" s="1199"/>
      <c r="AK17" s="1200" t="s">
        <v>61</v>
      </c>
      <c r="AS17" s="538">
        <v>0</v>
      </c>
    </row>
    <row r="18" spans="15:45" ht="14.25" hidden="1" customHeight="1">
      <c r="AD18" s="275"/>
      <c r="AE18" s="275"/>
      <c r="AF18" s="275"/>
      <c r="AG18" s="314" t="str">
        <f>AH17&amp;"-"&amp;AJ17</f>
        <v>-</v>
      </c>
      <c r="AH18" s="1200"/>
      <c r="AI18" s="1200"/>
      <c r="AJ18" s="1200"/>
      <c r="AK18" s="1200"/>
      <c r="AS18" s="538">
        <v>0</v>
      </c>
    </row>
    <row r="19" spans="15:45" ht="14.25" hidden="1" customHeight="1">
      <c r="AS19" s="538">
        <v>0</v>
      </c>
    </row>
    <row r="20" spans="15:45" ht="22.5" hidden="1" customHeight="1">
      <c r="O20" s="328" t="s">
        <v>428</v>
      </c>
      <c r="Z20" s="328"/>
      <c r="AB20" s="328"/>
      <c r="AH20" s="328"/>
      <c r="AJ20" s="328"/>
      <c r="AS20" s="555">
        <v>0</v>
      </c>
    </row>
    <row r="21" spans="15:45" ht="14.25" hidden="1" customHeight="1">
      <c r="AS21" s="555">
        <v>0</v>
      </c>
    </row>
    <row r="22" spans="15:45" ht="14.25" hidden="1" customHeight="1">
      <c r="O22" s="841" t="s">
        <v>429</v>
      </c>
      <c r="T22" s="555" t="s">
        <v>430</v>
      </c>
      <c r="AA22" s="598" t="s">
        <v>431</v>
      </c>
      <c r="AC22" s="598" t="s">
        <v>432</v>
      </c>
      <c r="AD22" s="555" t="s">
        <v>430</v>
      </c>
      <c r="AI22" s="598" t="s">
        <v>433</v>
      </c>
      <c r="AK22" s="598" t="s">
        <v>432</v>
      </c>
      <c r="AS22" s="555">
        <v>0</v>
      </c>
    </row>
    <row r="23" spans="15:45" ht="14.25" hidden="1" customHeight="1">
      <c r="AS23" s="538">
        <v>0</v>
      </c>
    </row>
    <row r="24" spans="15:45" ht="14.25" hidden="1" customHeight="1">
      <c r="AS24" s="538">
        <v>0</v>
      </c>
    </row>
    <row r="25" spans="15:45" ht="14.65" customHeight="1">
      <c r="Q25" s="756"/>
      <c r="R25" s="756"/>
      <c r="S25" s="847"/>
      <c r="T25" s="556"/>
      <c r="U25" s="556"/>
      <c r="AS25" s="538">
        <v>14</v>
      </c>
    </row>
    <row r="26" spans="15:45" ht="53.45" customHeight="1">
      <c r="Q26" s="756"/>
      <c r="R26" s="756"/>
      <c r="S26" s="117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178"/>
      <c r="U26" s="1178"/>
      <c r="V26" s="1178"/>
      <c r="W26" s="1178"/>
      <c r="X26" s="1178"/>
      <c r="Y26" s="1178"/>
      <c r="Z26" s="1178"/>
      <c r="AA26" s="1178"/>
      <c r="AB26" s="1178"/>
      <c r="AC26" s="1178"/>
      <c r="AD26" s="1178"/>
      <c r="AE26" s="1178"/>
      <c r="AF26" s="1178"/>
      <c r="AG26" s="1178"/>
      <c r="AH26" s="1178"/>
      <c r="AI26" s="1178"/>
      <c r="AJ26" s="1178"/>
      <c r="AS26" s="538">
        <v>51</v>
      </c>
    </row>
    <row r="27" spans="15:45" ht="14.65" customHeight="1">
      <c r="Q27" s="756"/>
      <c r="R27" s="756"/>
      <c r="S27" s="1127" t="str">
        <f>IF(org=0,"Не определено",org)</f>
        <v>АО "НИЖЕГОРОДСКИЙ ВОДОКАНАЛ"</v>
      </c>
      <c r="T27" s="1127"/>
      <c r="U27" s="1127"/>
      <c r="V27" s="1127"/>
      <c r="W27" s="1127"/>
      <c r="X27" s="1127"/>
      <c r="Y27" s="1127"/>
      <c r="Z27" s="1127"/>
      <c r="AA27" s="1127"/>
      <c r="AB27" s="1127"/>
      <c r="AC27" s="1127"/>
      <c r="AD27" s="1127"/>
      <c r="AE27" s="1127"/>
      <c r="AF27" s="1127"/>
      <c r="AG27" s="1127"/>
      <c r="AH27" s="1127"/>
      <c r="AI27" s="1127"/>
      <c r="AJ27" s="1127"/>
      <c r="AS27" s="538">
        <v>14</v>
      </c>
    </row>
    <row r="28" spans="15:45" ht="14.25" hidden="1" customHeight="1">
      <c r="Q28" s="756"/>
      <c r="R28" s="756"/>
      <c r="S28" s="847"/>
      <c r="T28" s="556"/>
      <c r="U28" s="556"/>
      <c r="V28" s="826"/>
      <c r="W28" s="826"/>
      <c r="X28" s="826"/>
      <c r="Y28" s="826"/>
      <c r="Z28" s="826"/>
      <c r="AA28" s="826"/>
      <c r="AB28" s="826"/>
      <c r="AC28" s="826"/>
      <c r="AD28" s="826"/>
      <c r="AE28" s="826"/>
      <c r="AF28" s="826"/>
      <c r="AG28" s="826"/>
      <c r="AH28" s="826"/>
      <c r="AI28" s="826"/>
      <c r="AJ28" s="826"/>
      <c r="AK28" s="826"/>
      <c r="AS28" s="538">
        <v>0</v>
      </c>
    </row>
    <row r="29" spans="15:45" ht="25.5" hidden="1" customHeight="1">
      <c r="S29" s="1186" t="s">
        <v>41</v>
      </c>
      <c r="T29" s="1186"/>
      <c r="U29" s="849"/>
      <c r="V29" s="1187" t="str">
        <f>IF(TITLE_NAME_OR_PR_CHANGE="",IF(TITLE_NAME_OR_PR="","",TITLE_NAME_OR_PR),TITLE_NAME_OR_PR_CHANGE)</f>
        <v/>
      </c>
      <c r="W29" s="1187"/>
      <c r="X29" s="1187"/>
      <c r="Y29" s="1187"/>
      <c r="Z29" s="1187"/>
      <c r="AA29" s="1187"/>
      <c r="AB29" s="1187"/>
      <c r="AD29" s="1187" t="str">
        <f>IF(TITLE_NAME_OR_PR_CHANGE="",IF(TITLE_NAME_OR_PR="","",TITLE_NAME_OR_PR),TITLE_NAME_OR_PR_CHANGE)</f>
        <v/>
      </c>
      <c r="AE29" s="1187"/>
      <c r="AF29" s="1187"/>
      <c r="AG29" s="1187"/>
      <c r="AH29" s="1187"/>
      <c r="AI29" s="1187"/>
      <c r="AJ29" s="1187"/>
      <c r="AS29" s="592">
        <v>0</v>
      </c>
    </row>
    <row r="30" spans="15:45" ht="18.75" hidden="1" customHeight="1">
      <c r="S30" s="1186" t="s">
        <v>434</v>
      </c>
      <c r="T30" s="1186"/>
      <c r="U30" s="849"/>
      <c r="V30" s="1196" t="str">
        <f>IF(TITLE_DATE_PR_CHANGE="",IF(TITLE_DATE_PR="","",TITLE_DATE_PR),TITLE_DATE_PR_CHANGE)</f>
        <v/>
      </c>
      <c r="W30" s="1196"/>
      <c r="X30" s="1196"/>
      <c r="Y30" s="1196"/>
      <c r="Z30" s="1196"/>
      <c r="AA30" s="1196"/>
      <c r="AB30" s="1196"/>
      <c r="AD30" s="1196" t="str">
        <f>IF(TITLE_DATE_PR_CHANGE="",IF(TITLE_DATE_PR="","",TITLE_DATE_PR),TITLE_DATE_PR_CHANGE)</f>
        <v/>
      </c>
      <c r="AE30" s="1196"/>
      <c r="AF30" s="1196"/>
      <c r="AG30" s="1196"/>
      <c r="AH30" s="1196"/>
      <c r="AI30" s="1196"/>
      <c r="AJ30" s="1196"/>
      <c r="AS30" s="592">
        <v>0</v>
      </c>
    </row>
    <row r="31" spans="15:45" ht="18.75" hidden="1" customHeight="1">
      <c r="S31" s="1186" t="s">
        <v>435</v>
      </c>
      <c r="T31" s="1186"/>
      <c r="U31" s="849"/>
      <c r="V31" s="1187" t="str">
        <f>IF(TITLE_NUMBER_PR_CHANGE="",IF(TITLE_NUMBER_PR="","",TITLE_NUMBER_PR),TITLE_NUMBER_PR_CHANGE)</f>
        <v/>
      </c>
      <c r="W31" s="1187"/>
      <c r="X31" s="1187"/>
      <c r="Y31" s="1187"/>
      <c r="Z31" s="1187"/>
      <c r="AA31" s="1187"/>
      <c r="AB31" s="1187"/>
      <c r="AD31" s="1187" t="str">
        <f>IF(TITLE_NUMBER_PR_CHANGE="",IF(TITLE_NUMBER_PR="","",TITLE_NUMBER_PR),TITLE_NUMBER_PR_CHANGE)</f>
        <v/>
      </c>
      <c r="AE31" s="1187"/>
      <c r="AF31" s="1187"/>
      <c r="AG31" s="1187"/>
      <c r="AH31" s="1187"/>
      <c r="AI31" s="1187"/>
      <c r="AJ31" s="1187"/>
      <c r="AS31" s="592">
        <v>0</v>
      </c>
    </row>
    <row r="32" spans="15:45" ht="18.75" hidden="1" customHeight="1">
      <c r="S32" s="1186" t="s">
        <v>42</v>
      </c>
      <c r="T32" s="1186"/>
      <c r="U32" s="849"/>
      <c r="V32" s="1187" t="str">
        <f>IF(TITLE_IST_PUB_CHANGE="",IF(TITLE_IST_PUB="","",TITLE_IST_PUB),TITLE_IST_PUB_CHANGE)</f>
        <v/>
      </c>
      <c r="W32" s="1187"/>
      <c r="X32" s="1187"/>
      <c r="Y32" s="1187"/>
      <c r="Z32" s="1187"/>
      <c r="AA32" s="1187"/>
      <c r="AB32" s="1187"/>
      <c r="AD32" s="1187" t="str">
        <f>IF(TITLE_IST_PUB_CHANGE="",IF(TITLE_IST_PUB="","",TITLE_IST_PUB),TITLE_IST_PUB_CHANGE)</f>
        <v/>
      </c>
      <c r="AE32" s="1187"/>
      <c r="AF32" s="1187"/>
      <c r="AG32" s="1187"/>
      <c r="AH32" s="1187"/>
      <c r="AI32" s="1187"/>
      <c r="AJ32" s="1187"/>
      <c r="AS32" s="592">
        <v>0</v>
      </c>
    </row>
    <row r="33" spans="1:45" ht="14.25" hidden="1" customHeight="1">
      <c r="Q33" s="756"/>
      <c r="R33" s="756"/>
      <c r="S33" s="847"/>
      <c r="T33" s="556"/>
      <c r="U33" s="556"/>
      <c r="V33" s="826"/>
      <c r="W33" s="826"/>
      <c r="X33" s="826"/>
      <c r="Y33" s="826"/>
      <c r="Z33" s="826"/>
      <c r="AA33" s="826"/>
      <c r="AB33" s="826"/>
      <c r="AC33" s="826"/>
      <c r="AD33" s="826"/>
      <c r="AE33" s="826"/>
      <c r="AF33" s="826"/>
      <c r="AG33" s="826"/>
      <c r="AH33" s="826"/>
      <c r="AI33" s="826"/>
      <c r="AJ33" s="826"/>
      <c r="AK33" s="826"/>
      <c r="AS33" s="538">
        <v>0</v>
      </c>
    </row>
    <row r="34" spans="1:45" ht="18.75" hidden="1" customHeight="1">
      <c r="S34" s="1186" t="s">
        <v>436</v>
      </c>
      <c r="T34" s="1186"/>
      <c r="U34" s="849"/>
      <c r="V34" s="1196" t="str">
        <f>IF(TITLE_DATE_PR_CHANGE="",IF(TITLE_DATE_PR="","",TITLE_DATE_PR),TITLE_DATE_PR_CHANGE)</f>
        <v/>
      </c>
      <c r="W34" s="1196"/>
      <c r="X34" s="1196"/>
      <c r="Y34" s="1196"/>
      <c r="Z34" s="1196"/>
      <c r="AA34" s="1196"/>
      <c r="AB34" s="1196"/>
      <c r="AD34" s="1196" t="str">
        <f>IF(TITLE_DATE_PR_CHANGE="",IF(TITLE_DATE_PR="","",TITLE_DATE_PR),TITLE_DATE_PR_CHANGE)</f>
        <v/>
      </c>
      <c r="AE34" s="1196"/>
      <c r="AF34" s="1196"/>
      <c r="AG34" s="1196"/>
      <c r="AH34" s="1196"/>
      <c r="AI34" s="1196"/>
      <c r="AJ34" s="1196"/>
      <c r="AS34" s="592">
        <v>0</v>
      </c>
    </row>
    <row r="35" spans="1:45" ht="25.5" hidden="1" customHeight="1">
      <c r="S35" s="1186" t="s">
        <v>437</v>
      </c>
      <c r="T35" s="1186"/>
      <c r="U35" s="849"/>
      <c r="V35" s="1187" t="str">
        <f>IF(TITLE_NUMBER_PR_CHANGE="",IF(TITLE_NUMBER_PR="","",TITLE_NUMBER_PR),TITLE_NUMBER_PR_CHANGE)</f>
        <v/>
      </c>
      <c r="W35" s="1187"/>
      <c r="X35" s="1187"/>
      <c r="Y35" s="1187"/>
      <c r="Z35" s="1187"/>
      <c r="AA35" s="1187"/>
      <c r="AB35" s="1187"/>
      <c r="AD35" s="1187" t="str">
        <f>IF(TITLE_NUMBER_PR_CHANGE="",IF(TITLE_NUMBER_PR="","",TITLE_NUMBER_PR),TITLE_NUMBER_PR_CHANGE)</f>
        <v/>
      </c>
      <c r="AE35" s="1187"/>
      <c r="AF35" s="1187"/>
      <c r="AG35" s="1187"/>
      <c r="AH35" s="1187"/>
      <c r="AI35" s="1187"/>
      <c r="AJ35" s="1187"/>
      <c r="AS35" s="592">
        <v>0</v>
      </c>
    </row>
    <row r="36" spans="1:45" ht="0" hidden="1" customHeight="1">
      <c r="AC36" s="577" t="s">
        <v>438</v>
      </c>
      <c r="AK36" s="577" t="s">
        <v>438</v>
      </c>
      <c r="AS36" s="592">
        <v>0</v>
      </c>
    </row>
    <row r="37" spans="1:45" ht="14.65" customHeight="1">
      <c r="Q37" s="756"/>
      <c r="R37" s="756"/>
      <c r="S37" s="847"/>
      <c r="T37" s="556"/>
      <c r="U37" s="850"/>
      <c r="V37" s="1188"/>
      <c r="W37" s="1188"/>
      <c r="X37" s="1188"/>
      <c r="Y37" s="1188"/>
      <c r="Z37" s="1188"/>
      <c r="AA37" s="1188"/>
      <c r="AB37" s="1188"/>
      <c r="AC37" s="1188"/>
      <c r="AD37" s="1188"/>
      <c r="AE37" s="1188"/>
      <c r="AF37" s="1188"/>
      <c r="AG37" s="1188"/>
      <c r="AH37" s="1188"/>
      <c r="AI37" s="1188"/>
      <c r="AJ37" s="1188"/>
      <c r="AK37" s="1188"/>
      <c r="AS37" s="538">
        <v>14</v>
      </c>
    </row>
    <row r="38" spans="1:45" ht="14.65" customHeight="1">
      <c r="Q38" s="756"/>
      <c r="R38" s="756"/>
      <c r="S38" s="1066" t="s">
        <v>311</v>
      </c>
      <c r="T38" s="1066"/>
      <c r="U38" s="1066"/>
      <c r="V38" s="1066"/>
      <c r="W38" s="1066"/>
      <c r="X38" s="1066"/>
      <c r="Y38" s="1066"/>
      <c r="Z38" s="1066"/>
      <c r="AA38" s="1066"/>
      <c r="AB38" s="1066"/>
      <c r="AC38" s="1066"/>
      <c r="AD38" s="1066"/>
      <c r="AE38" s="1066"/>
      <c r="AF38" s="1066"/>
      <c r="AG38" s="1066"/>
      <c r="AH38" s="1066"/>
      <c r="AI38" s="1066"/>
      <c r="AJ38" s="1066"/>
      <c r="AK38" s="1066"/>
      <c r="AL38" s="1066"/>
      <c r="AM38" s="1066" t="s">
        <v>312</v>
      </c>
      <c r="AS38" s="538">
        <v>14</v>
      </c>
    </row>
    <row r="39" spans="1:45" ht="14.65" customHeight="1">
      <c r="Q39" s="756"/>
      <c r="R39" s="756"/>
      <c r="S39" s="1202" t="s">
        <v>87</v>
      </c>
      <c r="T39" s="1154" t="s">
        <v>439</v>
      </c>
      <c r="U39" s="817"/>
      <c r="V39" s="1203" t="s">
        <v>440</v>
      </c>
      <c r="W39" s="1204"/>
      <c r="X39" s="1204"/>
      <c r="Y39" s="1204"/>
      <c r="Z39" s="1204"/>
      <c r="AA39" s="1204"/>
      <c r="AB39" s="1205"/>
      <c r="AC39" s="1206" t="s">
        <v>441</v>
      </c>
      <c r="AD39" s="1203" t="s">
        <v>440</v>
      </c>
      <c r="AE39" s="1204"/>
      <c r="AF39" s="1204"/>
      <c r="AG39" s="1204"/>
      <c r="AH39" s="1204"/>
      <c r="AI39" s="1204"/>
      <c r="AJ39" s="1205"/>
      <c r="AK39" s="1206" t="s">
        <v>442</v>
      </c>
      <c r="AL39" s="1209" t="s">
        <v>443</v>
      </c>
      <c r="AM39" s="1066"/>
      <c r="AS39" s="538">
        <v>14</v>
      </c>
    </row>
    <row r="40" spans="1:45" ht="35.65" customHeight="1">
      <c r="Q40" s="756"/>
      <c r="R40" s="756"/>
      <c r="S40" s="1202"/>
      <c r="T40" s="1154"/>
      <c r="U40" s="822"/>
      <c r="V40" s="1126" t="s">
        <v>444</v>
      </c>
      <c r="W40" s="1212"/>
      <c r="X40" s="1048" t="s">
        <v>446</v>
      </c>
      <c r="Y40" s="1047"/>
      <c r="Z40" s="1048" t="s">
        <v>447</v>
      </c>
      <c r="AA40" s="1053"/>
      <c r="AB40" s="1047"/>
      <c r="AC40" s="1207"/>
      <c r="AD40" s="1126" t="s">
        <v>461</v>
      </c>
      <c r="AE40" s="1212"/>
      <c r="AF40" s="1048" t="s">
        <v>446</v>
      </c>
      <c r="AG40" s="1047"/>
      <c r="AH40" s="1048" t="s">
        <v>447</v>
      </c>
      <c r="AI40" s="1053"/>
      <c r="AJ40" s="1047"/>
      <c r="AK40" s="1207"/>
      <c r="AL40" s="1210"/>
      <c r="AM40" s="1066"/>
      <c r="AS40" s="538">
        <v>34</v>
      </c>
    </row>
    <row r="41" spans="1:45" ht="35.65" customHeight="1">
      <c r="B41" s="598" t="s">
        <v>148</v>
      </c>
      <c r="C41" s="598" t="s">
        <v>149</v>
      </c>
      <c r="D41" s="598" t="s">
        <v>150</v>
      </c>
      <c r="E41" s="841" t="s">
        <v>448</v>
      </c>
      <c r="F41" s="841" t="s">
        <v>449</v>
      </c>
      <c r="G41" s="841" t="s">
        <v>450</v>
      </c>
      <c r="H41" s="841" t="s">
        <v>451</v>
      </c>
      <c r="I41" s="841" t="s">
        <v>452</v>
      </c>
      <c r="J41" s="841" t="s">
        <v>453</v>
      </c>
      <c r="K41" s="841" t="s">
        <v>454</v>
      </c>
      <c r="L41" s="841" t="s">
        <v>429</v>
      </c>
      <c r="Q41" s="756"/>
      <c r="R41" s="756"/>
      <c r="S41" s="1202"/>
      <c r="T41" s="1154"/>
      <c r="U41" s="852"/>
      <c r="V41" s="1173"/>
      <c r="W41" s="1213"/>
      <c r="X41" s="602" t="s">
        <v>455</v>
      </c>
      <c r="Y41" s="602" t="s">
        <v>456</v>
      </c>
      <c r="Z41" s="602" t="s">
        <v>457</v>
      </c>
      <c r="AA41" s="1162" t="s">
        <v>458</v>
      </c>
      <c r="AB41" s="1164"/>
      <c r="AC41" s="1208"/>
      <c r="AD41" s="1173"/>
      <c r="AE41" s="1213"/>
      <c r="AF41" s="602" t="s">
        <v>455</v>
      </c>
      <c r="AG41" s="602" t="s">
        <v>456</v>
      </c>
      <c r="AH41" s="602" t="s">
        <v>457</v>
      </c>
      <c r="AI41" s="1162" t="s">
        <v>458</v>
      </c>
      <c r="AJ41" s="1164"/>
      <c r="AK41" s="1208"/>
      <c r="AL41" s="1211"/>
      <c r="AM41" s="1066"/>
      <c r="AS41" s="538">
        <v>34</v>
      </c>
    </row>
    <row r="42" spans="1:45" ht="11.25" hidden="1" customHeight="1">
      <c r="Q42" s="853"/>
      <c r="R42" s="854">
        <v>1</v>
      </c>
      <c r="S42" s="329" t="s">
        <v>114</v>
      </c>
      <c r="T42" s="330" t="s">
        <v>102</v>
      </c>
      <c r="U42" s="855" t="str">
        <f ca="1">OFFSET(U42,0,-1)</f>
        <v>2</v>
      </c>
      <c r="V42" s="856">
        <f ca="1">OFFSET(V42,0,-1)+1</f>
        <v>3</v>
      </c>
      <c r="W42" s="856"/>
      <c r="X42" s="856">
        <f ca="1">OFFSET(X42,0,-1)+1</f>
        <v>1</v>
      </c>
      <c r="Y42" s="856">
        <f ca="1">OFFSET(Y42,0,-1)+1</f>
        <v>2</v>
      </c>
      <c r="Z42" s="856">
        <f ca="1">OFFSET(Z42,0,-1)+1</f>
        <v>3</v>
      </c>
      <c r="AA42" s="1201">
        <f ca="1">OFFSET(AA42,0,-1)+1</f>
        <v>4</v>
      </c>
      <c r="AB42" s="1201"/>
      <c r="AC42" s="856">
        <f ca="1">OFFSET(AC42,0,-2)+1</f>
        <v>5</v>
      </c>
      <c r="AD42" s="856">
        <f ca="1">OFFSET(AD42,0,-1)+1</f>
        <v>6</v>
      </c>
      <c r="AE42" s="856"/>
      <c r="AF42" s="856">
        <f ca="1">OFFSET(AF42,0,-1)+1</f>
        <v>1</v>
      </c>
      <c r="AG42" s="856">
        <f ca="1">OFFSET(AG42,0,-1)+1</f>
        <v>2</v>
      </c>
      <c r="AH42" s="856">
        <f ca="1">OFFSET(AH42,0,-1)+1</f>
        <v>3</v>
      </c>
      <c r="AI42" s="1201">
        <f ca="1">OFFSET(AI42,0,-1)+1</f>
        <v>4</v>
      </c>
      <c r="AJ42" s="1201"/>
      <c r="AK42" s="856">
        <f ca="1">OFFSET(AK42,0,-2)+1</f>
        <v>5</v>
      </c>
      <c r="AL42" s="855">
        <f ca="1">OFFSET(AL42,0,-1)</f>
        <v>5</v>
      </c>
      <c r="AM42" s="856">
        <f ca="1">OFFSET(AM42,0,-1)+1</f>
        <v>6</v>
      </c>
      <c r="AS42" s="681">
        <v>0</v>
      </c>
    </row>
    <row r="43" spans="1:45" ht="21.95" customHeight="1">
      <c r="A43" s="857" t="s">
        <v>199</v>
      </c>
      <c r="E43" s="1194">
        <v>1</v>
      </c>
      <c r="R43" s="310"/>
      <c r="S43" s="832">
        <f>INDEX(PT_DIFFERENTIATION_NUM_NTAR,MATCH(A43,PT_DIFFERENTIATION_NTAR_ID,0))</f>
        <v>0</v>
      </c>
      <c r="T43" s="795" t="s">
        <v>136</v>
      </c>
      <c r="U43" s="833"/>
      <c r="V43" s="1180"/>
      <c r="W43" s="1181"/>
      <c r="X43" s="1181"/>
      <c r="Y43" s="1181"/>
      <c r="Z43" s="1181"/>
      <c r="AA43" s="1181"/>
      <c r="AB43" s="1181"/>
      <c r="AC43" s="1182"/>
      <c r="AD43" s="1180" t="str">
        <f>INDEX(PT_DIFFERENTIATION_NTAR,MATCH(A43,PT_DIFFERENTIATION_NTAR_ID,0))</f>
        <v/>
      </c>
      <c r="AE43" s="1181"/>
      <c r="AF43" s="1181"/>
      <c r="AG43" s="1181"/>
      <c r="AH43" s="1181"/>
      <c r="AI43" s="1181"/>
      <c r="AJ43" s="1181"/>
      <c r="AK43" s="1181"/>
      <c r="AL43" s="1182"/>
      <c r="AM43" s="83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582" t="str">
        <f t="shared" ref="AP43:AP57" si="1">IF(T43="","",T43)</f>
        <v>Наименование тарифа</v>
      </c>
      <c r="AS43" s="538">
        <v>21</v>
      </c>
    </row>
    <row r="44" spans="1:45" ht="21.95" customHeight="1">
      <c r="A44" s="857" t="s">
        <v>199</v>
      </c>
      <c r="B44" s="857" t="s">
        <v>200</v>
      </c>
      <c r="E44" s="1195"/>
      <c r="F44" s="1194">
        <v>1</v>
      </c>
      <c r="Q44" s="836"/>
      <c r="R44" s="837"/>
      <c r="S44" s="832" t="str">
        <f>INDEX(PT_DIFFERENTIATION_NUM_TER,MATCH(B44,PT_DIFFERENTIATION_TER_ID,0))</f>
        <v>.</v>
      </c>
      <c r="T44" s="838" t="s">
        <v>408</v>
      </c>
      <c r="U44" s="833"/>
      <c r="V44" s="1180"/>
      <c r="W44" s="1181"/>
      <c r="X44" s="1181"/>
      <c r="Y44" s="1181"/>
      <c r="Z44" s="1181"/>
      <c r="AA44" s="1181"/>
      <c r="AB44" s="1181"/>
      <c r="AC44" s="1182"/>
      <c r="AD44" s="1180" t="str">
        <f>INDEX(PT_DIFFERENTIATION_TER,MATCH(B44,PT_DIFFERENTIATION_TER_ID,0))</f>
        <v/>
      </c>
      <c r="AE44" s="1181"/>
      <c r="AF44" s="1181"/>
      <c r="AG44" s="1181"/>
      <c r="AH44" s="1181"/>
      <c r="AI44" s="1181"/>
      <c r="AJ44" s="1181"/>
      <c r="AK44" s="1181"/>
      <c r="AL44" s="1182"/>
      <c r="AM44" s="835" t="s">
        <v>409</v>
      </c>
      <c r="AP44" s="582" t="str">
        <f t="shared" si="1"/>
        <v>Территория действия тарифа</v>
      </c>
      <c r="AS44" s="538">
        <v>21</v>
      </c>
    </row>
    <row r="45" spans="1:45" ht="24" customHeight="1">
      <c r="A45" s="857" t="s">
        <v>199</v>
      </c>
      <c r="B45" s="857" t="s">
        <v>200</v>
      </c>
      <c r="C45" s="857" t="s">
        <v>201</v>
      </c>
      <c r="E45" s="1195"/>
      <c r="F45" s="1195"/>
      <c r="G45" s="1194">
        <v>1</v>
      </c>
      <c r="Q45" s="836"/>
      <c r="R45" s="837"/>
      <c r="S45" s="832" t="str">
        <f>INDEX(PT_DIFFERENTIATION_NUM_CS,MATCH(C45,PT_DIFFERENTIATION_CS_ID,0))</f>
        <v>..</v>
      </c>
      <c r="T45" s="839" t="s">
        <v>410</v>
      </c>
      <c r="U45" s="833"/>
      <c r="V45" s="1180"/>
      <c r="W45" s="1181"/>
      <c r="X45" s="1181"/>
      <c r="Y45" s="1181"/>
      <c r="Z45" s="1181"/>
      <c r="AA45" s="1181"/>
      <c r="AB45" s="1181"/>
      <c r="AC45" s="1182"/>
      <c r="AD45" s="1180" t="str">
        <f>INDEX(PT_DIFFERENTIATION_CS,MATCH(C45,PT_DIFFERENTIATION_CS_ID,0))</f>
        <v/>
      </c>
      <c r="AE45" s="1181"/>
      <c r="AF45" s="1181"/>
      <c r="AG45" s="1181"/>
      <c r="AH45" s="1181"/>
      <c r="AI45" s="1181"/>
      <c r="AJ45" s="1181"/>
      <c r="AK45" s="1181"/>
      <c r="AL45" s="1182"/>
      <c r="AM45" s="835" t="s">
        <v>411</v>
      </c>
      <c r="AP45" s="582" t="str">
        <f t="shared" si="1"/>
        <v xml:space="preserve">Наименование системы теплоснабжения </v>
      </c>
      <c r="AS45" s="538">
        <v>23</v>
      </c>
    </row>
    <row r="46" spans="1:45" ht="21.95" customHeight="1">
      <c r="A46" s="857" t="s">
        <v>199</v>
      </c>
      <c r="B46" s="857" t="s">
        <v>200</v>
      </c>
      <c r="C46" s="857" t="s">
        <v>201</v>
      </c>
      <c r="D46" s="857" t="s">
        <v>202</v>
      </c>
      <c r="E46" s="1195"/>
      <c r="F46" s="1195"/>
      <c r="G46" s="1195"/>
      <c r="H46" s="1194">
        <v>1</v>
      </c>
      <c r="Q46" s="836"/>
      <c r="R46" s="837"/>
      <c r="S46" s="832" t="str">
        <f>INDEX(PT_DIFFERENTIATION_NUM_IST_TE,MATCH(D46,PT_DIFFERENTIATION_IST_TE_ID,0))</f>
        <v>...</v>
      </c>
      <c r="T46" s="840" t="s">
        <v>412</v>
      </c>
      <c r="U46" s="833"/>
      <c r="V46" s="1180"/>
      <c r="W46" s="1181"/>
      <c r="X46" s="1181"/>
      <c r="Y46" s="1181"/>
      <c r="Z46" s="1181"/>
      <c r="AA46" s="1181"/>
      <c r="AB46" s="1181"/>
      <c r="AC46" s="1182"/>
      <c r="AD46" s="1180" t="str">
        <f>INDEX(PT_DIFFERENTIATION_IST_TE,MATCH(D46,PT_DIFFERENTIATION_IST_TE_ID,0))</f>
        <v/>
      </c>
      <c r="AE46" s="1181"/>
      <c r="AF46" s="1181"/>
      <c r="AG46" s="1181"/>
      <c r="AH46" s="1181"/>
      <c r="AI46" s="1181"/>
      <c r="AJ46" s="1181"/>
      <c r="AK46" s="1181"/>
      <c r="AL46" s="1182"/>
      <c r="AM46" s="835" t="s">
        <v>413</v>
      </c>
      <c r="AP46" s="582" t="str">
        <f t="shared" si="1"/>
        <v xml:space="preserve">Источник тепловой энергии  </v>
      </c>
      <c r="AS46" s="538">
        <v>21</v>
      </c>
    </row>
    <row r="47" spans="1:45" ht="0" hidden="1" customHeight="1">
      <c r="A47" s="574" t="s">
        <v>199</v>
      </c>
      <c r="B47" s="574" t="s">
        <v>200</v>
      </c>
      <c r="C47" s="574" t="s">
        <v>201</v>
      </c>
      <c r="D47" s="574" t="s">
        <v>202</v>
      </c>
      <c r="E47" s="1195"/>
      <c r="F47" s="1195"/>
      <c r="G47" s="1195"/>
      <c r="H47" s="1195"/>
      <c r="I47" s="1192" t="str">
        <f>S46&amp;".1"</f>
        <v>....1</v>
      </c>
      <c r="L47" s="863" t="s">
        <v>414</v>
      </c>
      <c r="P47" s="1193">
        <v>1</v>
      </c>
      <c r="R47" s="842"/>
      <c r="S47" s="635"/>
      <c r="T47" s="859"/>
      <c r="U47" s="860"/>
      <c r="V47" s="1222"/>
      <c r="W47" s="1223"/>
      <c r="X47" s="1223"/>
      <c r="Y47" s="1223"/>
      <c r="Z47" s="1223"/>
      <c r="AA47" s="1223"/>
      <c r="AB47" s="1223"/>
      <c r="AC47" s="1224"/>
      <c r="AD47" s="1222"/>
      <c r="AE47" s="1223"/>
      <c r="AF47" s="1223"/>
      <c r="AG47" s="1223"/>
      <c r="AH47" s="1223"/>
      <c r="AI47" s="1223"/>
      <c r="AJ47" s="1223"/>
      <c r="AK47" s="1223"/>
      <c r="AL47" s="1224"/>
      <c r="AM47" s="862"/>
      <c r="AP47" s="582" t="str">
        <f t="shared" si="1"/>
        <v/>
      </c>
      <c r="AS47" s="577">
        <v>0</v>
      </c>
    </row>
    <row r="48" spans="1:45" ht="21.95" customHeight="1">
      <c r="A48" s="857" t="s">
        <v>199</v>
      </c>
      <c r="B48" s="857" t="s">
        <v>200</v>
      </c>
      <c r="C48" s="857" t="s">
        <v>201</v>
      </c>
      <c r="D48" s="857" t="s">
        <v>202</v>
      </c>
      <c r="E48" s="1195"/>
      <c r="F48" s="1195"/>
      <c r="G48" s="1195"/>
      <c r="H48" s="1195"/>
      <c r="I48" s="1214"/>
      <c r="J48" s="1192" t="str">
        <f>S46&amp;".1"</f>
        <v>....1</v>
      </c>
      <c r="L48" s="841" t="s">
        <v>417</v>
      </c>
      <c r="P48" s="1031"/>
      <c r="Q48" s="1193">
        <v>1</v>
      </c>
      <c r="R48" s="844"/>
      <c r="S48" s="832" t="str">
        <f>$J48</f>
        <v>....1</v>
      </c>
      <c r="T48" s="845" t="s">
        <v>418</v>
      </c>
      <c r="U48" s="833"/>
      <c r="V48" s="1183"/>
      <c r="W48" s="1184"/>
      <c r="X48" s="1184"/>
      <c r="Y48" s="1184"/>
      <c r="Z48" s="1184"/>
      <c r="AA48" s="1184"/>
      <c r="AB48" s="1184"/>
      <c r="AC48" s="1185"/>
      <c r="AD48" s="1183"/>
      <c r="AE48" s="1184"/>
      <c r="AF48" s="1184"/>
      <c r="AG48" s="1184"/>
      <c r="AH48" s="1184"/>
      <c r="AI48" s="1184"/>
      <c r="AJ48" s="1184"/>
      <c r="AK48" s="1184"/>
      <c r="AL48" s="1185"/>
      <c r="AM48" s="835" t="s">
        <v>419</v>
      </c>
      <c r="AP48" s="582" t="str">
        <f t="shared" si="1"/>
        <v>Группа потребителей</v>
      </c>
      <c r="AS48" s="538">
        <v>21</v>
      </c>
    </row>
    <row r="49" spans="1:45" ht="21.95" customHeight="1">
      <c r="A49" s="857" t="s">
        <v>199</v>
      </c>
      <c r="B49" s="857" t="s">
        <v>200</v>
      </c>
      <c r="C49" s="857" t="s">
        <v>201</v>
      </c>
      <c r="D49" s="857" t="s">
        <v>202</v>
      </c>
      <c r="E49" s="1195"/>
      <c r="F49" s="1195"/>
      <c r="G49" s="1195"/>
      <c r="H49" s="1195"/>
      <c r="I49" s="1214"/>
      <c r="J49" s="1214"/>
      <c r="K49" s="1192" t="str">
        <f>J48&amp;".1"</f>
        <v>....1.1</v>
      </c>
      <c r="L49" s="841" t="s">
        <v>420</v>
      </c>
      <c r="P49" s="1031"/>
      <c r="Q49" s="1031"/>
      <c r="R49" s="844">
        <v>1</v>
      </c>
      <c r="S49" s="832" t="str">
        <f>$K49</f>
        <v>....1.1</v>
      </c>
      <c r="T49" s="846"/>
      <c r="U49" s="833"/>
      <c r="V49" s="311"/>
      <c r="W49" s="312"/>
      <c r="X49" s="311"/>
      <c r="Y49" s="313"/>
      <c r="Z49" s="1197"/>
      <c r="AA49" s="1058" t="s">
        <v>61</v>
      </c>
      <c r="AB49" s="1197"/>
      <c r="AC49" s="1058" t="s">
        <v>61</v>
      </c>
      <c r="AD49" s="311"/>
      <c r="AE49" s="312"/>
      <c r="AF49" s="311"/>
      <c r="AG49" s="313"/>
      <c r="AH49" s="1197"/>
      <c r="AI49" s="1058" t="s">
        <v>61</v>
      </c>
      <c r="AJ49" s="1215"/>
      <c r="AK49" s="1058" t="s">
        <v>61</v>
      </c>
      <c r="AL49" s="331"/>
      <c r="AM49" s="1189" t="s">
        <v>462</v>
      </c>
      <c r="AN49" s="577" t="e">
        <f ca="1">STRCHECKDATE(V50:AL50)</f>
        <v>#NAME?</v>
      </c>
      <c r="AP49" s="582" t="str">
        <f t="shared" si="1"/>
        <v/>
      </c>
      <c r="AS49" s="538">
        <v>21</v>
      </c>
    </row>
    <row r="50" spans="1:45" ht="0" hidden="1" customHeight="1">
      <c r="A50" s="857" t="s">
        <v>199</v>
      </c>
      <c r="B50" s="857" t="s">
        <v>200</v>
      </c>
      <c r="C50" s="857" t="s">
        <v>201</v>
      </c>
      <c r="D50" s="857" t="s">
        <v>202</v>
      </c>
      <c r="E50" s="1195"/>
      <c r="F50" s="1195"/>
      <c r="G50" s="1195"/>
      <c r="H50" s="1195"/>
      <c r="I50" s="1214"/>
      <c r="J50" s="1214"/>
      <c r="K50" s="1192"/>
      <c r="P50" s="1031"/>
      <c r="Q50" s="1031"/>
      <c r="R50" s="844"/>
      <c r="S50" s="127"/>
      <c r="T50" s="833"/>
      <c r="U50" s="833"/>
      <c r="V50" s="312"/>
      <c r="W50" s="312"/>
      <c r="X50" s="312"/>
      <c r="Y50" s="314" t="str">
        <f>Z49&amp;"-"&amp;AB49</f>
        <v>-</v>
      </c>
      <c r="Z50" s="1198"/>
      <c r="AA50" s="1058"/>
      <c r="AB50" s="1198"/>
      <c r="AC50" s="1058"/>
      <c r="AD50" s="312"/>
      <c r="AE50" s="312"/>
      <c r="AF50" s="312"/>
      <c r="AG50" s="314" t="str">
        <f>AH49&amp;"-"&amp;AJ49</f>
        <v>-</v>
      </c>
      <c r="AH50" s="1198"/>
      <c r="AI50" s="1058"/>
      <c r="AJ50" s="1216"/>
      <c r="AK50" s="1058"/>
      <c r="AL50" s="332"/>
      <c r="AM50" s="1190"/>
      <c r="AP50" s="582" t="str">
        <f t="shared" si="1"/>
        <v/>
      </c>
      <c r="AS50" s="538">
        <v>0</v>
      </c>
    </row>
    <row r="51" spans="1:45" ht="11.45" customHeight="1">
      <c r="A51" s="857" t="s">
        <v>199</v>
      </c>
      <c r="B51" s="857" t="s">
        <v>200</v>
      </c>
      <c r="C51" s="857" t="s">
        <v>201</v>
      </c>
      <c r="D51" s="857" t="s">
        <v>202</v>
      </c>
      <c r="E51" s="1195"/>
      <c r="F51" s="1195"/>
      <c r="G51" s="1195"/>
      <c r="H51" s="1195"/>
      <c r="I51" s="1214"/>
      <c r="J51" s="1192"/>
      <c r="P51" s="1031"/>
      <c r="Q51" s="1031"/>
      <c r="R51" s="842"/>
      <c r="S51" s="315"/>
      <c r="T51" s="318" t="s">
        <v>422</v>
      </c>
      <c r="U51" s="52"/>
      <c r="V51" s="52"/>
      <c r="W51" s="52"/>
      <c r="X51" s="52"/>
      <c r="Y51" s="52"/>
      <c r="Z51" s="52"/>
      <c r="AA51" s="52"/>
      <c r="AB51" s="52"/>
      <c r="AC51" s="52"/>
      <c r="AD51" s="52"/>
      <c r="AE51" s="52"/>
      <c r="AF51" s="52"/>
      <c r="AG51" s="52"/>
      <c r="AH51" s="52"/>
      <c r="AI51" s="52"/>
      <c r="AJ51" s="52"/>
      <c r="AK51" s="52"/>
      <c r="AL51" s="317"/>
      <c r="AM51" s="1191"/>
      <c r="AP51" s="582" t="str">
        <f t="shared" si="1"/>
        <v>Добавить вид теплоносителя (параметры теплоносителя)</v>
      </c>
      <c r="AS51" s="538">
        <v>11</v>
      </c>
    </row>
    <row r="52" spans="1:45" ht="11.45" customHeight="1">
      <c r="A52" s="857" t="s">
        <v>199</v>
      </c>
      <c r="B52" s="857" t="s">
        <v>200</v>
      </c>
      <c r="C52" s="857" t="s">
        <v>201</v>
      </c>
      <c r="D52" s="857" t="s">
        <v>202</v>
      </c>
      <c r="E52" s="1195"/>
      <c r="F52" s="1195"/>
      <c r="G52" s="1195"/>
      <c r="H52" s="1195"/>
      <c r="I52" s="1192"/>
      <c r="P52" s="1031"/>
      <c r="R52" s="842"/>
      <c r="S52" s="315"/>
      <c r="T52" s="321" t="s">
        <v>423</v>
      </c>
      <c r="U52" s="52"/>
      <c r="V52" s="52"/>
      <c r="W52" s="52"/>
      <c r="X52" s="52"/>
      <c r="Y52" s="52"/>
      <c r="Z52" s="52"/>
      <c r="AA52" s="52"/>
      <c r="AB52" s="52"/>
      <c r="AC52" s="319"/>
      <c r="AD52" s="52"/>
      <c r="AE52" s="52"/>
      <c r="AF52" s="52"/>
      <c r="AG52" s="52"/>
      <c r="AH52" s="52"/>
      <c r="AI52" s="52"/>
      <c r="AJ52" s="52"/>
      <c r="AK52" s="319"/>
      <c r="AL52" s="52"/>
      <c r="AM52" s="320"/>
      <c r="AP52" s="582" t="str">
        <f t="shared" si="1"/>
        <v>Добавить группу потребителей</v>
      </c>
      <c r="AS52" s="538">
        <v>11</v>
      </c>
    </row>
    <row r="53" spans="1:45" ht="0" hidden="1" customHeight="1">
      <c r="A53" s="857" t="s">
        <v>199</v>
      </c>
      <c r="B53" s="857" t="s">
        <v>200</v>
      </c>
      <c r="C53" s="857" t="s">
        <v>201</v>
      </c>
      <c r="D53" s="857" t="s">
        <v>202</v>
      </c>
      <c r="E53" s="1195"/>
      <c r="F53" s="1195"/>
      <c r="G53" s="1195"/>
      <c r="H53" s="1194"/>
      <c r="R53" s="310"/>
      <c r="S53" s="334"/>
      <c r="T53" s="335"/>
      <c r="U53" s="336"/>
      <c r="V53" s="336"/>
      <c r="W53" s="336"/>
      <c r="X53" s="336"/>
      <c r="Y53" s="336"/>
      <c r="Z53" s="336"/>
      <c r="AA53" s="336"/>
      <c r="AB53" s="336"/>
      <c r="AC53" s="336"/>
      <c r="AD53" s="336"/>
      <c r="AE53" s="336"/>
      <c r="AF53" s="336"/>
      <c r="AG53" s="336"/>
      <c r="AH53" s="336"/>
      <c r="AI53" s="336"/>
      <c r="AJ53" s="336"/>
      <c r="AK53" s="336"/>
      <c r="AL53" s="336"/>
      <c r="AM53" s="337"/>
      <c r="AP53" s="582" t="str">
        <f t="shared" si="1"/>
        <v/>
      </c>
      <c r="AS53" s="538">
        <v>0</v>
      </c>
    </row>
    <row r="54" spans="1:45" ht="0" hidden="1" customHeight="1">
      <c r="A54" s="574" t="s">
        <v>199</v>
      </c>
      <c r="B54" s="574" t="s">
        <v>200</v>
      </c>
      <c r="C54" s="574" t="s">
        <v>201</v>
      </c>
      <c r="E54" s="1195"/>
      <c r="F54" s="1195"/>
      <c r="G54" s="1194"/>
      <c r="T54" s="326" t="s">
        <v>425</v>
      </c>
      <c r="AP54" s="582" t="str">
        <f t="shared" si="1"/>
        <v>Добавить источник для дифференциации</v>
      </c>
      <c r="AS54" s="577">
        <v>0</v>
      </c>
    </row>
    <row r="55" spans="1:45" ht="0" hidden="1" customHeight="1">
      <c r="A55" s="574" t="s">
        <v>199</v>
      </c>
      <c r="B55" s="574" t="s">
        <v>200</v>
      </c>
      <c r="E55" s="1195"/>
      <c r="F55" s="1194"/>
      <c r="T55" s="326" t="s">
        <v>426</v>
      </c>
      <c r="AP55" s="582" t="str">
        <f t="shared" si="1"/>
        <v>Добавить централизованную систему для дифференциации</v>
      </c>
      <c r="AS55" s="577">
        <v>0</v>
      </c>
    </row>
    <row r="56" spans="1:45" ht="0" hidden="1" customHeight="1">
      <c r="A56" s="574" t="s">
        <v>199</v>
      </c>
      <c r="E56" s="1194"/>
      <c r="T56" s="326" t="s">
        <v>427</v>
      </c>
      <c r="AP56" s="582" t="str">
        <f t="shared" si="1"/>
        <v>Добавить территорию для дифференциации</v>
      </c>
      <c r="AS56" s="577">
        <v>0</v>
      </c>
    </row>
    <row r="57" spans="1:45" ht="4.1500000000000004" customHeight="1">
      <c r="T57" s="326" t="s">
        <v>459</v>
      </c>
      <c r="AP57" s="582" t="str">
        <f t="shared" si="1"/>
        <v>Добавить наименование тарифа</v>
      </c>
      <c r="AS57" s="577">
        <v>4</v>
      </c>
    </row>
    <row r="58" spans="1:45" ht="11.45" customHeight="1">
      <c r="AS58" s="538">
        <v>11</v>
      </c>
    </row>
    <row r="59" spans="1:45" ht="14.65" customHeight="1">
      <c r="T59" s="1031"/>
      <c r="U59" s="1031"/>
      <c r="V59" s="1031"/>
      <c r="W59" s="1031"/>
      <c r="X59" s="1031"/>
      <c r="Y59" s="1031"/>
      <c r="Z59" s="1031"/>
      <c r="AA59" s="1031"/>
      <c r="AB59" s="1031"/>
      <c r="AC59" s="1031"/>
      <c r="AD59" s="1031"/>
      <c r="AE59" s="1031"/>
      <c r="AF59" s="1031"/>
      <c r="AG59" s="1031"/>
      <c r="AH59" s="1031"/>
      <c r="AI59" s="1031"/>
      <c r="AJ59" s="1031"/>
      <c r="AK59" s="1031"/>
      <c r="AL59" s="1031"/>
      <c r="AM59" s="1031"/>
      <c r="AS59" s="538">
        <v>14</v>
      </c>
    </row>
    <row r="60" spans="1:45" ht="14.65" customHeight="1">
      <c r="T60" s="1031"/>
      <c r="U60" s="1031"/>
      <c r="V60" s="1031"/>
      <c r="W60" s="1031"/>
      <c r="X60" s="1031"/>
      <c r="Y60" s="1031"/>
      <c r="Z60" s="1031"/>
      <c r="AA60" s="1031"/>
      <c r="AB60" s="1031"/>
      <c r="AC60" s="1031"/>
      <c r="AD60" s="1031"/>
      <c r="AE60" s="1031"/>
      <c r="AF60" s="1031"/>
      <c r="AG60" s="1031"/>
      <c r="AH60" s="1031"/>
      <c r="AI60" s="1031"/>
      <c r="AJ60" s="1031"/>
      <c r="AK60" s="1031"/>
      <c r="AL60" s="1031"/>
      <c r="AM60" s="1031"/>
      <c r="AS60" s="538">
        <v>14</v>
      </c>
    </row>
    <row r="61" spans="1:45" ht="14.65" customHeight="1">
      <c r="T61" s="1031"/>
      <c r="U61" s="1031"/>
      <c r="V61" s="1031"/>
      <c r="W61" s="1031"/>
      <c r="X61" s="1031"/>
      <c r="Y61" s="1031"/>
      <c r="Z61" s="1031"/>
      <c r="AA61" s="1031"/>
      <c r="AB61" s="1031"/>
      <c r="AC61" s="1031"/>
      <c r="AD61" s="1031"/>
      <c r="AE61" s="1031"/>
      <c r="AF61" s="1031"/>
      <c r="AG61" s="1031"/>
      <c r="AH61" s="1031"/>
      <c r="AI61" s="1031"/>
      <c r="AJ61" s="1031"/>
      <c r="AK61" s="1031"/>
      <c r="AL61" s="1031"/>
      <c r="AM61" s="1031"/>
      <c r="AS61" s="538">
        <v>14</v>
      </c>
    </row>
    <row r="62" spans="1:45" ht="14.65" customHeight="1">
      <c r="AS62" s="538">
        <v>14</v>
      </c>
    </row>
    <row r="63" spans="1:45" ht="14.65" customHeight="1">
      <c r="T63" s="1031"/>
      <c r="U63" s="1031"/>
      <c r="V63" s="1031"/>
      <c r="W63" s="1031"/>
      <c r="X63" s="1031"/>
      <c r="Y63" s="1031"/>
      <c r="Z63" s="1031"/>
      <c r="AA63" s="1031"/>
      <c r="AB63" s="1031"/>
      <c r="AC63" s="1031"/>
      <c r="AD63" s="1031"/>
      <c r="AE63" s="1031"/>
      <c r="AF63" s="1031"/>
      <c r="AG63" s="1031"/>
      <c r="AH63" s="1031"/>
      <c r="AI63" s="1031"/>
      <c r="AJ63" s="1031"/>
      <c r="AK63" s="1031"/>
      <c r="AL63" s="1031"/>
      <c r="AM63" s="1031"/>
      <c r="AS63" s="538">
        <v>14</v>
      </c>
    </row>
    <row r="64" spans="1:45" ht="14.65" customHeight="1">
      <c r="T64" s="1031"/>
      <c r="U64" s="1031"/>
      <c r="V64" s="1031"/>
      <c r="W64" s="1031"/>
      <c r="X64" s="1031"/>
      <c r="Y64" s="1031"/>
      <c r="Z64" s="1031"/>
      <c r="AA64" s="1031"/>
      <c r="AB64" s="1031"/>
      <c r="AC64" s="1031"/>
      <c r="AD64" s="1031"/>
      <c r="AE64" s="1031"/>
      <c r="AF64" s="1031"/>
      <c r="AG64" s="1031"/>
      <c r="AH64" s="1031"/>
      <c r="AI64" s="1031"/>
      <c r="AJ64" s="1031"/>
      <c r="AK64" s="1031"/>
      <c r="AL64" s="1031"/>
      <c r="AM64" s="1031"/>
      <c r="AS64" s="538">
        <v>14</v>
      </c>
    </row>
    <row r="65" spans="1:45" ht="14.65" customHeight="1">
      <c r="T65" s="1031"/>
      <c r="U65" s="1031"/>
      <c r="V65" s="1031"/>
      <c r="W65" s="1031"/>
      <c r="X65" s="1031"/>
      <c r="Y65" s="1031"/>
      <c r="Z65" s="1031"/>
      <c r="AA65" s="1031"/>
      <c r="AB65" s="1031"/>
      <c r="AC65" s="1031"/>
      <c r="AD65" s="1031"/>
      <c r="AE65" s="1031"/>
      <c r="AF65" s="1031"/>
      <c r="AG65" s="1031"/>
      <c r="AH65" s="1031"/>
      <c r="AI65" s="1031"/>
      <c r="AJ65" s="1031"/>
      <c r="AK65" s="1031"/>
      <c r="AL65" s="1031"/>
      <c r="AM65" s="1031"/>
      <c r="AS65" s="538">
        <v>14</v>
      </c>
    </row>
    <row r="66" spans="1:45" ht="22.5" hidden="1" customHeight="1">
      <c r="A66" s="555" t="s">
        <v>81</v>
      </c>
      <c r="B66" s="555">
        <v>0</v>
      </c>
      <c r="C66" s="555">
        <v>0</v>
      </c>
      <c r="D66" s="555">
        <v>0</v>
      </c>
      <c r="E66" s="555">
        <v>0</v>
      </c>
      <c r="F66" s="555">
        <v>0</v>
      </c>
      <c r="G66" s="555">
        <v>0</v>
      </c>
      <c r="H66" s="555">
        <v>0</v>
      </c>
      <c r="I66" s="555">
        <v>0</v>
      </c>
      <c r="J66" s="555">
        <v>0</v>
      </c>
      <c r="K66" s="555">
        <v>0</v>
      </c>
      <c r="L66" s="667">
        <v>0</v>
      </c>
      <c r="M66" s="12">
        <v>0</v>
      </c>
      <c r="N66" s="12">
        <v>0</v>
      </c>
      <c r="O66" s="12">
        <v>0</v>
      </c>
      <c r="P66" s="300">
        <v>0</v>
      </c>
      <c r="Q66" s="821">
        <v>3</v>
      </c>
      <c r="R66" s="821">
        <v>3</v>
      </c>
      <c r="S66" s="553">
        <v>12</v>
      </c>
      <c r="T66" s="538">
        <v>31</v>
      </c>
      <c r="U66" s="538">
        <v>0</v>
      </c>
      <c r="V66" s="538">
        <v>0</v>
      </c>
      <c r="W66" s="538">
        <v>0</v>
      </c>
      <c r="X66" s="538">
        <v>0</v>
      </c>
      <c r="Y66" s="538">
        <v>0</v>
      </c>
      <c r="Z66" s="538">
        <v>0</v>
      </c>
      <c r="AA66" s="538">
        <v>0</v>
      </c>
      <c r="AB66" s="538">
        <v>0</v>
      </c>
      <c r="AC66" s="538">
        <v>0</v>
      </c>
      <c r="AD66" s="538">
        <v>24</v>
      </c>
      <c r="AE66" s="538">
        <v>0</v>
      </c>
      <c r="AF66" s="538">
        <v>24</v>
      </c>
      <c r="AG66" s="538">
        <v>24</v>
      </c>
      <c r="AH66" s="538">
        <v>11</v>
      </c>
      <c r="AI66" s="538">
        <v>3</v>
      </c>
      <c r="AJ66" s="538">
        <v>11</v>
      </c>
      <c r="AK66" s="538">
        <v>0</v>
      </c>
      <c r="AL66" s="538">
        <v>4</v>
      </c>
      <c r="AM66" s="538">
        <v>115</v>
      </c>
      <c r="AN66" s="577">
        <v>10</v>
      </c>
      <c r="AO66" s="577">
        <v>10</v>
      </c>
      <c r="AP66" s="577">
        <v>10</v>
      </c>
      <c r="AQ66" s="577">
        <v>10</v>
      </c>
      <c r="AR66" s="577">
        <v>10</v>
      </c>
      <c r="AS66" s="538">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2" style="1029" hidden="1" customWidth="1"/>
    <col min="10" max="10" width="9.85546875" style="1029" hidden="1" customWidth="1"/>
    <col min="11" max="12" width="11.42578125" style="1029" hidden="1" customWidth="1"/>
    <col min="13" max="13" width="19.140625" style="1029" hidden="1" customWidth="1"/>
    <col min="14" max="15" width="12.28515625" style="1029" hidden="1" customWidth="1"/>
    <col min="16" max="16" width="23.42578125" style="1029" hidden="1" customWidth="1"/>
    <col min="17" max="17" width="3.7109375" style="1029" hidden="1" customWidth="1"/>
    <col min="18" max="20" width="3" style="1029" customWidth="1"/>
    <col min="21" max="21" width="12" style="1029" customWidth="1"/>
    <col min="22" max="22" width="31" style="1029" customWidth="1"/>
    <col min="23" max="23" width="0.140625" style="1029" customWidth="1"/>
    <col min="24" max="28" width="21.7109375" style="1029" hidden="1" customWidth="1"/>
    <col min="29" max="29" width="11.7109375" style="1029" hidden="1" customWidth="1"/>
    <col min="30" max="30" width="3.7109375" style="1029" hidden="1" customWidth="1"/>
    <col min="31" max="31" width="11.7109375" style="1029" hidden="1" customWidth="1"/>
    <col min="32" max="32" width="8.5703125" style="1029" hidden="1" customWidth="1"/>
    <col min="33" max="33" width="21.7109375" style="1029" customWidth="1"/>
    <col min="34" max="37" width="21" style="1029" customWidth="1"/>
    <col min="38" max="38" width="11" style="1029" customWidth="1"/>
    <col min="39" max="39" width="3.7109375" style="1029" customWidth="1"/>
    <col min="40" max="40" width="11" style="1029" customWidth="1"/>
    <col min="41" max="41" width="8.5703125" style="1029" hidden="1" customWidth="1"/>
    <col min="42" max="42" width="4" style="1029" customWidth="1"/>
    <col min="43" max="43" width="115" style="1029" customWidth="1"/>
    <col min="44" max="48" width="10" style="1029" customWidth="1"/>
    <col min="49" max="49" width="10.5703125" style="1029" hidden="1"/>
  </cols>
  <sheetData>
    <row r="1" spans="5:49" ht="22.5" hidden="1" customHeight="1">
      <c r="AW1" s="538" t="s">
        <v>14</v>
      </c>
    </row>
    <row r="2" spans="5:49" ht="21" hidden="1" customHeight="1">
      <c r="E2" s="1217">
        <v>1</v>
      </c>
      <c r="T2" s="310"/>
      <c r="U2" s="832" t="e">
        <f>INDEX(PT_DIFFERENTIATION_NUM_NTAR,MATCH(A2,PT_DIFFERENTIATION_NTAR_ID,0))</f>
        <v>#N/A</v>
      </c>
      <c r="V2" s="795" t="s">
        <v>136</v>
      </c>
      <c r="W2" s="833"/>
      <c r="X2" s="1180"/>
      <c r="Y2" s="1181"/>
      <c r="Z2" s="1181"/>
      <c r="AA2" s="1181"/>
      <c r="AB2" s="1181"/>
      <c r="AC2" s="1181"/>
      <c r="AD2" s="1181"/>
      <c r="AE2" s="1181"/>
      <c r="AF2" s="1182"/>
      <c r="AG2" s="1180" t="e">
        <f>INDEX(PT_DIFFERENTIATION_NTAR,MATCH(A2,PT_DIFFERENTIATION_NTAR_ID,0))</f>
        <v>#N/A</v>
      </c>
      <c r="AH2" s="1181"/>
      <c r="AI2" s="1181"/>
      <c r="AJ2" s="1181"/>
      <c r="AK2" s="1181"/>
      <c r="AL2" s="1181"/>
      <c r="AM2" s="1181"/>
      <c r="AN2" s="1181"/>
      <c r="AO2" s="1181"/>
      <c r="AP2" s="1182"/>
      <c r="AQ2" s="835" t="s">
        <v>407</v>
      </c>
      <c r="AT2" s="582" t="str">
        <f t="shared" ref="AT2:AT8" si="0">IF(V2="","",V2)</f>
        <v>Наименование тарифа</v>
      </c>
      <c r="AW2" s="538">
        <v>0</v>
      </c>
    </row>
    <row r="3" spans="5:49" ht="21" hidden="1" customHeight="1">
      <c r="E3" s="1218"/>
      <c r="F3" s="1217">
        <v>1</v>
      </c>
      <c r="R3" s="836"/>
      <c r="T3" s="837"/>
      <c r="U3" s="832" t="e">
        <f>INDEX(PT_DIFFERENTIATION_NUM_TER,MATCH(B3,PT_DIFFERENTIATION_TER_ID,0))</f>
        <v>#N/A</v>
      </c>
      <c r="V3" s="838" t="s">
        <v>408</v>
      </c>
      <c r="W3" s="833"/>
      <c r="X3" s="1180"/>
      <c r="Y3" s="1181"/>
      <c r="Z3" s="1181"/>
      <c r="AA3" s="1181"/>
      <c r="AB3" s="1181"/>
      <c r="AC3" s="1181"/>
      <c r="AD3" s="1181"/>
      <c r="AE3" s="1181"/>
      <c r="AF3" s="1182"/>
      <c r="AG3" s="1180" t="e">
        <f>INDEX(PT_DIFFERENTIATION_TER,MATCH(B3,PT_DIFFERENTIATION_TER_ID,0))</f>
        <v>#N/A</v>
      </c>
      <c r="AH3" s="1181"/>
      <c r="AI3" s="1181"/>
      <c r="AJ3" s="1181"/>
      <c r="AK3" s="1181"/>
      <c r="AL3" s="1181"/>
      <c r="AM3" s="1181"/>
      <c r="AN3" s="1181"/>
      <c r="AO3" s="1181"/>
      <c r="AP3" s="1182"/>
      <c r="AQ3" s="835" t="s">
        <v>409</v>
      </c>
      <c r="AT3" s="582" t="str">
        <f t="shared" si="0"/>
        <v>Территория действия тарифа</v>
      </c>
      <c r="AW3" s="538">
        <v>0</v>
      </c>
    </row>
    <row r="4" spans="5:49" ht="22.5" hidden="1" customHeight="1">
      <c r="E4" s="1218"/>
      <c r="F4" s="1218"/>
      <c r="G4" s="1217">
        <v>1</v>
      </c>
      <c r="R4" s="836"/>
      <c r="T4" s="837"/>
      <c r="U4" s="832" t="e">
        <f>INDEX(PT_DIFFERENTIATION_NUM_CS,MATCH(C4,PT_DIFFERENTIATION_CS_ID,0))</f>
        <v>#N/A</v>
      </c>
      <c r="V4" s="839" t="s">
        <v>410</v>
      </c>
      <c r="W4" s="833"/>
      <c r="X4" s="1180"/>
      <c r="Y4" s="1181"/>
      <c r="Z4" s="1181"/>
      <c r="AA4" s="1181"/>
      <c r="AB4" s="1181"/>
      <c r="AC4" s="1181"/>
      <c r="AD4" s="1181"/>
      <c r="AE4" s="1181"/>
      <c r="AF4" s="1182"/>
      <c r="AG4" s="1180" t="e">
        <f>INDEX(PT_DIFFERENTIATION_CS,MATCH(C4,PT_DIFFERENTIATION_CS_ID,0))</f>
        <v>#N/A</v>
      </c>
      <c r="AH4" s="1181"/>
      <c r="AI4" s="1181"/>
      <c r="AJ4" s="1181"/>
      <c r="AK4" s="1181"/>
      <c r="AL4" s="1181"/>
      <c r="AM4" s="1181"/>
      <c r="AN4" s="1181"/>
      <c r="AO4" s="1181"/>
      <c r="AP4" s="1182"/>
      <c r="AQ4" s="835" t="s">
        <v>411</v>
      </c>
      <c r="AT4" s="582" t="str">
        <f t="shared" si="0"/>
        <v xml:space="preserve">Наименование системы теплоснабжения </v>
      </c>
      <c r="AW4" s="538">
        <v>0</v>
      </c>
    </row>
    <row r="5" spans="5:49" ht="21" hidden="1" customHeight="1">
      <c r="E5" s="1218"/>
      <c r="F5" s="1218"/>
      <c r="G5" s="1218"/>
      <c r="H5" s="1217">
        <v>1</v>
      </c>
      <c r="R5" s="836"/>
      <c r="T5" s="837"/>
      <c r="U5" s="832" t="e">
        <f>INDEX(PT_DIFFERENTIATION_NUM_IST_TE,MATCH(D5,PT_DIFFERENTIATION_IST_TE_ID,0))</f>
        <v>#N/A</v>
      </c>
      <c r="V5" s="840" t="s">
        <v>412</v>
      </c>
      <c r="W5" s="833"/>
      <c r="X5" s="1180"/>
      <c r="Y5" s="1181"/>
      <c r="Z5" s="1181"/>
      <c r="AA5" s="1181"/>
      <c r="AB5" s="1181"/>
      <c r="AC5" s="1181"/>
      <c r="AD5" s="1181"/>
      <c r="AE5" s="1181"/>
      <c r="AF5" s="1182"/>
      <c r="AG5" s="1180" t="e">
        <f>INDEX(PT_DIFFERENTIATION_IST_TE,MATCH(D5,PT_DIFFERENTIATION_IST_TE_ID,0))</f>
        <v>#N/A</v>
      </c>
      <c r="AH5" s="1181"/>
      <c r="AI5" s="1181"/>
      <c r="AJ5" s="1181"/>
      <c r="AK5" s="1181"/>
      <c r="AL5" s="1181"/>
      <c r="AM5" s="1181"/>
      <c r="AN5" s="1181"/>
      <c r="AO5" s="1181"/>
      <c r="AP5" s="1182"/>
      <c r="AQ5" s="835" t="s">
        <v>413</v>
      </c>
      <c r="AT5" s="582" t="str">
        <f t="shared" si="0"/>
        <v xml:space="preserve">Источник тепловой энергии  </v>
      </c>
      <c r="AW5" s="538">
        <v>0</v>
      </c>
    </row>
    <row r="6" spans="5:49" ht="14.25" hidden="1" customHeight="1">
      <c r="E6" s="1218"/>
      <c r="F6" s="1218"/>
      <c r="G6" s="1218"/>
      <c r="H6" s="1218"/>
      <c r="I6" s="1066" t="e">
        <f>U5&amp;".1"</f>
        <v>#N/A</v>
      </c>
      <c r="M6" s="873" t="s">
        <v>414</v>
      </c>
      <c r="Q6" s="1193">
        <v>1</v>
      </c>
      <c r="T6" s="842"/>
      <c r="U6" s="635"/>
      <c r="V6" s="859"/>
      <c r="W6" s="860"/>
      <c r="X6" s="1222"/>
      <c r="Y6" s="1223"/>
      <c r="Z6" s="1223"/>
      <c r="AA6" s="1223"/>
      <c r="AB6" s="1223"/>
      <c r="AC6" s="1223"/>
      <c r="AD6" s="1223"/>
      <c r="AE6" s="1223"/>
      <c r="AF6" s="1224"/>
      <c r="AG6" s="1222"/>
      <c r="AH6" s="1223"/>
      <c r="AI6" s="1223"/>
      <c r="AJ6" s="1223"/>
      <c r="AK6" s="1223"/>
      <c r="AL6" s="1223"/>
      <c r="AM6" s="1223"/>
      <c r="AN6" s="1223"/>
      <c r="AO6" s="1223"/>
      <c r="AP6" s="1224"/>
      <c r="AQ6" s="862"/>
      <c r="AT6" s="582" t="str">
        <f t="shared" si="0"/>
        <v/>
      </c>
      <c r="AW6" s="538">
        <v>0</v>
      </c>
    </row>
    <row r="7" spans="5:49" ht="21" hidden="1" customHeight="1">
      <c r="E7" s="1218"/>
      <c r="F7" s="1218"/>
      <c r="G7" s="1218"/>
      <c r="H7" s="1218"/>
      <c r="I7" s="1048"/>
      <c r="J7" s="1066" t="e">
        <f>I6&amp;".1"</f>
        <v>#N/A</v>
      </c>
      <c r="M7" s="873" t="s">
        <v>417</v>
      </c>
      <c r="Q7" s="1031"/>
      <c r="R7" s="1193">
        <v>1</v>
      </c>
      <c r="T7" s="844"/>
      <c r="U7" s="832" t="e">
        <f>$J7</f>
        <v>#N/A</v>
      </c>
      <c r="V7" s="845" t="s">
        <v>418</v>
      </c>
      <c r="W7" s="833"/>
      <c r="X7" s="1183"/>
      <c r="Y7" s="1184"/>
      <c r="Z7" s="1184"/>
      <c r="AA7" s="1184"/>
      <c r="AB7" s="1184"/>
      <c r="AC7" s="1176"/>
      <c r="AD7" s="1176"/>
      <c r="AE7" s="1176"/>
      <c r="AF7" s="1232"/>
      <c r="AG7" s="1183"/>
      <c r="AH7" s="1184"/>
      <c r="AI7" s="1184"/>
      <c r="AJ7" s="1184"/>
      <c r="AK7" s="1184"/>
      <c r="AL7" s="1184"/>
      <c r="AM7" s="1184"/>
      <c r="AN7" s="1184"/>
      <c r="AO7" s="1184"/>
      <c r="AP7" s="1185"/>
      <c r="AQ7" s="835" t="s">
        <v>419</v>
      </c>
      <c r="AT7" s="582" t="str">
        <f t="shared" si="0"/>
        <v>Группа потребителей</v>
      </c>
      <c r="AW7" s="538">
        <v>0</v>
      </c>
    </row>
    <row r="8" spans="5:49" ht="21" hidden="1" customHeight="1">
      <c r="E8" s="1218"/>
      <c r="F8" s="1218"/>
      <c r="G8" s="1218"/>
      <c r="H8" s="1218"/>
      <c r="I8" s="1048"/>
      <c r="J8" s="1048"/>
      <c r="K8" s="1066" t="e">
        <f>J7&amp;".1"</f>
        <v>#N/A</v>
      </c>
      <c r="M8" s="873" t="s">
        <v>420</v>
      </c>
      <c r="Q8" s="1031"/>
      <c r="R8" s="1031"/>
      <c r="S8" s="1193">
        <v>1</v>
      </c>
      <c r="T8" s="844"/>
      <c r="U8" s="832" t="e">
        <f>$K8</f>
        <v>#N/A</v>
      </c>
      <c r="V8" s="846"/>
      <c r="W8" s="833"/>
      <c r="X8" s="311"/>
      <c r="Y8" s="311"/>
      <c r="Z8" s="311"/>
      <c r="AA8" s="311"/>
      <c r="AB8" s="340"/>
      <c r="AC8" s="1197"/>
      <c r="AD8" s="1058" t="s">
        <v>61</v>
      </c>
      <c r="AE8" s="1197"/>
      <c r="AF8" s="1058" t="s">
        <v>61</v>
      </c>
      <c r="AG8" s="341"/>
      <c r="AH8" s="311"/>
      <c r="AI8" s="311"/>
      <c r="AJ8" s="311"/>
      <c r="AK8" s="313"/>
      <c r="AL8" s="1197"/>
      <c r="AM8" s="1058" t="s">
        <v>61</v>
      </c>
      <c r="AN8" s="1197"/>
      <c r="AO8" s="1058" t="s">
        <v>61</v>
      </c>
      <c r="AP8" s="312"/>
      <c r="AQ8" s="874" t="s">
        <v>463</v>
      </c>
      <c r="AR8" s="577" t="e">
        <f ca="1">STRCHECKDATE(X10:AP10)</f>
        <v>#NAME?</v>
      </c>
      <c r="AT8" s="582" t="str">
        <f t="shared" si="0"/>
        <v/>
      </c>
      <c r="AW8" s="538">
        <v>0</v>
      </c>
    </row>
    <row r="9" spans="5:49" ht="21" hidden="1" customHeight="1">
      <c r="E9" s="1218"/>
      <c r="F9" s="1218"/>
      <c r="G9" s="1218"/>
      <c r="H9" s="1218"/>
      <c r="I9" s="1048"/>
      <c r="J9" s="1048"/>
      <c r="K9" s="1048"/>
      <c r="L9" s="1066" t="e">
        <f>K8&amp;".1"</f>
        <v>#N/A</v>
      </c>
      <c r="Q9" s="1031"/>
      <c r="R9" s="1031"/>
      <c r="S9" s="1031"/>
      <c r="T9" s="844"/>
      <c r="U9" s="832" t="e">
        <f>$L9</f>
        <v>#N/A</v>
      </c>
      <c r="V9" s="875"/>
      <c r="W9" s="833"/>
      <c r="X9" s="312"/>
      <c r="Y9" s="311"/>
      <c r="Z9" s="311"/>
      <c r="AA9" s="311"/>
      <c r="AB9" s="340"/>
      <c r="AC9" s="1198"/>
      <c r="AD9" s="1058"/>
      <c r="AE9" s="1198"/>
      <c r="AF9" s="1058"/>
      <c r="AG9" s="341"/>
      <c r="AH9" s="311"/>
      <c r="AI9" s="311"/>
      <c r="AJ9" s="311"/>
      <c r="AK9" s="313"/>
      <c r="AL9" s="1198"/>
      <c r="AM9" s="1058"/>
      <c r="AN9" s="1198"/>
      <c r="AO9" s="1058"/>
      <c r="AP9" s="312"/>
      <c r="AQ9" s="1189" t="s">
        <v>464</v>
      </c>
      <c r="AW9" s="538">
        <v>0</v>
      </c>
    </row>
    <row r="10" spans="5:49" ht="14.25" hidden="1" customHeight="1">
      <c r="E10" s="1218"/>
      <c r="F10" s="1218"/>
      <c r="G10" s="1218"/>
      <c r="H10" s="1218"/>
      <c r="I10" s="1048"/>
      <c r="J10" s="1048"/>
      <c r="K10" s="1048"/>
      <c r="L10" s="1066"/>
      <c r="Q10" s="1031"/>
      <c r="R10" s="1031"/>
      <c r="S10" s="1031"/>
      <c r="T10" s="844"/>
      <c r="U10" s="127"/>
      <c r="V10" s="833"/>
      <c r="W10" s="833"/>
      <c r="X10" s="312"/>
      <c r="Y10" s="312"/>
      <c r="Z10" s="312"/>
      <c r="AA10" s="312"/>
      <c r="AB10" s="342" t="str">
        <f>AC8&amp;"-"&amp;AE8</f>
        <v>-</v>
      </c>
      <c r="AC10" s="1198"/>
      <c r="AD10" s="1058"/>
      <c r="AE10" s="1198"/>
      <c r="AF10" s="1058"/>
      <c r="AG10" s="343"/>
      <c r="AH10" s="312"/>
      <c r="AI10" s="312"/>
      <c r="AJ10" s="312"/>
      <c r="AK10" s="314" t="str">
        <f>AL8&amp;"-"&amp;AN8</f>
        <v>-</v>
      </c>
      <c r="AL10" s="1198"/>
      <c r="AM10" s="1058"/>
      <c r="AN10" s="1198"/>
      <c r="AO10" s="1058"/>
      <c r="AP10" s="312"/>
      <c r="AQ10" s="1190"/>
      <c r="AT10" s="582" t="str">
        <f>IF(V10="","",V10)</f>
        <v/>
      </c>
      <c r="AW10" s="538">
        <v>0</v>
      </c>
    </row>
    <row r="11" spans="5:49" ht="11.25" hidden="1" customHeight="1">
      <c r="E11" s="1218"/>
      <c r="F11" s="1218"/>
      <c r="G11" s="1218"/>
      <c r="H11" s="1218"/>
      <c r="I11" s="1048"/>
      <c r="J11" s="1048"/>
      <c r="K11" s="1066"/>
      <c r="Q11" s="1031"/>
      <c r="R11" s="1031"/>
      <c r="S11" s="1031"/>
      <c r="T11" s="844"/>
      <c r="U11" s="315"/>
      <c r="V11" s="316" t="s">
        <v>465</v>
      </c>
      <c r="W11" s="876"/>
      <c r="X11" s="344"/>
      <c r="Y11" s="344"/>
      <c r="Z11" s="344"/>
      <c r="AA11" s="344"/>
      <c r="AB11" s="345"/>
      <c r="AC11" s="1198"/>
      <c r="AD11" s="1058"/>
      <c r="AE11" s="1198"/>
      <c r="AF11" s="1058"/>
      <c r="AG11" s="344"/>
      <c r="AH11" s="344"/>
      <c r="AI11" s="344"/>
      <c r="AJ11" s="344"/>
      <c r="AK11" s="345"/>
      <c r="AL11" s="1198"/>
      <c r="AM11" s="1058"/>
      <c r="AN11" s="1198"/>
      <c r="AO11" s="1058"/>
      <c r="AP11" s="346"/>
      <c r="AQ11" s="1190"/>
      <c r="AW11" s="538">
        <v>0</v>
      </c>
    </row>
    <row r="12" spans="5:49" ht="15" hidden="1" customHeight="1">
      <c r="E12" s="1218"/>
      <c r="F12" s="1218"/>
      <c r="G12" s="1218"/>
      <c r="H12" s="1218"/>
      <c r="I12" s="1048"/>
      <c r="J12" s="1066"/>
      <c r="Q12" s="1031"/>
      <c r="R12" s="1031"/>
      <c r="T12" s="842"/>
      <c r="U12" s="315"/>
      <c r="V12" s="318" t="s">
        <v>422</v>
      </c>
      <c r="W12" s="52"/>
      <c r="X12" s="52"/>
      <c r="Y12" s="52"/>
      <c r="Z12" s="52"/>
      <c r="AA12" s="52"/>
      <c r="AB12" s="52"/>
      <c r="AC12" s="347"/>
      <c r="AD12" s="347"/>
      <c r="AE12" s="347"/>
      <c r="AF12" s="347"/>
      <c r="AG12" s="52"/>
      <c r="AH12" s="52"/>
      <c r="AI12" s="52"/>
      <c r="AJ12" s="52"/>
      <c r="AK12" s="52"/>
      <c r="AL12" s="52"/>
      <c r="AM12" s="52"/>
      <c r="AN12" s="52"/>
      <c r="AO12" s="52"/>
      <c r="AP12" s="317"/>
      <c r="AQ12" s="1191"/>
      <c r="AT12" s="582" t="str">
        <f t="shared" ref="AT12:AT17" si="1">IF(V12="","",V12)</f>
        <v>Добавить вид теплоносителя (параметры теплоносителя)</v>
      </c>
      <c r="AW12" s="538">
        <v>0</v>
      </c>
    </row>
    <row r="13" spans="5:49" ht="11.25" hidden="1" customHeight="1">
      <c r="E13" s="1218"/>
      <c r="F13" s="1218"/>
      <c r="G13" s="1218"/>
      <c r="H13" s="1218"/>
      <c r="I13" s="1066"/>
      <c r="Q13" s="1031"/>
      <c r="T13" s="842"/>
      <c r="U13" s="315"/>
      <c r="V13" s="321" t="s">
        <v>423</v>
      </c>
      <c r="W13" s="52"/>
      <c r="X13" s="52"/>
      <c r="Y13" s="52"/>
      <c r="Z13" s="52"/>
      <c r="AA13" s="52"/>
      <c r="AB13" s="52"/>
      <c r="AC13" s="52"/>
      <c r="AD13" s="52"/>
      <c r="AE13" s="52"/>
      <c r="AF13" s="319"/>
      <c r="AG13" s="52"/>
      <c r="AH13" s="52"/>
      <c r="AI13" s="52"/>
      <c r="AJ13" s="52"/>
      <c r="AK13" s="52"/>
      <c r="AL13" s="52"/>
      <c r="AM13" s="52"/>
      <c r="AN13" s="52"/>
      <c r="AO13" s="319"/>
      <c r="AP13" s="52"/>
      <c r="AQ13" s="320"/>
      <c r="AT13" s="582" t="str">
        <f t="shared" si="1"/>
        <v>Добавить группу потребителей</v>
      </c>
      <c r="AW13" s="538">
        <v>0</v>
      </c>
    </row>
    <row r="14" spans="5:49" ht="14.25" hidden="1" customHeight="1">
      <c r="E14" s="1218"/>
      <c r="F14" s="1218"/>
      <c r="G14" s="1218"/>
      <c r="H14" s="1217"/>
      <c r="S14" s="310"/>
      <c r="U14" s="334"/>
      <c r="V14" s="335"/>
      <c r="W14" s="336"/>
      <c r="X14" s="336"/>
      <c r="Y14" s="336"/>
      <c r="Z14" s="336"/>
      <c r="AA14" s="336"/>
      <c r="AB14" s="336"/>
      <c r="AC14" s="336"/>
      <c r="AD14" s="336"/>
      <c r="AE14" s="336"/>
      <c r="AF14" s="336"/>
      <c r="AG14" s="336"/>
      <c r="AH14" s="336"/>
      <c r="AI14" s="336"/>
      <c r="AJ14" s="336"/>
      <c r="AK14" s="336"/>
      <c r="AL14" s="336"/>
      <c r="AM14" s="336"/>
      <c r="AN14" s="336"/>
      <c r="AO14" s="336"/>
      <c r="AP14" s="336"/>
      <c r="AQ14" s="337"/>
      <c r="AT14" s="582" t="str">
        <f t="shared" si="1"/>
        <v/>
      </c>
      <c r="AW14" s="538">
        <v>0</v>
      </c>
    </row>
    <row r="15" spans="5:49" ht="14.25" hidden="1" customHeight="1">
      <c r="E15" s="1218"/>
      <c r="F15" s="1218"/>
      <c r="G15" s="1217"/>
      <c r="U15" s="322"/>
      <c r="V15" s="323" t="s">
        <v>425</v>
      </c>
      <c r="W15" s="324"/>
      <c r="X15" s="324"/>
      <c r="Y15" s="324"/>
      <c r="Z15" s="324"/>
      <c r="AA15" s="324"/>
      <c r="AB15" s="324"/>
      <c r="AC15" s="324"/>
      <c r="AD15" s="324"/>
      <c r="AE15" s="324"/>
      <c r="AF15" s="324"/>
      <c r="AG15" s="324"/>
      <c r="AH15" s="324"/>
      <c r="AI15" s="324"/>
      <c r="AJ15" s="324"/>
      <c r="AK15" s="324"/>
      <c r="AL15" s="324"/>
      <c r="AM15" s="324"/>
      <c r="AN15" s="324"/>
      <c r="AO15" s="324"/>
      <c r="AP15" s="324"/>
      <c r="AQ15" s="324"/>
      <c r="AT15" s="582" t="str">
        <f t="shared" si="1"/>
        <v>Добавить источник для дифференциации</v>
      </c>
      <c r="AW15" s="577">
        <v>0</v>
      </c>
    </row>
    <row r="16" spans="5:49" ht="14.25" hidden="1" customHeight="1">
      <c r="E16" s="1218"/>
      <c r="F16" s="1217"/>
      <c r="V16" s="325" t="s">
        <v>426</v>
      </c>
      <c r="AT16" s="582" t="str">
        <f t="shared" si="1"/>
        <v>Добавить централизованную систему для дифференциации</v>
      </c>
      <c r="AW16" s="577">
        <v>0</v>
      </c>
    </row>
    <row r="17" spans="5:49" ht="14.25" hidden="1" customHeight="1">
      <c r="E17" s="1217"/>
      <c r="V17" s="326" t="s">
        <v>427</v>
      </c>
      <c r="AT17" s="582" t="str">
        <f t="shared" si="1"/>
        <v>Добавить территорию для дифференциации</v>
      </c>
      <c r="AW17" s="577">
        <v>0</v>
      </c>
    </row>
    <row r="18" spans="5:49" ht="14.25" hidden="1" customHeight="1">
      <c r="AW18" s="538">
        <v>0</v>
      </c>
    </row>
    <row r="19" spans="5:49" ht="14.25" hidden="1" customHeight="1">
      <c r="AG19" s="275"/>
      <c r="AH19" s="275"/>
      <c r="AI19" s="275"/>
      <c r="AJ19" s="275"/>
      <c r="AK19" s="327"/>
      <c r="AL19" s="1199"/>
      <c r="AM19" s="1200" t="s">
        <v>61</v>
      </c>
      <c r="AN19" s="1199"/>
      <c r="AO19" s="1200" t="s">
        <v>61</v>
      </c>
      <c r="AW19" s="538">
        <v>0</v>
      </c>
    </row>
    <row r="20" spans="5:49" ht="14.25" hidden="1" customHeight="1">
      <c r="AG20" s="275"/>
      <c r="AH20" s="275"/>
      <c r="AI20" s="275"/>
      <c r="AJ20" s="275"/>
      <c r="AK20" s="327"/>
      <c r="AL20" s="1199"/>
      <c r="AM20" s="1200"/>
      <c r="AN20" s="1199"/>
      <c r="AO20" s="1200"/>
      <c r="AW20" s="538">
        <v>0</v>
      </c>
    </row>
    <row r="21" spans="5:49" ht="14.25" hidden="1" customHeight="1">
      <c r="AG21" s="275"/>
      <c r="AH21" s="275"/>
      <c r="AI21" s="275"/>
      <c r="AJ21" s="275"/>
      <c r="AK21" s="327"/>
      <c r="AL21" s="1199"/>
      <c r="AM21" s="1200"/>
      <c r="AN21" s="1199"/>
      <c r="AO21" s="1200"/>
      <c r="AW21" s="538">
        <v>0</v>
      </c>
    </row>
    <row r="22" spans="5:49" ht="14.25" hidden="1" customHeight="1">
      <c r="AG22" s="275"/>
      <c r="AH22" s="275"/>
      <c r="AI22" s="275"/>
      <c r="AJ22" s="275"/>
      <c r="AK22" s="314" t="str">
        <f>AL19&amp;"-"&amp;AN19</f>
        <v>-</v>
      </c>
      <c r="AL22" s="1200"/>
      <c r="AM22" s="1200"/>
      <c r="AN22" s="1200"/>
      <c r="AO22" s="1200"/>
      <c r="AW22" s="538">
        <v>0</v>
      </c>
    </row>
    <row r="23" spans="5:49" ht="14.25" hidden="1" customHeight="1">
      <c r="AW23" s="538">
        <v>0</v>
      </c>
    </row>
    <row r="24" spans="5:49" ht="22.5" hidden="1" customHeight="1">
      <c r="P24" s="348" t="s">
        <v>428</v>
      </c>
      <c r="AC24" s="328"/>
      <c r="AE24" s="328"/>
      <c r="AL24" s="328"/>
      <c r="AN24" s="328"/>
      <c r="AW24" s="555">
        <v>0</v>
      </c>
    </row>
    <row r="25" spans="5:49" ht="14.25" hidden="1" customHeight="1">
      <c r="AW25" s="555">
        <v>0</v>
      </c>
    </row>
    <row r="26" spans="5:49" ht="14.25" hidden="1" customHeight="1">
      <c r="P26" s="873" t="s">
        <v>429</v>
      </c>
      <c r="V26" s="555" t="s">
        <v>430</v>
      </c>
      <c r="AD26" s="598" t="s">
        <v>431</v>
      </c>
      <c r="AF26" s="598" t="s">
        <v>432</v>
      </c>
      <c r="AG26" s="555" t="s">
        <v>430</v>
      </c>
      <c r="AM26" s="598" t="s">
        <v>433</v>
      </c>
      <c r="AO26" s="598" t="s">
        <v>432</v>
      </c>
      <c r="AW26" s="555">
        <v>0</v>
      </c>
    </row>
    <row r="27" spans="5:49" ht="14.25" hidden="1" customHeight="1">
      <c r="AW27" s="538">
        <v>0</v>
      </c>
    </row>
    <row r="28" spans="5:49" ht="14.25" hidden="1" customHeight="1">
      <c r="AW28" s="538">
        <v>0</v>
      </c>
    </row>
    <row r="29" spans="5:49" ht="14.65" customHeight="1">
      <c r="R29" s="756"/>
      <c r="S29" s="756"/>
      <c r="T29" s="756"/>
      <c r="U29" s="847"/>
      <c r="V29" s="556"/>
      <c r="W29" s="556"/>
      <c r="AW29" s="538">
        <v>14</v>
      </c>
    </row>
    <row r="30" spans="5:49" ht="56.65" customHeight="1">
      <c r="R30" s="756"/>
      <c r="S30" s="756"/>
      <c r="T30" s="756"/>
      <c r="U30" s="117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178"/>
      <c r="W30" s="1178"/>
      <c r="X30" s="1178"/>
      <c r="Y30" s="1178"/>
      <c r="Z30" s="1178"/>
      <c r="AA30" s="1178"/>
      <c r="AB30" s="1178"/>
      <c r="AC30" s="1178"/>
      <c r="AD30" s="1178"/>
      <c r="AE30" s="1178"/>
      <c r="AF30" s="1178"/>
      <c r="AG30" s="1178"/>
      <c r="AH30" s="1178"/>
      <c r="AI30" s="1178"/>
      <c r="AJ30" s="1178"/>
      <c r="AK30" s="1178"/>
      <c r="AL30" s="1178"/>
      <c r="AM30" s="1178"/>
      <c r="AN30" s="1178"/>
      <c r="AW30" s="538">
        <v>54</v>
      </c>
    </row>
    <row r="31" spans="5:49" ht="14.65" customHeight="1">
      <c r="R31" s="756"/>
      <c r="S31" s="756"/>
      <c r="T31" s="756"/>
      <c r="U31" s="1127" t="str">
        <f>IF(org=0,"Не определено",org)</f>
        <v>АО "НИЖЕГОРОДСКИЙ ВОДОКАНАЛ"</v>
      </c>
      <c r="V31" s="1127"/>
      <c r="W31" s="1127"/>
      <c r="X31" s="1127"/>
      <c r="Y31" s="1127"/>
      <c r="Z31" s="1127"/>
      <c r="AA31" s="1127"/>
      <c r="AB31" s="1127"/>
      <c r="AC31" s="1127"/>
      <c r="AD31" s="1127"/>
      <c r="AE31" s="1127"/>
      <c r="AF31" s="1127"/>
      <c r="AG31" s="1127"/>
      <c r="AH31" s="1127"/>
      <c r="AI31" s="1127"/>
      <c r="AJ31" s="1127"/>
      <c r="AK31" s="1127"/>
      <c r="AL31" s="1127"/>
      <c r="AM31" s="1127"/>
      <c r="AN31" s="1127"/>
      <c r="AW31" s="538">
        <v>14</v>
      </c>
    </row>
    <row r="32" spans="5:49" ht="14.25" hidden="1" customHeight="1">
      <c r="R32" s="756"/>
      <c r="S32" s="756"/>
      <c r="T32" s="756"/>
      <c r="U32" s="847"/>
      <c r="V32" s="556"/>
      <c r="W32" s="556"/>
      <c r="X32" s="826"/>
      <c r="Y32" s="826"/>
      <c r="Z32" s="826"/>
      <c r="AA32" s="826"/>
      <c r="AB32" s="826"/>
      <c r="AC32" s="826"/>
      <c r="AD32" s="826"/>
      <c r="AE32" s="826"/>
      <c r="AF32" s="826"/>
      <c r="AG32" s="826"/>
      <c r="AH32" s="826"/>
      <c r="AI32" s="826"/>
      <c r="AJ32" s="826"/>
      <c r="AK32" s="826"/>
      <c r="AL32" s="826"/>
      <c r="AM32" s="826"/>
      <c r="AN32" s="826"/>
      <c r="AO32" s="826"/>
      <c r="AW32" s="538">
        <v>0</v>
      </c>
    </row>
    <row r="33" spans="2:49" ht="25.5" hidden="1" customHeight="1">
      <c r="U33" s="1186" t="s">
        <v>41</v>
      </c>
      <c r="V33" s="1186"/>
      <c r="W33" s="849"/>
      <c r="X33" s="1187" t="str">
        <f>IF(TITLE_NAME_OR_PR_CHANGE="",IF(TITLE_NAME_OR_PR="","",TITLE_NAME_OR_PR),TITLE_NAME_OR_PR_CHANGE)</f>
        <v/>
      </c>
      <c r="Y33" s="1187"/>
      <c r="Z33" s="1187"/>
      <c r="AA33" s="1187"/>
      <c r="AB33" s="1187"/>
      <c r="AC33" s="1187"/>
      <c r="AD33" s="1187"/>
      <c r="AE33" s="1187"/>
      <c r="AG33" s="1187" t="str">
        <f>IF(TITLE_NAME_OR_PR_CHANGE="",IF(TITLE_NAME_OR_PR="","",TITLE_NAME_OR_PR),TITLE_NAME_OR_PR_CHANGE)</f>
        <v/>
      </c>
      <c r="AH33" s="1187"/>
      <c r="AI33" s="1187"/>
      <c r="AJ33" s="1187"/>
      <c r="AK33" s="1187"/>
      <c r="AL33" s="1187"/>
      <c r="AM33" s="1187"/>
      <c r="AN33" s="1187"/>
      <c r="AW33" s="592">
        <v>0</v>
      </c>
    </row>
    <row r="34" spans="2:49" ht="18.75" hidden="1" customHeight="1">
      <c r="U34" s="1186" t="s">
        <v>434</v>
      </c>
      <c r="V34" s="1186"/>
      <c r="W34" s="849"/>
      <c r="X34" s="1196" t="str">
        <f>IF(TITLE_DATE_PR_CHANGE="",IF(TITLE_DATE_PR="","",TITLE_DATE_PR),TITLE_DATE_PR_CHANGE)</f>
        <v/>
      </c>
      <c r="Y34" s="1196"/>
      <c r="Z34" s="1196"/>
      <c r="AA34" s="1196"/>
      <c r="AB34" s="1196"/>
      <c r="AC34" s="1196"/>
      <c r="AD34" s="1196"/>
      <c r="AE34" s="1196"/>
      <c r="AG34" s="1196" t="str">
        <f>IF(TITLE_DATE_PR_CHANGE="",IF(TITLE_DATE_PR="","",TITLE_DATE_PR),TITLE_DATE_PR_CHANGE)</f>
        <v/>
      </c>
      <c r="AH34" s="1196"/>
      <c r="AI34" s="1196"/>
      <c r="AJ34" s="1196"/>
      <c r="AK34" s="1196"/>
      <c r="AL34" s="1196"/>
      <c r="AM34" s="1196"/>
      <c r="AN34" s="1196"/>
      <c r="AW34" s="592">
        <v>0</v>
      </c>
    </row>
    <row r="35" spans="2:49" ht="18.75" hidden="1" customHeight="1">
      <c r="U35" s="1186" t="s">
        <v>435</v>
      </c>
      <c r="V35" s="1186"/>
      <c r="W35" s="849"/>
      <c r="X35" s="1187" t="str">
        <f>IF(TITLE_NUMBER_PR_CHANGE="",IF(TITLE_NUMBER_PR="","",TITLE_NUMBER_PR),TITLE_NUMBER_PR_CHANGE)</f>
        <v/>
      </c>
      <c r="Y35" s="1187"/>
      <c r="Z35" s="1187"/>
      <c r="AA35" s="1187"/>
      <c r="AB35" s="1187"/>
      <c r="AC35" s="1187"/>
      <c r="AD35" s="1187"/>
      <c r="AE35" s="1187"/>
      <c r="AG35" s="1187" t="str">
        <f>IF(TITLE_NUMBER_PR_CHANGE="",IF(TITLE_NUMBER_PR="","",TITLE_NUMBER_PR),TITLE_NUMBER_PR_CHANGE)</f>
        <v/>
      </c>
      <c r="AH35" s="1187"/>
      <c r="AI35" s="1187"/>
      <c r="AJ35" s="1187"/>
      <c r="AK35" s="1187"/>
      <c r="AL35" s="1187"/>
      <c r="AM35" s="1187"/>
      <c r="AN35" s="1187"/>
      <c r="AW35" s="592">
        <v>0</v>
      </c>
    </row>
    <row r="36" spans="2:49" ht="18.75" hidden="1" customHeight="1">
      <c r="U36" s="1186" t="s">
        <v>42</v>
      </c>
      <c r="V36" s="1186"/>
      <c r="W36" s="849"/>
      <c r="X36" s="1187" t="str">
        <f>IF(TITLE_IST_PUB_CHANGE="",IF(TITLE_IST_PUB="","",TITLE_IST_PUB),TITLE_IST_PUB_CHANGE)</f>
        <v/>
      </c>
      <c r="Y36" s="1187"/>
      <c r="Z36" s="1187"/>
      <c r="AA36" s="1187"/>
      <c r="AB36" s="1187"/>
      <c r="AC36" s="1187"/>
      <c r="AD36" s="1187"/>
      <c r="AE36" s="1187"/>
      <c r="AG36" s="1187" t="str">
        <f>IF(TITLE_IST_PUB_CHANGE="",IF(TITLE_IST_PUB="","",TITLE_IST_PUB),TITLE_IST_PUB_CHANGE)</f>
        <v/>
      </c>
      <c r="AH36" s="1187"/>
      <c r="AI36" s="1187"/>
      <c r="AJ36" s="1187"/>
      <c r="AK36" s="1187"/>
      <c r="AL36" s="1187"/>
      <c r="AM36" s="1187"/>
      <c r="AN36" s="1187"/>
      <c r="AW36" s="592">
        <v>0</v>
      </c>
    </row>
    <row r="37" spans="2:49" ht="14.25" hidden="1" customHeight="1">
      <c r="R37" s="756"/>
      <c r="S37" s="756"/>
      <c r="T37" s="756"/>
      <c r="U37" s="847"/>
      <c r="V37" s="556"/>
      <c r="W37" s="556"/>
      <c r="X37" s="826"/>
      <c r="Y37" s="826"/>
      <c r="Z37" s="826"/>
      <c r="AA37" s="826"/>
      <c r="AB37" s="826"/>
      <c r="AC37" s="826"/>
      <c r="AD37" s="826"/>
      <c r="AE37" s="826"/>
      <c r="AF37" s="826"/>
      <c r="AG37" s="826"/>
      <c r="AH37" s="826"/>
      <c r="AI37" s="826"/>
      <c r="AJ37" s="826"/>
      <c r="AK37" s="826"/>
      <c r="AL37" s="826"/>
      <c r="AM37" s="826"/>
      <c r="AN37" s="826"/>
      <c r="AO37" s="826"/>
      <c r="AW37" s="538">
        <v>0</v>
      </c>
    </row>
    <row r="38" spans="2:49" ht="18.75" hidden="1" customHeight="1">
      <c r="U38" s="1186" t="s">
        <v>436</v>
      </c>
      <c r="V38" s="1186"/>
      <c r="W38" s="849"/>
      <c r="X38" s="1196" t="str">
        <f>IF(TITLE_DATE_PR_CHANGE="",IF(TITLE_DATE_PR="","",TITLE_DATE_PR),TITLE_DATE_PR_CHANGE)</f>
        <v/>
      </c>
      <c r="Y38" s="1196"/>
      <c r="Z38" s="1196"/>
      <c r="AA38" s="1196"/>
      <c r="AB38" s="1196"/>
      <c r="AC38" s="1196"/>
      <c r="AD38" s="1196"/>
      <c r="AE38" s="1196"/>
      <c r="AG38" s="1196" t="str">
        <f>IF(TITLE_DATE_PR_CHANGE="",IF(TITLE_DATE_PR="","",TITLE_DATE_PR),TITLE_DATE_PR_CHANGE)</f>
        <v/>
      </c>
      <c r="AH38" s="1196"/>
      <c r="AI38" s="1196"/>
      <c r="AJ38" s="1196"/>
      <c r="AK38" s="1196"/>
      <c r="AL38" s="1196"/>
      <c r="AM38" s="1196"/>
      <c r="AN38" s="1196"/>
      <c r="AW38" s="592">
        <v>0</v>
      </c>
    </row>
    <row r="39" spans="2:49" ht="18.75" hidden="1" customHeight="1">
      <c r="U39" s="1186" t="s">
        <v>437</v>
      </c>
      <c r="V39" s="1186"/>
      <c r="W39" s="849"/>
      <c r="X39" s="1187" t="str">
        <f>IF(TITLE_NUMBER_PR_CHANGE="",IF(TITLE_NUMBER_PR="","",TITLE_NUMBER_PR),TITLE_NUMBER_PR_CHANGE)</f>
        <v/>
      </c>
      <c r="Y39" s="1187"/>
      <c r="Z39" s="1187"/>
      <c r="AA39" s="1187"/>
      <c r="AB39" s="1187"/>
      <c r="AC39" s="1187"/>
      <c r="AD39" s="1187"/>
      <c r="AE39" s="1187"/>
      <c r="AG39" s="1187" t="str">
        <f>IF(TITLE_NUMBER_PR_CHANGE="",IF(TITLE_NUMBER_PR="","",TITLE_NUMBER_PR),TITLE_NUMBER_PR_CHANGE)</f>
        <v/>
      </c>
      <c r="AH39" s="1187"/>
      <c r="AI39" s="1187"/>
      <c r="AJ39" s="1187"/>
      <c r="AK39" s="1187"/>
      <c r="AL39" s="1187"/>
      <c r="AM39" s="1187"/>
      <c r="AN39" s="1187"/>
      <c r="AW39" s="592">
        <v>0</v>
      </c>
    </row>
    <row r="40" spans="2:49" ht="0" hidden="1" customHeight="1">
      <c r="AF40" s="577" t="s">
        <v>438</v>
      </c>
      <c r="AO40" s="577" t="s">
        <v>438</v>
      </c>
      <c r="AW40" s="592">
        <v>0</v>
      </c>
    </row>
    <row r="41" spans="2:49" ht="14.65" customHeight="1">
      <c r="R41" s="756"/>
      <c r="S41" s="756"/>
      <c r="T41" s="756"/>
      <c r="U41" s="847"/>
      <c r="V41" s="556"/>
      <c r="W41" s="850"/>
      <c r="X41" s="1188"/>
      <c r="Y41" s="1188"/>
      <c r="Z41" s="1188"/>
      <c r="AA41" s="1188"/>
      <c r="AB41" s="1188"/>
      <c r="AC41" s="1188"/>
      <c r="AD41" s="1188"/>
      <c r="AE41" s="1188"/>
      <c r="AF41" s="1188"/>
      <c r="AG41" s="1188"/>
      <c r="AH41" s="1188"/>
      <c r="AI41" s="1188"/>
      <c r="AJ41" s="1188"/>
      <c r="AK41" s="1188"/>
      <c r="AL41" s="1188"/>
      <c r="AM41" s="1188"/>
      <c r="AN41" s="1188"/>
      <c r="AO41" s="1188"/>
      <c r="AW41" s="538">
        <v>14</v>
      </c>
    </row>
    <row r="42" spans="2:49" ht="14.65" customHeight="1">
      <c r="R42" s="756"/>
      <c r="S42" s="756"/>
      <c r="T42" s="756"/>
      <c r="U42" s="1066" t="s">
        <v>311</v>
      </c>
      <c r="V42" s="1066"/>
      <c r="W42" s="1066"/>
      <c r="X42" s="1066"/>
      <c r="Y42" s="1066"/>
      <c r="Z42" s="1066"/>
      <c r="AA42" s="1066"/>
      <c r="AB42" s="1066"/>
      <c r="AC42" s="1066"/>
      <c r="AD42" s="1066"/>
      <c r="AE42" s="1066"/>
      <c r="AF42" s="1066"/>
      <c r="AG42" s="1066"/>
      <c r="AH42" s="1066"/>
      <c r="AI42" s="1066"/>
      <c r="AJ42" s="1066"/>
      <c r="AK42" s="1066"/>
      <c r="AL42" s="1066"/>
      <c r="AM42" s="1066"/>
      <c r="AN42" s="1066"/>
      <c r="AO42" s="1066"/>
      <c r="AP42" s="1066"/>
      <c r="AQ42" s="1066" t="s">
        <v>312</v>
      </c>
      <c r="AW42" s="538">
        <v>14</v>
      </c>
    </row>
    <row r="43" spans="2:49" ht="14.65" customHeight="1">
      <c r="R43" s="756"/>
      <c r="S43" s="756"/>
      <c r="T43" s="756"/>
      <c r="U43" s="1202" t="s">
        <v>87</v>
      </c>
      <c r="V43" s="1154" t="s">
        <v>439</v>
      </c>
      <c r="W43" s="817"/>
      <c r="X43" s="1203" t="s">
        <v>440</v>
      </c>
      <c r="Y43" s="1219"/>
      <c r="Z43" s="1219"/>
      <c r="AA43" s="1219"/>
      <c r="AB43" s="1219"/>
      <c r="AC43" s="1204"/>
      <c r="AD43" s="1204"/>
      <c r="AE43" s="1205"/>
      <c r="AF43" s="1206" t="s">
        <v>441</v>
      </c>
      <c r="AG43" s="1203" t="s">
        <v>440</v>
      </c>
      <c r="AH43" s="1219"/>
      <c r="AI43" s="1219"/>
      <c r="AJ43" s="1219"/>
      <c r="AK43" s="1219"/>
      <c r="AL43" s="1204"/>
      <c r="AM43" s="1204"/>
      <c r="AN43" s="1205"/>
      <c r="AO43" s="1206" t="s">
        <v>442</v>
      </c>
      <c r="AP43" s="1209" t="s">
        <v>443</v>
      </c>
      <c r="AQ43" s="1066"/>
      <c r="AW43" s="538">
        <v>14</v>
      </c>
    </row>
    <row r="44" spans="2:49" ht="35.65" customHeight="1">
      <c r="R44" s="756"/>
      <c r="S44" s="756"/>
      <c r="T44" s="756"/>
      <c r="U44" s="1202"/>
      <c r="V44" s="1154"/>
      <c r="W44" s="822"/>
      <c r="X44" s="1141" t="s">
        <v>466</v>
      </c>
      <c r="Y44" s="1066" t="s">
        <v>467</v>
      </c>
      <c r="Z44" s="1066"/>
      <c r="AA44" s="1066"/>
      <c r="AB44" s="1066"/>
      <c r="AC44" s="1141" t="s">
        <v>447</v>
      </c>
      <c r="AD44" s="1233"/>
      <c r="AE44" s="1142"/>
      <c r="AF44" s="1207"/>
      <c r="AG44" s="1141" t="s">
        <v>466</v>
      </c>
      <c r="AH44" s="1066" t="s">
        <v>467</v>
      </c>
      <c r="AI44" s="1066"/>
      <c r="AJ44" s="1066"/>
      <c r="AK44" s="1066"/>
      <c r="AL44" s="1141" t="s">
        <v>447</v>
      </c>
      <c r="AM44" s="1233"/>
      <c r="AN44" s="1142"/>
      <c r="AO44" s="1207"/>
      <c r="AP44" s="1210"/>
      <c r="AQ44" s="1066"/>
      <c r="AW44" s="538">
        <v>34</v>
      </c>
    </row>
    <row r="45" spans="2:49" ht="14.65" customHeight="1">
      <c r="R45" s="756"/>
      <c r="S45" s="756"/>
      <c r="T45" s="756"/>
      <c r="U45" s="1202"/>
      <c r="V45" s="1154"/>
      <c r="W45" s="822"/>
      <c r="X45" s="1143"/>
      <c r="Y45" s="1167" t="s">
        <v>468</v>
      </c>
      <c r="Z45" s="1162" t="s">
        <v>469</v>
      </c>
      <c r="AA45" s="1163"/>
      <c r="AB45" s="1164"/>
      <c r="AC45" s="1146"/>
      <c r="AD45" s="1234"/>
      <c r="AE45" s="1147"/>
      <c r="AF45" s="1207"/>
      <c r="AG45" s="1143"/>
      <c r="AH45" s="1167" t="s">
        <v>468</v>
      </c>
      <c r="AI45" s="1162" t="s">
        <v>469</v>
      </c>
      <c r="AJ45" s="1163"/>
      <c r="AK45" s="1164"/>
      <c r="AL45" s="1146"/>
      <c r="AM45" s="1234"/>
      <c r="AN45" s="1147"/>
      <c r="AO45" s="1207"/>
      <c r="AP45" s="1210"/>
      <c r="AQ45" s="1066"/>
      <c r="AW45" s="538">
        <v>14</v>
      </c>
    </row>
    <row r="46" spans="2:49" ht="27.4" customHeight="1">
      <c r="R46" s="756"/>
      <c r="S46" s="756"/>
      <c r="T46" s="756"/>
      <c r="U46" s="1202"/>
      <c r="V46" s="1154"/>
      <c r="W46" s="822"/>
      <c r="X46" s="1143"/>
      <c r="Y46" s="1235"/>
      <c r="Z46" s="1167" t="s">
        <v>470</v>
      </c>
      <c r="AA46" s="1162" t="s">
        <v>471</v>
      </c>
      <c r="AB46" s="1164"/>
      <c r="AC46" s="1167" t="s">
        <v>457</v>
      </c>
      <c r="AD46" s="1169" t="s">
        <v>458</v>
      </c>
      <c r="AE46" s="1171"/>
      <c r="AF46" s="1207"/>
      <c r="AG46" s="1143"/>
      <c r="AH46" s="1235"/>
      <c r="AI46" s="1167" t="s">
        <v>470</v>
      </c>
      <c r="AJ46" s="1162" t="s">
        <v>471</v>
      </c>
      <c r="AK46" s="1164"/>
      <c r="AL46" s="1167" t="s">
        <v>457</v>
      </c>
      <c r="AM46" s="1169" t="s">
        <v>458</v>
      </c>
      <c r="AN46" s="1171"/>
      <c r="AO46" s="1207"/>
      <c r="AP46" s="1210"/>
      <c r="AQ46" s="1066"/>
      <c r="AW46" s="538">
        <v>26</v>
      </c>
    </row>
    <row r="47" spans="2:49" ht="65.25" customHeight="1">
      <c r="B47" s="600" t="s">
        <v>148</v>
      </c>
      <c r="C47" s="600" t="s">
        <v>149</v>
      </c>
      <c r="D47" s="600" t="s">
        <v>150</v>
      </c>
      <c r="E47" s="873" t="s">
        <v>448</v>
      </c>
      <c r="F47" s="873" t="s">
        <v>449</v>
      </c>
      <c r="G47" s="873" t="s">
        <v>450</v>
      </c>
      <c r="H47" s="873" t="s">
        <v>451</v>
      </c>
      <c r="I47" s="873" t="s">
        <v>452</v>
      </c>
      <c r="J47" s="873" t="s">
        <v>453</v>
      </c>
      <c r="K47" s="873" t="s">
        <v>454</v>
      </c>
      <c r="L47" s="873" t="s">
        <v>472</v>
      </c>
      <c r="M47" s="873" t="s">
        <v>429</v>
      </c>
      <c r="R47" s="756"/>
      <c r="S47" s="756"/>
      <c r="T47" s="756"/>
      <c r="U47" s="1202"/>
      <c r="V47" s="1154"/>
      <c r="W47" s="852"/>
      <c r="X47" s="1146"/>
      <c r="Y47" s="1168"/>
      <c r="Z47" s="1168"/>
      <c r="AA47" s="602" t="s">
        <v>473</v>
      </c>
      <c r="AB47" s="602" t="s">
        <v>474</v>
      </c>
      <c r="AC47" s="1168"/>
      <c r="AD47" s="1170"/>
      <c r="AE47" s="1172"/>
      <c r="AF47" s="1208"/>
      <c r="AG47" s="1146"/>
      <c r="AH47" s="1168"/>
      <c r="AI47" s="1168"/>
      <c r="AJ47" s="602" t="s">
        <v>473</v>
      </c>
      <c r="AK47" s="602" t="s">
        <v>474</v>
      </c>
      <c r="AL47" s="1168"/>
      <c r="AM47" s="1170"/>
      <c r="AN47" s="1172"/>
      <c r="AO47" s="1208"/>
      <c r="AP47" s="1211"/>
      <c r="AQ47" s="1066"/>
      <c r="AW47" s="538">
        <v>62</v>
      </c>
    </row>
    <row r="48" spans="2:49" ht="11.25" hidden="1" customHeight="1">
      <c r="R48" s="853"/>
      <c r="S48" s="854">
        <v>1</v>
      </c>
      <c r="T48" s="854"/>
      <c r="U48" s="329" t="s">
        <v>114</v>
      </c>
      <c r="V48" s="330" t="s">
        <v>102</v>
      </c>
      <c r="W48" s="855" t="str">
        <f ca="1">OFFSET(W48,0,-1)</f>
        <v>2</v>
      </c>
      <c r="X48" s="856">
        <f ca="1">OFFSET(X48,0,-1)+1</f>
        <v>3</v>
      </c>
      <c r="Y48" s="680"/>
      <c r="Z48" s="680"/>
      <c r="AA48" s="680">
        <f ca="1">OFFSET(AA48,0,-1)+1</f>
        <v>1</v>
      </c>
      <c r="AB48" s="680">
        <f ca="1">OFFSET(AB48,0,-1)+1</f>
        <v>2</v>
      </c>
      <c r="AC48" s="856">
        <f ca="1">OFFSET(AC48,0,-1)+1</f>
        <v>3</v>
      </c>
      <c r="AD48" s="1201">
        <f ca="1">OFFSET(AD48,0,-1)+1</f>
        <v>4</v>
      </c>
      <c r="AE48" s="1201"/>
      <c r="AF48" s="856">
        <f ca="1">OFFSET(AF48,0,-2)+1</f>
        <v>5</v>
      </c>
      <c r="AG48" s="856">
        <f ca="1">OFFSET(AG48,0,-1)+1</f>
        <v>6</v>
      </c>
      <c r="AH48" s="856"/>
      <c r="AI48" s="856"/>
      <c r="AJ48" s="856">
        <f ca="1">OFFSET(AJ48,0,-1)+1</f>
        <v>1</v>
      </c>
      <c r="AK48" s="856">
        <f ca="1">OFFSET(AK48,0,-1)+1</f>
        <v>2</v>
      </c>
      <c r="AL48" s="856">
        <f ca="1">OFFSET(AL48,0,-1)+1</f>
        <v>3</v>
      </c>
      <c r="AM48" s="1201">
        <f ca="1">OFFSET(AM48,0,-1)+1</f>
        <v>4</v>
      </c>
      <c r="AN48" s="1201"/>
      <c r="AO48" s="856">
        <f ca="1">OFFSET(AO48,0,-2)+1</f>
        <v>5</v>
      </c>
      <c r="AP48" s="855">
        <f ca="1">OFFSET(AP48,0,-1)</f>
        <v>5</v>
      </c>
      <c r="AQ48" s="856">
        <f ca="1">OFFSET(AQ48,0,-1)+1</f>
        <v>6</v>
      </c>
      <c r="AW48" s="681">
        <v>0</v>
      </c>
    </row>
    <row r="49" spans="1:49" ht="21.95" customHeight="1">
      <c r="A49" s="606" t="s">
        <v>187</v>
      </c>
      <c r="E49" s="1217">
        <v>1</v>
      </c>
      <c r="T49" s="310"/>
      <c r="U49" s="832">
        <f>INDEX(PT_DIFFERENTIATION_NUM_NTAR,MATCH(A49,PT_DIFFERENTIATION_NTAR_ID,0))</f>
        <v>0</v>
      </c>
      <c r="V49" s="795" t="s">
        <v>136</v>
      </c>
      <c r="W49" s="833"/>
      <c r="X49" s="1180"/>
      <c r="Y49" s="1181"/>
      <c r="Z49" s="1181"/>
      <c r="AA49" s="1181"/>
      <c r="AB49" s="1181"/>
      <c r="AC49" s="1181"/>
      <c r="AD49" s="1181"/>
      <c r="AE49" s="1181"/>
      <c r="AF49" s="1182"/>
      <c r="AG49" s="1180" t="str">
        <f>INDEX(PT_DIFFERENTIATION_NTAR,MATCH(A49,PT_DIFFERENTIATION_NTAR_ID,0))</f>
        <v/>
      </c>
      <c r="AH49" s="1181"/>
      <c r="AI49" s="1181"/>
      <c r="AJ49" s="1181"/>
      <c r="AK49" s="1181"/>
      <c r="AL49" s="1181"/>
      <c r="AM49" s="1181"/>
      <c r="AN49" s="1181"/>
      <c r="AO49" s="1181"/>
      <c r="AP49" s="1182"/>
      <c r="AQ49" s="83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T49" s="582" t="str">
        <f t="shared" ref="AT49:AT65" si="2">IF(V49="","",V49)</f>
        <v>Наименование тарифа</v>
      </c>
      <c r="AW49" s="538">
        <v>21</v>
      </c>
    </row>
    <row r="50" spans="1:49" ht="21.95" customHeight="1">
      <c r="A50" s="606" t="s">
        <v>187</v>
      </c>
      <c r="B50" s="606" t="s">
        <v>188</v>
      </c>
      <c r="E50" s="1218"/>
      <c r="F50" s="1217">
        <v>1</v>
      </c>
      <c r="R50" s="836"/>
      <c r="T50" s="837"/>
      <c r="U50" s="832" t="str">
        <f>INDEX(PT_DIFFERENTIATION_NUM_TER,MATCH(B50,PT_DIFFERENTIATION_TER_ID,0))</f>
        <v>.</v>
      </c>
      <c r="V50" s="838" t="s">
        <v>408</v>
      </c>
      <c r="W50" s="833"/>
      <c r="X50" s="1180"/>
      <c r="Y50" s="1181"/>
      <c r="Z50" s="1181"/>
      <c r="AA50" s="1181"/>
      <c r="AB50" s="1181"/>
      <c r="AC50" s="1181"/>
      <c r="AD50" s="1181"/>
      <c r="AE50" s="1181"/>
      <c r="AF50" s="1182"/>
      <c r="AG50" s="1180" t="str">
        <f>INDEX(PT_DIFFERENTIATION_TER,MATCH(B50,PT_DIFFERENTIATION_TER_ID,0))</f>
        <v/>
      </c>
      <c r="AH50" s="1181"/>
      <c r="AI50" s="1181"/>
      <c r="AJ50" s="1181"/>
      <c r="AK50" s="1181"/>
      <c r="AL50" s="1181"/>
      <c r="AM50" s="1181"/>
      <c r="AN50" s="1181"/>
      <c r="AO50" s="1181"/>
      <c r="AP50" s="1182"/>
      <c r="AQ50" s="835" t="s">
        <v>409</v>
      </c>
      <c r="AT50" s="582" t="str">
        <f t="shared" si="2"/>
        <v>Территория действия тарифа</v>
      </c>
      <c r="AW50" s="538">
        <v>21</v>
      </c>
    </row>
    <row r="51" spans="1:49" ht="24" customHeight="1">
      <c r="A51" s="606" t="s">
        <v>187</v>
      </c>
      <c r="B51" s="606" t="s">
        <v>188</v>
      </c>
      <c r="C51" s="606" t="s">
        <v>189</v>
      </c>
      <c r="E51" s="1218"/>
      <c r="F51" s="1218"/>
      <c r="G51" s="1217">
        <v>1</v>
      </c>
      <c r="R51" s="836"/>
      <c r="T51" s="837"/>
      <c r="U51" s="832" t="str">
        <f>INDEX(PT_DIFFERENTIATION_NUM_CS,MATCH(C51,PT_DIFFERENTIATION_CS_ID,0))</f>
        <v>..</v>
      </c>
      <c r="V51" s="839" t="s">
        <v>410</v>
      </c>
      <c r="W51" s="833"/>
      <c r="X51" s="1180"/>
      <c r="Y51" s="1181"/>
      <c r="Z51" s="1181"/>
      <c r="AA51" s="1181"/>
      <c r="AB51" s="1181"/>
      <c r="AC51" s="1181"/>
      <c r="AD51" s="1181"/>
      <c r="AE51" s="1181"/>
      <c r="AF51" s="1182"/>
      <c r="AG51" s="1180" t="str">
        <f>INDEX(PT_DIFFERENTIATION_CS,MATCH(C51,PT_DIFFERENTIATION_CS_ID,0))</f>
        <v/>
      </c>
      <c r="AH51" s="1181"/>
      <c r="AI51" s="1181"/>
      <c r="AJ51" s="1181"/>
      <c r="AK51" s="1181"/>
      <c r="AL51" s="1181"/>
      <c r="AM51" s="1181"/>
      <c r="AN51" s="1181"/>
      <c r="AO51" s="1181"/>
      <c r="AP51" s="1182"/>
      <c r="AQ51" s="835" t="s">
        <v>411</v>
      </c>
      <c r="AT51" s="582" t="str">
        <f t="shared" si="2"/>
        <v xml:space="preserve">Наименование системы теплоснабжения </v>
      </c>
      <c r="AW51" s="538">
        <v>23</v>
      </c>
    </row>
    <row r="52" spans="1:49" ht="21.95" customHeight="1">
      <c r="A52" s="606" t="s">
        <v>187</v>
      </c>
      <c r="B52" s="606" t="s">
        <v>188</v>
      </c>
      <c r="C52" s="606" t="s">
        <v>189</v>
      </c>
      <c r="D52" s="606" t="s">
        <v>190</v>
      </c>
      <c r="E52" s="1218"/>
      <c r="F52" s="1218"/>
      <c r="G52" s="1218"/>
      <c r="H52" s="1217">
        <v>1</v>
      </c>
      <c r="R52" s="836"/>
      <c r="T52" s="837"/>
      <c r="U52" s="832" t="str">
        <f>INDEX(PT_DIFFERENTIATION_NUM_IST_TE,MATCH(D52,PT_DIFFERENTIATION_IST_TE_ID,0))</f>
        <v>...</v>
      </c>
      <c r="V52" s="840" t="s">
        <v>412</v>
      </c>
      <c r="W52" s="833"/>
      <c r="X52" s="1180"/>
      <c r="Y52" s="1181"/>
      <c r="Z52" s="1181"/>
      <c r="AA52" s="1181"/>
      <c r="AB52" s="1181"/>
      <c r="AC52" s="1181"/>
      <c r="AD52" s="1181"/>
      <c r="AE52" s="1181"/>
      <c r="AF52" s="1182"/>
      <c r="AG52" s="1180" t="str">
        <f>INDEX(PT_DIFFERENTIATION_IST_TE,MATCH(D52,PT_DIFFERENTIATION_IST_TE_ID,0))</f>
        <v/>
      </c>
      <c r="AH52" s="1181"/>
      <c r="AI52" s="1181"/>
      <c r="AJ52" s="1181"/>
      <c r="AK52" s="1181"/>
      <c r="AL52" s="1181"/>
      <c r="AM52" s="1181"/>
      <c r="AN52" s="1181"/>
      <c r="AO52" s="1181"/>
      <c r="AP52" s="1182"/>
      <c r="AQ52" s="835" t="s">
        <v>413</v>
      </c>
      <c r="AT52" s="582" t="str">
        <f t="shared" si="2"/>
        <v xml:space="preserve">Источник тепловой энергии  </v>
      </c>
      <c r="AW52" s="538">
        <v>21</v>
      </c>
    </row>
    <row r="53" spans="1:49" ht="0" hidden="1" customHeight="1">
      <c r="A53" s="877" t="s">
        <v>187</v>
      </c>
      <c r="B53" s="877" t="s">
        <v>188</v>
      </c>
      <c r="C53" s="877" t="s">
        <v>189</v>
      </c>
      <c r="D53" s="877" t="s">
        <v>190</v>
      </c>
      <c r="E53" s="1218"/>
      <c r="F53" s="1218"/>
      <c r="G53" s="1218"/>
      <c r="H53" s="1218"/>
      <c r="I53" s="1066" t="str">
        <f>U52&amp;".1"</f>
        <v>....1</v>
      </c>
      <c r="M53" s="878" t="s">
        <v>414</v>
      </c>
      <c r="Q53" s="1193">
        <v>1</v>
      </c>
      <c r="T53" s="842"/>
      <c r="U53" s="635"/>
      <c r="V53" s="859"/>
      <c r="W53" s="860"/>
      <c r="X53" s="1222"/>
      <c r="Y53" s="1223"/>
      <c r="Z53" s="1223"/>
      <c r="AA53" s="1223"/>
      <c r="AB53" s="1223"/>
      <c r="AC53" s="1223"/>
      <c r="AD53" s="1223"/>
      <c r="AE53" s="1223"/>
      <c r="AF53" s="1224"/>
      <c r="AG53" s="1222"/>
      <c r="AH53" s="1223"/>
      <c r="AI53" s="1223"/>
      <c r="AJ53" s="1223"/>
      <c r="AK53" s="1223"/>
      <c r="AL53" s="1223"/>
      <c r="AM53" s="1223"/>
      <c r="AN53" s="1223"/>
      <c r="AO53" s="1223"/>
      <c r="AP53" s="1224"/>
      <c r="AQ53" s="862"/>
      <c r="AT53" s="582" t="str">
        <f t="shared" si="2"/>
        <v/>
      </c>
      <c r="AW53" s="577">
        <v>0</v>
      </c>
    </row>
    <row r="54" spans="1:49" ht="21.95" customHeight="1">
      <c r="A54" s="606" t="s">
        <v>187</v>
      </c>
      <c r="B54" s="606" t="s">
        <v>188</v>
      </c>
      <c r="C54" s="606" t="s">
        <v>189</v>
      </c>
      <c r="D54" s="606" t="s">
        <v>190</v>
      </c>
      <c r="E54" s="1218"/>
      <c r="F54" s="1218"/>
      <c r="G54" s="1218"/>
      <c r="H54" s="1218"/>
      <c r="I54" s="1048"/>
      <c r="J54" s="1066" t="str">
        <f>I53&amp;".1"</f>
        <v>....1.1</v>
      </c>
      <c r="M54" s="873" t="s">
        <v>417</v>
      </c>
      <c r="Q54" s="1031"/>
      <c r="R54" s="1193">
        <v>1</v>
      </c>
      <c r="T54" s="844"/>
      <c r="U54" s="832" t="str">
        <f>$J54</f>
        <v>....1.1</v>
      </c>
      <c r="V54" s="845" t="s">
        <v>418</v>
      </c>
      <c r="W54" s="833"/>
      <c r="X54" s="1183"/>
      <c r="Y54" s="1184"/>
      <c r="Z54" s="1184"/>
      <c r="AA54" s="1184"/>
      <c r="AB54" s="1184"/>
      <c r="AC54" s="1176"/>
      <c r="AD54" s="1176"/>
      <c r="AE54" s="1176"/>
      <c r="AF54" s="1232"/>
      <c r="AG54" s="1183"/>
      <c r="AH54" s="1184"/>
      <c r="AI54" s="1184"/>
      <c r="AJ54" s="1184"/>
      <c r="AK54" s="1184"/>
      <c r="AL54" s="1184"/>
      <c r="AM54" s="1184"/>
      <c r="AN54" s="1184"/>
      <c r="AO54" s="1184"/>
      <c r="AP54" s="1185"/>
      <c r="AQ54" s="835" t="s">
        <v>419</v>
      </c>
      <c r="AT54" s="582" t="str">
        <f t="shared" si="2"/>
        <v>Группа потребителей</v>
      </c>
      <c r="AW54" s="538">
        <v>21</v>
      </c>
    </row>
    <row r="55" spans="1:49" ht="21.95" customHeight="1">
      <c r="A55" s="606" t="s">
        <v>187</v>
      </c>
      <c r="B55" s="606" t="s">
        <v>188</v>
      </c>
      <c r="C55" s="606" t="s">
        <v>189</v>
      </c>
      <c r="D55" s="606" t="s">
        <v>190</v>
      </c>
      <c r="E55" s="1218"/>
      <c r="F55" s="1218"/>
      <c r="G55" s="1218"/>
      <c r="H55" s="1218"/>
      <c r="I55" s="1048"/>
      <c r="J55" s="1048"/>
      <c r="K55" s="1066" t="str">
        <f>J54&amp;".1"</f>
        <v>....1.1.1</v>
      </c>
      <c r="M55" s="873" t="s">
        <v>420</v>
      </c>
      <c r="Q55" s="1031"/>
      <c r="R55" s="1031"/>
      <c r="S55" s="577">
        <v>1</v>
      </c>
      <c r="T55" s="844"/>
      <c r="U55" s="832" t="str">
        <f>$K55</f>
        <v>....1.1.1</v>
      </c>
      <c r="V55" s="846"/>
      <c r="W55" s="833"/>
      <c r="X55" s="311"/>
      <c r="Y55" s="311"/>
      <c r="Z55" s="311"/>
      <c r="AA55" s="311"/>
      <c r="AB55" s="340"/>
      <c r="AC55" s="1197"/>
      <c r="AD55" s="1058" t="s">
        <v>61</v>
      </c>
      <c r="AE55" s="1197"/>
      <c r="AF55" s="1058" t="s">
        <v>61</v>
      </c>
      <c r="AG55" s="341"/>
      <c r="AH55" s="311"/>
      <c r="AI55" s="311"/>
      <c r="AJ55" s="311"/>
      <c r="AK55" s="313"/>
      <c r="AL55" s="1197"/>
      <c r="AM55" s="1058" t="s">
        <v>61</v>
      </c>
      <c r="AN55" s="1197"/>
      <c r="AO55" s="1058" t="s">
        <v>61</v>
      </c>
      <c r="AP55" s="331"/>
      <c r="AQ55" s="874" t="s">
        <v>463</v>
      </c>
      <c r="AR55" s="577" t="e">
        <f ca="1">STRCHECKDATE(X57:AP57)</f>
        <v>#NAME?</v>
      </c>
      <c r="AT55" s="582" t="str">
        <f t="shared" si="2"/>
        <v/>
      </c>
      <c r="AW55" s="538">
        <v>21</v>
      </c>
    </row>
    <row r="56" spans="1:49" ht="11.45" customHeight="1">
      <c r="A56" s="606" t="s">
        <v>187</v>
      </c>
      <c r="B56" s="606" t="s">
        <v>188</v>
      </c>
      <c r="C56" s="606" t="s">
        <v>189</v>
      </c>
      <c r="D56" s="606" t="s">
        <v>190</v>
      </c>
      <c r="E56" s="1218"/>
      <c r="F56" s="1218"/>
      <c r="G56" s="1218"/>
      <c r="H56" s="1218"/>
      <c r="I56" s="1048"/>
      <c r="J56" s="1048"/>
      <c r="K56" s="1048"/>
      <c r="L56" s="1066" t="str">
        <f>K55&amp;".1"</f>
        <v>....1.1.1.1</v>
      </c>
      <c r="Q56" s="1031"/>
      <c r="R56" s="1031"/>
      <c r="S56" s="577">
        <v>1</v>
      </c>
      <c r="T56" s="844"/>
      <c r="U56" s="832" t="str">
        <f>$L56</f>
        <v>....1.1.1.1</v>
      </c>
      <c r="V56" s="875"/>
      <c r="W56" s="833"/>
      <c r="X56" s="312"/>
      <c r="Y56" s="311"/>
      <c r="Z56" s="311"/>
      <c r="AA56" s="311"/>
      <c r="AB56" s="340"/>
      <c r="AC56" s="1198"/>
      <c r="AD56" s="1058"/>
      <c r="AE56" s="1198"/>
      <c r="AF56" s="1058"/>
      <c r="AG56" s="341"/>
      <c r="AH56" s="311"/>
      <c r="AI56" s="311"/>
      <c r="AJ56" s="311"/>
      <c r="AK56" s="313"/>
      <c r="AL56" s="1198"/>
      <c r="AM56" s="1058"/>
      <c r="AN56" s="1198"/>
      <c r="AO56" s="1058"/>
      <c r="AP56" s="331"/>
      <c r="AQ56" s="1189" t="s">
        <v>464</v>
      </c>
      <c r="AR56" s="577" t="e">
        <f ca="1">STRCHECKDATE(X58:AP58)</f>
        <v>#NAME?</v>
      </c>
      <c r="AT56" s="582" t="str">
        <f t="shared" si="2"/>
        <v/>
      </c>
      <c r="AW56" s="538">
        <v>11</v>
      </c>
    </row>
    <row r="57" spans="1:49" ht="0" hidden="1" customHeight="1">
      <c r="A57" s="606" t="s">
        <v>187</v>
      </c>
      <c r="B57" s="606" t="s">
        <v>188</v>
      </c>
      <c r="C57" s="606" t="s">
        <v>189</v>
      </c>
      <c r="D57" s="606" t="s">
        <v>190</v>
      </c>
      <c r="E57" s="1218"/>
      <c r="F57" s="1218"/>
      <c r="G57" s="1218"/>
      <c r="H57" s="1218"/>
      <c r="I57" s="1048"/>
      <c r="J57" s="1048"/>
      <c r="K57" s="1048"/>
      <c r="L57" s="1066"/>
      <c r="Q57" s="1031"/>
      <c r="R57" s="1031"/>
      <c r="T57" s="844"/>
      <c r="U57" s="127"/>
      <c r="V57" s="833"/>
      <c r="W57" s="833"/>
      <c r="X57" s="312"/>
      <c r="Y57" s="312"/>
      <c r="Z57" s="312"/>
      <c r="AA57" s="312"/>
      <c r="AB57" s="342" t="str">
        <f>AC55&amp;"-"&amp;AE55</f>
        <v>-</v>
      </c>
      <c r="AC57" s="1198"/>
      <c r="AD57" s="1058"/>
      <c r="AE57" s="1198"/>
      <c r="AF57" s="1058"/>
      <c r="AG57" s="343"/>
      <c r="AH57" s="312"/>
      <c r="AI57" s="312"/>
      <c r="AJ57" s="312"/>
      <c r="AK57" s="314" t="str">
        <f>AL55&amp;"-"&amp;AN55</f>
        <v>-</v>
      </c>
      <c r="AL57" s="1198"/>
      <c r="AM57" s="1058"/>
      <c r="AN57" s="1198"/>
      <c r="AO57" s="1058"/>
      <c r="AP57" s="332"/>
      <c r="AQ57" s="1190"/>
      <c r="AT57" s="582" t="str">
        <f t="shared" si="2"/>
        <v/>
      </c>
      <c r="AW57" s="538">
        <v>0</v>
      </c>
    </row>
    <row r="58" spans="1:49" ht="11.45" customHeight="1">
      <c r="A58" s="606" t="s">
        <v>187</v>
      </c>
      <c r="B58" s="606" t="s">
        <v>188</v>
      </c>
      <c r="C58" s="606" t="s">
        <v>189</v>
      </c>
      <c r="D58" s="606" t="s">
        <v>190</v>
      </c>
      <c r="E58" s="1218"/>
      <c r="F58" s="1218"/>
      <c r="G58" s="1218"/>
      <c r="H58" s="1218"/>
      <c r="I58" s="1048"/>
      <c r="J58" s="1048"/>
      <c r="K58" s="1066"/>
      <c r="Q58" s="1031"/>
      <c r="R58" s="1031"/>
      <c r="T58" s="842"/>
      <c r="U58" s="315"/>
      <c r="V58" s="316" t="s">
        <v>465</v>
      </c>
      <c r="W58" s="52"/>
      <c r="X58" s="52"/>
      <c r="Y58" s="52"/>
      <c r="Z58" s="52"/>
      <c r="AA58" s="52"/>
      <c r="AB58" s="52"/>
      <c r="AC58" s="1198"/>
      <c r="AD58" s="1058"/>
      <c r="AE58" s="1198"/>
      <c r="AF58" s="1058"/>
      <c r="AG58" s="52"/>
      <c r="AH58" s="52"/>
      <c r="AI58" s="52"/>
      <c r="AJ58" s="52"/>
      <c r="AK58" s="52"/>
      <c r="AL58" s="1198"/>
      <c r="AM58" s="1058"/>
      <c r="AN58" s="1198"/>
      <c r="AO58" s="1058"/>
      <c r="AP58" s="317"/>
      <c r="AQ58" s="1190"/>
      <c r="AT58" s="582" t="str">
        <f t="shared" si="2"/>
        <v>Добавить наименование поставщика</v>
      </c>
      <c r="AW58" s="538">
        <v>11</v>
      </c>
    </row>
    <row r="59" spans="1:49" ht="11.45" customHeight="1">
      <c r="A59" s="606" t="s">
        <v>187</v>
      </c>
      <c r="B59" s="606" t="s">
        <v>188</v>
      </c>
      <c r="C59" s="606" t="s">
        <v>189</v>
      </c>
      <c r="D59" s="606" t="s">
        <v>190</v>
      </c>
      <c r="E59" s="1218"/>
      <c r="F59" s="1218"/>
      <c r="G59" s="1218"/>
      <c r="H59" s="1218"/>
      <c r="I59" s="1048"/>
      <c r="J59" s="1066"/>
      <c r="Q59" s="1031"/>
      <c r="R59" s="1031"/>
      <c r="T59" s="842"/>
      <c r="U59" s="315"/>
      <c r="V59" s="318" t="s">
        <v>422</v>
      </c>
      <c r="W59" s="52"/>
      <c r="X59" s="52"/>
      <c r="Y59" s="52"/>
      <c r="Z59" s="52"/>
      <c r="AA59" s="52"/>
      <c r="AB59" s="52"/>
      <c r="AC59" s="347"/>
      <c r="AD59" s="347"/>
      <c r="AE59" s="347"/>
      <c r="AF59" s="347"/>
      <c r="AG59" s="52"/>
      <c r="AH59" s="52"/>
      <c r="AI59" s="52"/>
      <c r="AJ59" s="52"/>
      <c r="AK59" s="52"/>
      <c r="AL59" s="52"/>
      <c r="AM59" s="52"/>
      <c r="AN59" s="52"/>
      <c r="AO59" s="52"/>
      <c r="AP59" s="317"/>
      <c r="AQ59" s="1191"/>
      <c r="AT59" s="582" t="str">
        <f t="shared" si="2"/>
        <v>Добавить вид теплоносителя (параметры теплоносителя)</v>
      </c>
      <c r="AW59" s="538">
        <v>11</v>
      </c>
    </row>
    <row r="60" spans="1:49" ht="11.45" customHeight="1">
      <c r="A60" s="606" t="s">
        <v>187</v>
      </c>
      <c r="B60" s="606" t="s">
        <v>188</v>
      </c>
      <c r="C60" s="606" t="s">
        <v>189</v>
      </c>
      <c r="D60" s="606" t="s">
        <v>190</v>
      </c>
      <c r="E60" s="1218"/>
      <c r="F60" s="1218"/>
      <c r="G60" s="1218"/>
      <c r="H60" s="1218"/>
      <c r="I60" s="1066"/>
      <c r="Q60" s="1031"/>
      <c r="T60" s="842"/>
      <c r="U60" s="315"/>
      <c r="V60" s="321" t="s">
        <v>423</v>
      </c>
      <c r="W60" s="52"/>
      <c r="X60" s="52"/>
      <c r="Y60" s="52"/>
      <c r="Z60" s="52"/>
      <c r="AA60" s="52"/>
      <c r="AB60" s="52"/>
      <c r="AC60" s="52"/>
      <c r="AD60" s="52"/>
      <c r="AE60" s="52"/>
      <c r="AF60" s="319"/>
      <c r="AG60" s="52"/>
      <c r="AH60" s="52"/>
      <c r="AI60" s="52"/>
      <c r="AJ60" s="52"/>
      <c r="AK60" s="52"/>
      <c r="AL60" s="52"/>
      <c r="AM60" s="52"/>
      <c r="AN60" s="52"/>
      <c r="AO60" s="319"/>
      <c r="AP60" s="52"/>
      <c r="AQ60" s="320"/>
      <c r="AT60" s="582" t="str">
        <f t="shared" si="2"/>
        <v>Добавить группу потребителей</v>
      </c>
      <c r="AW60" s="538">
        <v>11</v>
      </c>
    </row>
    <row r="61" spans="1:49" ht="0" hidden="1" customHeight="1">
      <c r="A61" s="606" t="s">
        <v>187</v>
      </c>
      <c r="B61" s="606" t="s">
        <v>188</v>
      </c>
      <c r="C61" s="606" t="s">
        <v>189</v>
      </c>
      <c r="D61" s="606" t="s">
        <v>190</v>
      </c>
      <c r="E61" s="1218"/>
      <c r="F61" s="1218"/>
      <c r="G61" s="1218"/>
      <c r="H61" s="1217"/>
      <c r="S61" s="310"/>
      <c r="U61" s="334"/>
      <c r="V61" s="335"/>
      <c r="W61" s="336"/>
      <c r="X61" s="336"/>
      <c r="Y61" s="336"/>
      <c r="Z61" s="336"/>
      <c r="AA61" s="336"/>
      <c r="AB61" s="336"/>
      <c r="AC61" s="336"/>
      <c r="AD61" s="336"/>
      <c r="AE61" s="336"/>
      <c r="AF61" s="336"/>
      <c r="AG61" s="336"/>
      <c r="AH61" s="336"/>
      <c r="AI61" s="336"/>
      <c r="AJ61" s="336"/>
      <c r="AK61" s="336"/>
      <c r="AL61" s="336"/>
      <c r="AM61" s="336"/>
      <c r="AN61" s="336"/>
      <c r="AO61" s="336"/>
      <c r="AP61" s="336"/>
      <c r="AQ61" s="337"/>
      <c r="AT61" s="582" t="str">
        <f t="shared" si="2"/>
        <v/>
      </c>
      <c r="AW61" s="538">
        <v>0</v>
      </c>
    </row>
    <row r="62" spans="1:49" ht="0" hidden="1" customHeight="1">
      <c r="A62" s="877" t="s">
        <v>187</v>
      </c>
      <c r="B62" s="877" t="s">
        <v>188</v>
      </c>
      <c r="C62" s="877" t="s">
        <v>189</v>
      </c>
      <c r="E62" s="1218"/>
      <c r="F62" s="1218"/>
      <c r="G62" s="1217"/>
      <c r="V62" s="326" t="s">
        <v>425</v>
      </c>
      <c r="AT62" s="582" t="str">
        <f t="shared" si="2"/>
        <v>Добавить источник для дифференциации</v>
      </c>
      <c r="AW62" s="577">
        <v>0</v>
      </c>
    </row>
    <row r="63" spans="1:49" ht="0" hidden="1" customHeight="1">
      <c r="A63" s="877" t="s">
        <v>187</v>
      </c>
      <c r="B63" s="877" t="s">
        <v>188</v>
      </c>
      <c r="E63" s="1218"/>
      <c r="F63" s="1217"/>
      <c r="V63" s="326" t="s">
        <v>426</v>
      </c>
      <c r="AT63" s="582" t="str">
        <f t="shared" si="2"/>
        <v>Добавить централизованную систему для дифференциации</v>
      </c>
      <c r="AW63" s="577">
        <v>0</v>
      </c>
    </row>
    <row r="64" spans="1:49" ht="0" hidden="1" customHeight="1">
      <c r="A64" s="877" t="s">
        <v>187</v>
      </c>
      <c r="E64" s="1217"/>
      <c r="V64" s="326" t="s">
        <v>427</v>
      </c>
      <c r="AT64" s="582" t="str">
        <f t="shared" si="2"/>
        <v>Добавить территорию для дифференциации</v>
      </c>
      <c r="AW64" s="577">
        <v>0</v>
      </c>
    </row>
    <row r="65" spans="1:49" ht="4.1500000000000004" customHeight="1">
      <c r="V65" s="326" t="s">
        <v>459</v>
      </c>
      <c r="AT65" s="582" t="str">
        <f t="shared" si="2"/>
        <v>Добавить наименование тарифа</v>
      </c>
      <c r="AW65" s="577">
        <v>4</v>
      </c>
    </row>
    <row r="66" spans="1:49" ht="11.45" customHeight="1">
      <c r="AW66" s="538">
        <v>11</v>
      </c>
    </row>
    <row r="67" spans="1:49" ht="35.65" customHeight="1">
      <c r="V67" s="1031"/>
      <c r="W67" s="1031"/>
      <c r="X67" s="1031"/>
      <c r="Y67" s="1031"/>
      <c r="Z67" s="1031"/>
      <c r="AA67" s="1031"/>
      <c r="AB67" s="1031"/>
      <c r="AC67" s="1031"/>
      <c r="AD67" s="1031"/>
      <c r="AE67" s="1031"/>
      <c r="AF67" s="1031"/>
      <c r="AG67" s="1031"/>
      <c r="AH67" s="1031"/>
      <c r="AI67" s="1031"/>
      <c r="AJ67" s="1031"/>
      <c r="AK67" s="1031"/>
      <c r="AL67" s="1031"/>
      <c r="AM67" s="1031"/>
      <c r="AN67" s="1031"/>
      <c r="AO67" s="1031"/>
      <c r="AP67" s="1031"/>
      <c r="AQ67" s="1031"/>
      <c r="AW67" s="538">
        <v>34</v>
      </c>
    </row>
    <row r="68" spans="1:49" ht="21" customHeight="1">
      <c r="V68" s="1031"/>
      <c r="W68" s="1031"/>
      <c r="X68" s="1031"/>
      <c r="Y68" s="1031"/>
      <c r="Z68" s="1031"/>
      <c r="AA68" s="1031"/>
      <c r="AB68" s="1031"/>
      <c r="AC68" s="1031"/>
      <c r="AD68" s="1031"/>
      <c r="AE68" s="1031"/>
      <c r="AF68" s="1031"/>
      <c r="AG68" s="1031"/>
      <c r="AH68" s="1031"/>
      <c r="AI68" s="1031"/>
      <c r="AJ68" s="1031"/>
      <c r="AK68" s="1031"/>
      <c r="AL68" s="1031"/>
      <c r="AM68" s="1031"/>
      <c r="AN68" s="1031"/>
      <c r="AO68" s="1031"/>
      <c r="AP68" s="1031"/>
      <c r="AQ68" s="1031"/>
      <c r="AW68" s="538">
        <v>20</v>
      </c>
    </row>
    <row r="69" spans="1:49" ht="14.65" customHeight="1">
      <c r="AW69" s="538">
        <v>14</v>
      </c>
    </row>
    <row r="70" spans="1:49" ht="28.5" customHeight="1">
      <c r="V70" s="1031"/>
      <c r="W70" s="1031"/>
      <c r="X70" s="1031"/>
      <c r="Y70" s="1031"/>
      <c r="Z70" s="1031"/>
      <c r="AA70" s="1031"/>
      <c r="AB70" s="1031"/>
      <c r="AC70" s="1031"/>
      <c r="AD70" s="1031"/>
      <c r="AE70" s="1031"/>
      <c r="AF70" s="1031"/>
      <c r="AG70" s="1031"/>
      <c r="AH70" s="1031"/>
      <c r="AI70" s="1031"/>
      <c r="AJ70" s="1031"/>
      <c r="AK70" s="1031"/>
      <c r="AL70" s="1031"/>
      <c r="AM70" s="1031"/>
      <c r="AN70" s="1031"/>
      <c r="AO70" s="1031"/>
      <c r="AP70" s="1031"/>
      <c r="AQ70" s="1031"/>
      <c r="AW70" s="538">
        <v>27</v>
      </c>
    </row>
    <row r="71" spans="1:49" ht="18.75" customHeight="1">
      <c r="V71" s="1031"/>
      <c r="W71" s="1031"/>
      <c r="X71" s="1031"/>
      <c r="Y71" s="1031"/>
      <c r="Z71" s="1031"/>
      <c r="AA71" s="1031"/>
      <c r="AB71" s="1031"/>
      <c r="AC71" s="1031"/>
      <c r="AD71" s="1031"/>
      <c r="AE71" s="1031"/>
      <c r="AF71" s="1031"/>
      <c r="AG71" s="1031"/>
      <c r="AH71" s="1031"/>
      <c r="AI71" s="1031"/>
      <c r="AJ71" s="1031"/>
      <c r="AK71" s="1031"/>
      <c r="AL71" s="1031"/>
      <c r="AM71" s="1031"/>
      <c r="AN71" s="1031"/>
      <c r="AO71" s="1031"/>
      <c r="AP71" s="1031"/>
      <c r="AQ71" s="1031"/>
      <c r="AW71" s="538">
        <v>18</v>
      </c>
    </row>
    <row r="72" spans="1:49" ht="22.5" hidden="1" customHeight="1">
      <c r="A72" s="538" t="s">
        <v>81</v>
      </c>
      <c r="B72" s="538">
        <v>0</v>
      </c>
      <c r="C72" s="538">
        <v>0</v>
      </c>
      <c r="D72" s="538">
        <v>0</v>
      </c>
      <c r="E72" s="538">
        <v>0</v>
      </c>
      <c r="F72" s="538">
        <v>0</v>
      </c>
      <c r="G72" s="538">
        <v>0</v>
      </c>
      <c r="H72" s="538">
        <v>0</v>
      </c>
      <c r="I72" s="538">
        <v>0</v>
      </c>
      <c r="J72" s="538">
        <v>0</v>
      </c>
      <c r="K72" s="538">
        <v>0</v>
      </c>
      <c r="L72" s="538">
        <v>0</v>
      </c>
      <c r="M72" s="560">
        <v>0</v>
      </c>
      <c r="N72" s="300">
        <v>0</v>
      </c>
      <c r="O72" s="300">
        <v>0</v>
      </c>
      <c r="P72" s="300">
        <v>0</v>
      </c>
      <c r="Q72" s="300">
        <v>0</v>
      </c>
      <c r="R72" s="821">
        <v>3</v>
      </c>
      <c r="S72" s="821">
        <v>3</v>
      </c>
      <c r="T72" s="821">
        <v>3</v>
      </c>
      <c r="U72" s="553">
        <v>12</v>
      </c>
      <c r="V72" s="538">
        <v>31</v>
      </c>
      <c r="W72" s="538">
        <v>0</v>
      </c>
      <c r="X72" s="538">
        <v>0</v>
      </c>
      <c r="Y72" s="538">
        <v>0</v>
      </c>
      <c r="Z72" s="538">
        <v>0</v>
      </c>
      <c r="AA72" s="538">
        <v>0</v>
      </c>
      <c r="AB72" s="538">
        <v>0</v>
      </c>
      <c r="AC72" s="538">
        <v>0</v>
      </c>
      <c r="AD72" s="538">
        <v>0</v>
      </c>
      <c r="AE72" s="538">
        <v>0</v>
      </c>
      <c r="AF72" s="538">
        <v>0</v>
      </c>
      <c r="AG72" s="538">
        <v>21</v>
      </c>
      <c r="AH72" s="538">
        <v>21</v>
      </c>
      <c r="AI72" s="538">
        <v>21</v>
      </c>
      <c r="AJ72" s="538">
        <v>21</v>
      </c>
      <c r="AK72" s="538">
        <v>21</v>
      </c>
      <c r="AL72" s="538">
        <v>11</v>
      </c>
      <c r="AM72" s="538">
        <v>3</v>
      </c>
      <c r="AN72" s="538">
        <v>11</v>
      </c>
      <c r="AO72" s="538">
        <v>8</v>
      </c>
      <c r="AP72" s="538">
        <v>4</v>
      </c>
      <c r="AQ72" s="538">
        <v>115</v>
      </c>
      <c r="AR72" s="577">
        <v>10</v>
      </c>
      <c r="AS72" s="577">
        <v>10</v>
      </c>
      <c r="AT72" s="577">
        <v>10</v>
      </c>
      <c r="AU72" s="577">
        <v>10</v>
      </c>
      <c r="AV72" s="577">
        <v>10</v>
      </c>
      <c r="AW72" s="538">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3" zoomScale="90" workbookViewId="0">
      <selection activeCell="F64" sqref="F64:F65"/>
    </sheetView>
  </sheetViews>
  <sheetFormatPr defaultColWidth="9.140625" defaultRowHeight="11.25" customHeight="1"/>
  <cols>
    <col min="1" max="2" width="10.7109375" style="1029" hidden="1" customWidth="1"/>
    <col min="3" max="3" width="3" style="1029" customWidth="1"/>
    <col min="4" max="4" width="1" style="1029" customWidth="1"/>
    <col min="5" max="5" width="55" style="1029" customWidth="1"/>
    <col min="6" max="6" width="91.5703125" style="1029" customWidth="1"/>
    <col min="7" max="7" width="1" style="1029" customWidth="1"/>
    <col min="8" max="8" width="18" style="1029" hidden="1" customWidth="1"/>
    <col min="9" max="9" width="59" style="1029" customWidth="1"/>
    <col min="10" max="10" width="52.140625" style="1029" hidden="1" customWidth="1"/>
    <col min="11" max="11" width="8" style="1029" customWidth="1"/>
    <col min="12" max="12" width="77" style="1029" customWidth="1"/>
    <col min="13" max="16" width="8" style="1029" customWidth="1"/>
    <col min="17" max="17" width="12" style="1029" hidden="1" customWidth="1"/>
  </cols>
  <sheetData>
    <row r="1" spans="1:17" ht="3" customHeight="1">
      <c r="F1" s="534" t="s">
        <v>13</v>
      </c>
      <c r="Q1" s="534" t="s">
        <v>14</v>
      </c>
    </row>
    <row r="2" spans="1:17" ht="14.25" customHeight="1">
      <c r="E2" s="535" t="str">
        <f>code</f>
        <v>Код отчёта: PP108.OPEN.INFO.BALANCE.COLDVSNA.EIAS</v>
      </c>
      <c r="Q2" s="536">
        <v>14</v>
      </c>
    </row>
    <row r="3" spans="1:17" ht="14.65" customHeight="1">
      <c r="E3" s="537" t="str">
        <f>version</f>
        <v>Версия отчёта: 1.1.3</v>
      </c>
      <c r="Q3" s="538">
        <v>14</v>
      </c>
    </row>
    <row r="4" spans="1:17" ht="6.4" customHeight="1">
      <c r="D4" s="539"/>
      <c r="Q4" s="540">
        <v>6</v>
      </c>
    </row>
    <row r="5" spans="1:17" ht="39.75" customHeight="1">
      <c r="D5" s="541"/>
      <c r="E5" s="1047"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1048"/>
      <c r="G5" s="544"/>
      <c r="Q5" s="538">
        <v>38</v>
      </c>
    </row>
    <row r="6" spans="1:17" ht="6.4" customHeight="1">
      <c r="D6" s="539"/>
      <c r="E6" s="545"/>
      <c r="F6" s="546"/>
      <c r="G6" s="544"/>
      <c r="Q6" s="540">
        <v>6</v>
      </c>
    </row>
    <row r="7" spans="1:17" ht="21" customHeight="1">
      <c r="D7" s="541"/>
      <c r="E7" s="547" t="s">
        <v>15</v>
      </c>
      <c r="F7" s="548" t="s">
        <v>16</v>
      </c>
      <c r="G7" s="544"/>
      <c r="Q7" s="538">
        <v>20</v>
      </c>
    </row>
    <row r="8" spans="1:17" ht="6.4" customHeight="1">
      <c r="A8" s="6"/>
      <c r="D8" s="549"/>
      <c r="E8" s="545"/>
      <c r="F8" s="550"/>
      <c r="G8" s="551"/>
      <c r="Q8" s="540">
        <v>6</v>
      </c>
    </row>
    <row r="9" spans="1:17" ht="19.5" hidden="1" customHeight="1">
      <c r="D9" s="541"/>
      <c r="E9" s="547" t="s">
        <v>17</v>
      </c>
      <c r="F9" s="552"/>
      <c r="G9" s="544"/>
      <c r="I9" s="553" t="str">
        <f>IF(TITLE_STRUCTURE_INFO_ROIV="","","раскрывается "&amp;INDEX(ROIV_INFO_COMMENT,MATCH(TITLE_STRUCTURE_INFO_ROIV,ROIV_INFO_LIST,0)))</f>
        <v/>
      </c>
      <c r="Q9" s="538">
        <v>0</v>
      </c>
    </row>
    <row r="10" spans="1:17" ht="24" hidden="1" customHeight="1">
      <c r="A10" s="6"/>
      <c r="D10" s="549"/>
      <c r="E10" s="547" t="s">
        <v>18</v>
      </c>
      <c r="F10" s="7" t="s">
        <v>19</v>
      </c>
      <c r="G10" s="551"/>
      <c r="Q10" s="540">
        <v>24</v>
      </c>
    </row>
    <row r="11" spans="1:17" ht="22.5" hidden="1" customHeight="1">
      <c r="A11" s="1050" t="s">
        <v>20</v>
      </c>
      <c r="D11" s="541"/>
      <c r="E11" s="547" t="s">
        <v>21</v>
      </c>
      <c r="F11" s="8" t="s">
        <v>22</v>
      </c>
      <c r="G11" s="551"/>
      <c r="H11" s="554" t="s">
        <v>23</v>
      </c>
      <c r="J11" s="555" t="s">
        <v>24</v>
      </c>
      <c r="Q11" s="538">
        <v>0</v>
      </c>
    </row>
    <row r="12" spans="1:17" ht="22.5" hidden="1" customHeight="1">
      <c r="A12" s="1050"/>
      <c r="D12" s="541"/>
      <c r="E12" s="547" t="s">
        <v>25</v>
      </c>
      <c r="F12" s="8"/>
      <c r="G12" s="556"/>
      <c r="J12" s="555" t="s">
        <v>26</v>
      </c>
      <c r="Q12" s="538">
        <v>0</v>
      </c>
    </row>
    <row r="13" spans="1:17" ht="22.5" hidden="1" customHeight="1">
      <c r="A13" s="10" t="s">
        <v>27</v>
      </c>
      <c r="D13" s="541"/>
      <c r="E13" s="11" t="s">
        <v>28</v>
      </c>
      <c r="F13" s="8" t="s">
        <v>22</v>
      </c>
      <c r="G13" s="551"/>
      <c r="J13" s="12" t="s">
        <v>29</v>
      </c>
      <c r="Q13" s="538">
        <v>0</v>
      </c>
    </row>
    <row r="14" spans="1:17" ht="27" customHeight="1">
      <c r="A14" s="10" t="s">
        <v>30</v>
      </c>
      <c r="D14" s="541"/>
      <c r="E14" s="547" t="s">
        <v>31</v>
      </c>
      <c r="F14" s="13">
        <v>2023</v>
      </c>
      <c r="G14" s="551"/>
      <c r="J14" s="555" t="s">
        <v>32</v>
      </c>
      <c r="Q14" s="538">
        <v>0</v>
      </c>
    </row>
    <row r="15" spans="1:17" ht="19.5" hidden="1" customHeight="1">
      <c r="A15" s="10" t="s">
        <v>33</v>
      </c>
      <c r="D15" s="541"/>
      <c r="E15" s="547" t="s">
        <v>34</v>
      </c>
      <c r="F15" s="557"/>
      <c r="G15" s="551"/>
      <c r="J15" s="555" t="s">
        <v>35</v>
      </c>
      <c r="Q15" s="538">
        <v>0</v>
      </c>
    </row>
    <row r="16" spans="1:17" ht="6.4" customHeight="1">
      <c r="A16" s="6"/>
      <c r="D16" s="549"/>
      <c r="E16" s="545"/>
      <c r="F16" s="550"/>
      <c r="G16" s="551"/>
      <c r="Q16" s="540">
        <v>6</v>
      </c>
    </row>
    <row r="17" spans="1:17" ht="21" customHeight="1">
      <c r="D17" s="541"/>
      <c r="E17" s="547" t="s">
        <v>36</v>
      </c>
      <c r="F17" s="14" t="s">
        <v>37</v>
      </c>
      <c r="G17" s="556"/>
      <c r="H17" s="554" t="s">
        <v>23</v>
      </c>
      <c r="Q17" s="538">
        <v>20</v>
      </c>
    </row>
    <row r="18" spans="1:17" ht="25.5" hidden="1" customHeight="1">
      <c r="D18" s="541"/>
      <c r="E18" s="11" t="s">
        <v>38</v>
      </c>
      <c r="F18" s="15"/>
      <c r="G18" s="556"/>
      <c r="I18" s="558"/>
      <c r="J18" s="1049" t="s">
        <v>39</v>
      </c>
      <c r="Q18" s="538">
        <v>0</v>
      </c>
    </row>
    <row r="19" spans="1:17" ht="25.5" hidden="1" customHeight="1">
      <c r="D19" s="541"/>
      <c r="E19" s="54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5"/>
      <c r="G19" s="556"/>
      <c r="I19" s="558"/>
      <c r="J19" s="1031"/>
      <c r="Q19" s="538">
        <v>0</v>
      </c>
    </row>
    <row r="20" spans="1:17" ht="22.5" hidden="1" customHeight="1">
      <c r="D20" s="541"/>
      <c r="E20" s="559"/>
      <c r="F20" s="560" t="str">
        <f>"Первичное "&amp;IF(TEMPLATE_GROUP="P","установление тарифов","предложение по тарифам")</f>
        <v>Первичное предложение по тарифам</v>
      </c>
      <c r="G20" s="556"/>
      <c r="I20" s="551"/>
      <c r="J20" s="561" t="s">
        <v>40</v>
      </c>
      <c r="Q20" s="538">
        <v>0</v>
      </c>
    </row>
    <row r="21" spans="1:17" ht="19.5" hidden="1" customHeight="1">
      <c r="D21" s="541"/>
      <c r="E21" s="547" t="str">
        <f>"Дата "&amp;IF(TEMPLATE_GROUP="P","документа","подачи заявления")&amp;" об утверждении тарифов"</f>
        <v>Дата подачи заявления об утверждении тарифов</v>
      </c>
      <c r="F21" s="8"/>
      <c r="G21" s="556"/>
      <c r="I21" s="562"/>
      <c r="Q21" s="538">
        <v>0</v>
      </c>
    </row>
    <row r="22" spans="1:17" ht="19.5" hidden="1" customHeight="1">
      <c r="D22" s="541"/>
      <c r="E22" s="547" t="str">
        <f>"Номер "&amp;IF(TEMPLATE_GROUP="P","документа","подачи заявления")&amp;" об утверждении тарифов"</f>
        <v>Номер подачи заявления об утверждении тарифов</v>
      </c>
      <c r="F22" s="14"/>
      <c r="G22" s="556"/>
      <c r="I22" s="562"/>
      <c r="Q22" s="538">
        <v>0</v>
      </c>
    </row>
    <row r="23" spans="1:17" ht="22.5" hidden="1" customHeight="1">
      <c r="D23" s="541"/>
      <c r="E23" s="547" t="s">
        <v>41</v>
      </c>
      <c r="F23" s="14"/>
      <c r="G23" s="556"/>
      <c r="Q23" s="538">
        <v>0</v>
      </c>
    </row>
    <row r="24" spans="1:17" ht="19.5" hidden="1" customHeight="1">
      <c r="D24" s="541"/>
      <c r="E24" s="547" t="s">
        <v>42</v>
      </c>
      <c r="F24" s="14"/>
      <c r="G24" s="556"/>
      <c r="Q24" s="538">
        <v>0</v>
      </c>
    </row>
    <row r="25" spans="1:17" ht="22.5" hidden="1" customHeight="1">
      <c r="D25" s="541"/>
      <c r="E25" s="559"/>
      <c r="F25" s="560" t="str">
        <f>"Изменение "&amp;IF(TEMPLATE_GROUP="P","тарифов","предложения по тарифам")</f>
        <v>Изменение предложения по тарифам</v>
      </c>
      <c r="G25" s="556"/>
      <c r="J25" s="561" t="s">
        <v>43</v>
      </c>
      <c r="Q25" s="538">
        <v>0</v>
      </c>
    </row>
    <row r="26" spans="1:17" ht="19.5" hidden="1" customHeight="1">
      <c r="D26" s="541"/>
      <c r="E26" s="547" t="str">
        <f>"Дата "&amp;IF(TEMPLATE_GROUP="P","принятия решения","подачи заявления")&amp;" об изменении тарифов"</f>
        <v>Дата подачи заявления об изменении тарифов</v>
      </c>
      <c r="F26" s="15"/>
      <c r="G26" s="556"/>
      <c r="Q26" s="538">
        <v>0</v>
      </c>
    </row>
    <row r="27" spans="1:17" ht="19.5" hidden="1" customHeight="1">
      <c r="D27" s="541"/>
      <c r="E27" s="547" t="str">
        <f>"Номер "&amp;IF(TEMPLATE_GROUP="P","принятия решения","заявления")&amp;" об изменении тарифов"</f>
        <v>Номер заявления об изменении тарифов</v>
      </c>
      <c r="F27" s="16"/>
      <c r="G27" s="556"/>
      <c r="Q27" s="538">
        <v>0</v>
      </c>
    </row>
    <row r="28" spans="1:17" ht="24.75" hidden="1" customHeight="1">
      <c r="D28" s="541"/>
      <c r="E28" s="547" t="s">
        <v>44</v>
      </c>
      <c r="F28" s="16"/>
      <c r="G28" s="556"/>
      <c r="Q28" s="538">
        <v>0</v>
      </c>
    </row>
    <row r="29" spans="1:17" ht="19.5" hidden="1" customHeight="1">
      <c r="D29" s="541"/>
      <c r="E29" s="547" t="s">
        <v>42</v>
      </c>
      <c r="F29" s="16"/>
      <c r="G29" s="556"/>
      <c r="Q29" s="538">
        <v>0</v>
      </c>
    </row>
    <row r="30" spans="1:17" ht="6.4" customHeight="1">
      <c r="A30" s="6"/>
      <c r="D30" s="549"/>
      <c r="E30" s="545"/>
      <c r="F30" s="550"/>
      <c r="G30" s="551"/>
      <c r="Q30" s="540">
        <v>6</v>
      </c>
    </row>
    <row r="31" spans="1:17" ht="21" customHeight="1">
      <c r="D31" s="563"/>
      <c r="E31" s="547" t="str">
        <f>"Наименование "&amp;IF(TEMPLATE_GROUP="ROIV","органа тарифного регулирования","ЮЛ / ИП")</f>
        <v>Наименование ЮЛ / ИП</v>
      </c>
      <c r="F31" s="17" t="s">
        <v>45</v>
      </c>
      <c r="G31" s="18"/>
      <c r="Q31" s="538">
        <v>20</v>
      </c>
    </row>
    <row r="32" spans="1:17" ht="21" hidden="1" customHeight="1">
      <c r="D32" s="563"/>
      <c r="E32" s="564" t="s">
        <v>46</v>
      </c>
      <c r="F32" s="17"/>
      <c r="G32" s="18"/>
      <c r="Q32" s="538">
        <v>20</v>
      </c>
    </row>
    <row r="33" spans="1:17" ht="21" customHeight="1">
      <c r="D33" s="563"/>
      <c r="E33" s="547" t="s">
        <v>47</v>
      </c>
      <c r="F33" s="17" t="s">
        <v>48</v>
      </c>
      <c r="G33" s="18"/>
      <c r="Q33" s="538">
        <v>20</v>
      </c>
    </row>
    <row r="34" spans="1:17" ht="21" customHeight="1">
      <c r="D34" s="563"/>
      <c r="E34" s="547" t="s">
        <v>49</v>
      </c>
      <c r="F34" s="17" t="s">
        <v>50</v>
      </c>
      <c r="G34" s="18"/>
      <c r="Q34" s="538">
        <v>20</v>
      </c>
    </row>
    <row r="35" spans="1:17" ht="11.45" customHeight="1">
      <c r="A35" s="6"/>
      <c r="D35" s="549"/>
      <c r="E35" s="545"/>
      <c r="F35" s="550"/>
      <c r="G35" s="551"/>
      <c r="Q35" s="540">
        <v>11</v>
      </c>
    </row>
    <row r="36" spans="1:17" ht="19.5" hidden="1" customHeight="1">
      <c r="A36" s="19"/>
      <c r="D36" s="563"/>
      <c r="E36" s="547" t="s">
        <v>51</v>
      </c>
      <c r="F36" s="565"/>
      <c r="G36" s="551"/>
      <c r="Q36" s="538">
        <v>0</v>
      </c>
    </row>
    <row r="37" spans="1:17" ht="21" customHeight="1">
      <c r="A37" s="19"/>
      <c r="D37" s="563"/>
      <c r="E37" s="547" t="s">
        <v>52</v>
      </c>
      <c r="F37" s="20" t="s">
        <v>53</v>
      </c>
      <c r="G37" s="551"/>
      <c r="Q37" s="538">
        <v>20</v>
      </c>
    </row>
    <row r="38" spans="1:17" ht="6.4" customHeight="1">
      <c r="A38" s="6"/>
      <c r="D38" s="539"/>
      <c r="E38" s="566"/>
      <c r="F38" s="567"/>
      <c r="G38" s="556"/>
      <c r="Q38" s="540">
        <v>6</v>
      </c>
    </row>
    <row r="39" spans="1:17" ht="36.75" customHeight="1">
      <c r="A39" s="6"/>
      <c r="D39" s="541"/>
      <c r="E39" s="547" t="s">
        <v>54</v>
      </c>
      <c r="F39" s="7" t="s">
        <v>19</v>
      </c>
      <c r="G39" s="556"/>
      <c r="H39" s="554" t="s">
        <v>23</v>
      </c>
      <c r="Q39" s="538">
        <v>35</v>
      </c>
    </row>
    <row r="40" spans="1:17" ht="6" hidden="1" customHeight="1">
      <c r="D40" s="539"/>
      <c r="E40" s="566"/>
      <c r="F40" s="567"/>
      <c r="G40" s="556"/>
      <c r="Q40" s="540">
        <v>6</v>
      </c>
    </row>
    <row r="41" spans="1:17" ht="26.25" hidden="1" customHeight="1">
      <c r="A41" s="10" t="s">
        <v>27</v>
      </c>
      <c r="D41" s="541"/>
      <c r="E41" s="547"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 t="s">
        <v>19</v>
      </c>
      <c r="G41" s="556"/>
      <c r="Q41" s="538">
        <v>0</v>
      </c>
    </row>
    <row r="42" spans="1:17" ht="6" hidden="1" customHeight="1">
      <c r="D42" s="539"/>
      <c r="E42" s="566"/>
      <c r="F42" s="567"/>
      <c r="G42" s="556"/>
      <c r="Q42" s="540">
        <v>0</v>
      </c>
    </row>
    <row r="43" spans="1:17" ht="27" hidden="1" customHeight="1">
      <c r="D43" s="541"/>
      <c r="E43" s="547" t="s">
        <v>55</v>
      </c>
      <c r="F43" s="7" t="s">
        <v>19</v>
      </c>
      <c r="G43" s="556"/>
      <c r="Q43" s="538">
        <v>0</v>
      </c>
    </row>
    <row r="44" spans="1:17" ht="27" hidden="1" customHeight="1">
      <c r="D44" s="541"/>
      <c r="E44" s="547" t="s">
        <v>56</v>
      </c>
      <c r="F44" s="21"/>
      <c r="G44" s="556"/>
      <c r="Q44" s="538">
        <v>0</v>
      </c>
    </row>
    <row r="45" spans="1:17" ht="6" hidden="1" customHeight="1">
      <c r="D45" s="539"/>
      <c r="E45" s="566"/>
      <c r="F45" s="567"/>
      <c r="G45" s="556"/>
      <c r="Q45" s="540">
        <v>0</v>
      </c>
    </row>
    <row r="46" spans="1:17" ht="24.75" hidden="1" customHeight="1">
      <c r="D46" s="539"/>
      <c r="E46" s="547" t="s">
        <v>57</v>
      </c>
      <c r="F46" s="7" t="s">
        <v>19</v>
      </c>
      <c r="G46" s="556"/>
      <c r="Q46" s="540">
        <v>0</v>
      </c>
    </row>
    <row r="47" spans="1:17" ht="24.75" hidden="1" customHeight="1">
      <c r="D47" s="541"/>
      <c r="E47" s="547" t="s">
        <v>58</v>
      </c>
      <c r="F47" s="7" t="s">
        <v>19</v>
      </c>
      <c r="G47" s="556"/>
      <c r="Q47" s="538">
        <v>0</v>
      </c>
    </row>
    <row r="48" spans="1:17" ht="6" hidden="1" customHeight="1">
      <c r="D48" s="539"/>
      <c r="E48" s="566"/>
      <c r="F48" s="567"/>
      <c r="G48" s="556"/>
      <c r="Q48" s="540">
        <v>0</v>
      </c>
    </row>
    <row r="49" spans="1:17" ht="29.25" hidden="1" customHeight="1">
      <c r="D49" s="541"/>
      <c r="E49" s="54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
      <c r="G49" s="556"/>
      <c r="Q49" s="538">
        <v>0</v>
      </c>
    </row>
    <row r="50" spans="1:17" ht="6" customHeight="1">
      <c r="A50" s="6"/>
      <c r="D50" s="549"/>
      <c r="E50" s="545"/>
      <c r="F50" s="550"/>
      <c r="G50" s="551"/>
      <c r="Q50" s="540">
        <v>0</v>
      </c>
    </row>
    <row r="51" spans="1:17" ht="28.5" customHeight="1">
      <c r="E51" s="547" t="s">
        <v>59</v>
      </c>
      <c r="F51" s="7" t="s">
        <v>19</v>
      </c>
      <c r="Q51" s="538">
        <v>0</v>
      </c>
    </row>
    <row r="52" spans="1:17" ht="6" customHeight="1">
      <c r="A52" s="6"/>
      <c r="D52" s="549"/>
      <c r="E52" s="545"/>
      <c r="F52" s="550"/>
      <c r="G52" s="551"/>
      <c r="Q52" s="540">
        <v>0</v>
      </c>
    </row>
    <row r="53" spans="1:17" ht="27" customHeight="1">
      <c r="E53" s="547" t="s">
        <v>60</v>
      </c>
      <c r="F53" s="568" t="s">
        <v>61</v>
      </c>
      <c r="Q53" s="538">
        <v>0</v>
      </c>
    </row>
    <row r="54" spans="1:17" ht="27" customHeight="1">
      <c r="E54" s="547" t="s">
        <v>62</v>
      </c>
      <c r="F54" s="995">
        <v>45380</v>
      </c>
      <c r="Q54" s="538">
        <v>0</v>
      </c>
    </row>
    <row r="55" spans="1:17" ht="6" customHeight="1">
      <c r="A55" s="6"/>
      <c r="D55" s="549"/>
      <c r="E55" s="545"/>
      <c r="F55" s="550"/>
      <c r="G55" s="551"/>
      <c r="Q55" s="540">
        <v>0</v>
      </c>
    </row>
    <row r="56" spans="1:17" ht="25.5" customHeight="1">
      <c r="E56" s="547" t="s">
        <v>63</v>
      </c>
      <c r="F56" s="568" t="s">
        <v>61</v>
      </c>
      <c r="Q56" s="538">
        <v>0</v>
      </c>
    </row>
    <row r="57" spans="1:17" ht="6" customHeight="1">
      <c r="A57" s="6"/>
      <c r="D57" s="549"/>
      <c r="E57" s="545"/>
      <c r="F57" s="550"/>
      <c r="G57" s="551"/>
      <c r="Q57" s="540">
        <v>0</v>
      </c>
    </row>
    <row r="58" spans="1:17" ht="15" customHeight="1">
      <c r="E58" s="547" t="s">
        <v>64</v>
      </c>
      <c r="F58" s="568" t="s">
        <v>61</v>
      </c>
      <c r="Q58" s="538">
        <v>0</v>
      </c>
    </row>
    <row r="59" spans="1:17" ht="75" customHeight="1">
      <c r="E59" s="54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568" t="s">
        <v>61</v>
      </c>
      <c r="Q59" s="538">
        <v>0</v>
      </c>
    </row>
    <row r="60" spans="1:17" ht="15" customHeight="1">
      <c r="E60" s="547" t="s">
        <v>65</v>
      </c>
      <c r="F60" s="20" t="s">
        <v>66</v>
      </c>
      <c r="Q60" s="538">
        <v>0</v>
      </c>
    </row>
    <row r="61" spans="1:17" ht="6" hidden="1" customHeight="1">
      <c r="A61" s="6"/>
      <c r="D61" s="539"/>
      <c r="E61" s="566"/>
      <c r="F61" s="567"/>
      <c r="G61" s="556"/>
      <c r="Q61" s="540">
        <v>0</v>
      </c>
    </row>
    <row r="62" spans="1:17" ht="33.75" hidden="1" customHeight="1">
      <c r="A62" s="6"/>
      <c r="D62" s="541"/>
      <c r="E62" s="547" t="s">
        <v>67</v>
      </c>
      <c r="F62" s="7" t="s">
        <v>61</v>
      </c>
      <c r="G62" s="556"/>
      <c r="H62" s="554" t="s">
        <v>23</v>
      </c>
      <c r="Q62" s="538">
        <v>0</v>
      </c>
    </row>
    <row r="63" spans="1:17" ht="6.4" customHeight="1">
      <c r="A63" s="6"/>
      <c r="D63" s="549"/>
      <c r="E63" s="545"/>
      <c r="F63" s="550"/>
      <c r="G63" s="551"/>
      <c r="Q63" s="540">
        <v>6</v>
      </c>
    </row>
    <row r="64" spans="1:17" ht="22.5" customHeight="1">
      <c r="D64" s="23"/>
      <c r="E64" s="547" t="s">
        <v>68</v>
      </c>
      <c r="F64" s="1000" t="s">
        <v>69</v>
      </c>
      <c r="G64" s="551"/>
      <c r="Q64" s="538">
        <v>20</v>
      </c>
    </row>
    <row r="65" spans="1:17" ht="21" customHeight="1">
      <c r="D65" s="23"/>
      <c r="E65" s="547" t="s">
        <v>70</v>
      </c>
      <c r="F65" s="1000" t="s">
        <v>71</v>
      </c>
      <c r="G65" s="551"/>
      <c r="Q65" s="538">
        <v>20</v>
      </c>
    </row>
    <row r="66" spans="1:17" ht="36.75" customHeight="1">
      <c r="D66" s="541"/>
      <c r="E66" s="569" t="s">
        <v>72</v>
      </c>
      <c r="G66" s="556"/>
      <c r="Q66" s="538">
        <v>35</v>
      </c>
    </row>
    <row r="67" spans="1:17" ht="21" customHeight="1">
      <c r="D67" s="541"/>
      <c r="E67" s="547" t="s">
        <v>73</v>
      </c>
      <c r="F67" s="14" t="s">
        <v>74</v>
      </c>
      <c r="G67" s="551"/>
      <c r="Q67" s="538">
        <v>20</v>
      </c>
    </row>
    <row r="68" spans="1:17" ht="21" customHeight="1">
      <c r="D68" s="23"/>
      <c r="E68" s="547" t="s">
        <v>75</v>
      </c>
      <c r="F68" s="14" t="s">
        <v>76</v>
      </c>
      <c r="G68" s="551"/>
      <c r="Q68" s="538">
        <v>20</v>
      </c>
    </row>
    <row r="69" spans="1:17" ht="21" customHeight="1">
      <c r="D69" s="23"/>
      <c r="E69" s="547" t="s">
        <v>77</v>
      </c>
      <c r="F69" s="14" t="s">
        <v>78</v>
      </c>
      <c r="G69" s="551"/>
      <c r="Q69" s="538">
        <v>20</v>
      </c>
    </row>
    <row r="70" spans="1:17" ht="21" customHeight="1">
      <c r="D70" s="541"/>
      <c r="E70" s="547" t="s">
        <v>79</v>
      </c>
      <c r="F70" s="14" t="s">
        <v>80</v>
      </c>
      <c r="G70" s="556"/>
      <c r="Q70" s="538">
        <v>20</v>
      </c>
    </row>
    <row r="71" spans="1:17" ht="21" customHeight="1">
      <c r="D71" s="556"/>
      <c r="G71" s="551"/>
      <c r="Q71" s="538">
        <v>20</v>
      </c>
    </row>
    <row r="72" spans="1:17" ht="21" customHeight="1">
      <c r="D72" s="23"/>
      <c r="E72" s="24"/>
      <c r="F72" s="1029" t="s">
        <v>13</v>
      </c>
      <c r="G72" s="551"/>
      <c r="Q72" s="538">
        <v>20</v>
      </c>
    </row>
    <row r="73" spans="1:17" ht="21" customHeight="1">
      <c r="D73" s="23"/>
      <c r="E73" s="24"/>
      <c r="G73" s="551"/>
      <c r="Q73" s="538">
        <v>20</v>
      </c>
    </row>
    <row r="74" spans="1:17" ht="21" customHeight="1">
      <c r="D74" s="23"/>
      <c r="E74" s="25"/>
      <c r="G74" s="551"/>
      <c r="Q74" s="538">
        <v>20</v>
      </c>
    </row>
    <row r="75" spans="1:17" ht="21" customHeight="1">
      <c r="D75" s="23"/>
      <c r="E75" s="24"/>
      <c r="G75" s="551"/>
      <c r="Q75" s="538">
        <v>20</v>
      </c>
    </row>
    <row r="76" spans="1:17" ht="11.45" customHeight="1">
      <c r="Q76" s="538">
        <v>11</v>
      </c>
    </row>
    <row r="77" spans="1:17" ht="11.45" customHeight="1">
      <c r="Q77" s="538">
        <v>11</v>
      </c>
    </row>
    <row r="78" spans="1:17" ht="11.45" customHeight="1">
      <c r="Q78" s="538">
        <v>11</v>
      </c>
    </row>
    <row r="79" spans="1:17" ht="11.25" hidden="1" customHeight="1">
      <c r="A79" s="570" t="s">
        <v>81</v>
      </c>
      <c r="B79" s="571">
        <v>0</v>
      </c>
      <c r="C79" s="572">
        <v>3</v>
      </c>
      <c r="D79" s="538">
        <v>1</v>
      </c>
      <c r="E79" s="538">
        <v>55</v>
      </c>
      <c r="F79" s="538">
        <v>54</v>
      </c>
      <c r="G79" s="560">
        <v>1</v>
      </c>
      <c r="H79" s="538">
        <v>0</v>
      </c>
      <c r="I79" s="573">
        <v>59</v>
      </c>
      <c r="J79" s="555">
        <v>0</v>
      </c>
      <c r="K79" s="538">
        <v>8</v>
      </c>
      <c r="L79" s="538">
        <v>77</v>
      </c>
      <c r="M79" s="538">
        <v>8</v>
      </c>
      <c r="N79" s="538">
        <v>8</v>
      </c>
      <c r="O79" s="538">
        <v>8</v>
      </c>
      <c r="P79" s="538">
        <v>8</v>
      </c>
      <c r="Q79" s="538">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2" style="1029" hidden="1" customWidth="1"/>
    <col min="10" max="10" width="9.85546875" style="1029" hidden="1" customWidth="1"/>
    <col min="11" max="11" width="11.42578125" style="1029" hidden="1" customWidth="1"/>
    <col min="12" max="12" width="19.140625" style="1029" hidden="1" customWidth="1"/>
    <col min="13" max="14" width="12.28515625" style="1029" hidden="1" customWidth="1"/>
    <col min="15" max="15" width="23.42578125" style="1029" hidden="1" customWidth="1"/>
    <col min="16" max="18" width="3" style="1029" customWidth="1"/>
    <col min="19" max="19" width="12" style="1029" customWidth="1"/>
    <col min="20" max="20" width="31" style="1029" customWidth="1"/>
    <col min="21" max="21" width="0.140625" style="1029" customWidth="1"/>
    <col min="22" max="23" width="21.7109375" style="1029" hidden="1" customWidth="1"/>
    <col min="24" max="24" width="11.7109375" style="1029" hidden="1" customWidth="1"/>
    <col min="25" max="25" width="3.7109375" style="1029" hidden="1" customWidth="1"/>
    <col min="26" max="26" width="11.7109375" style="1029" hidden="1" customWidth="1"/>
    <col min="27" max="27" width="8.5703125" style="1029" hidden="1" customWidth="1"/>
    <col min="28" max="28" width="5.42578125" style="1029" customWidth="1"/>
    <col min="29" max="30" width="3" style="1029" customWidth="1"/>
    <col min="31" max="31" width="24" style="1029" customWidth="1"/>
    <col min="32" max="32" width="3.7109375" style="1029" customWidth="1"/>
    <col min="33" max="34" width="3" style="1029" customWidth="1"/>
    <col min="35" max="35" width="24" style="1029" customWidth="1"/>
    <col min="36" max="36" width="3.7109375" style="1029" customWidth="1"/>
    <col min="37" max="38" width="3" style="1029" customWidth="1"/>
    <col min="39" max="39" width="18" style="1029" customWidth="1"/>
    <col min="40" max="41" width="21" style="1029" customWidth="1"/>
    <col min="42" max="42" width="11" style="1029" customWidth="1"/>
    <col min="43" max="43" width="3.7109375" style="1029" customWidth="1"/>
    <col min="44" max="44" width="11" style="1029" customWidth="1"/>
    <col min="45" max="45" width="8.5703125" style="1029" hidden="1" customWidth="1"/>
    <col min="46" max="46" width="4" style="1029" customWidth="1"/>
    <col min="47" max="47" width="115" style="1029" customWidth="1"/>
    <col min="48" max="52" width="10" style="1029" customWidth="1"/>
    <col min="53" max="53" width="10.5703125" style="1029" hidden="1"/>
  </cols>
  <sheetData>
    <row r="1" spans="5:53" ht="22.5" hidden="1" customHeight="1">
      <c r="BA1" s="538" t="s">
        <v>14</v>
      </c>
    </row>
    <row r="2" spans="5:53" ht="21" hidden="1" customHeight="1">
      <c r="E2" s="1194">
        <v>1</v>
      </c>
      <c r="R2" s="310"/>
      <c r="S2" s="832" t="e">
        <f>INDEX(PT_DIFFERENTIATION_NUM_NTAR,MATCH(A2,PT_DIFFERENTIATION_NTAR_ID,0))</f>
        <v>#N/A</v>
      </c>
      <c r="T2" s="795" t="s">
        <v>136</v>
      </c>
      <c r="U2" s="833"/>
      <c r="V2" s="1181"/>
      <c r="W2" s="1181"/>
      <c r="X2" s="1181"/>
      <c r="Y2" s="1181"/>
      <c r="Z2" s="1181"/>
      <c r="AA2" s="1182"/>
      <c r="AB2" s="1180" t="e">
        <f>INDEX(PT_DIFFERENTIATION_NTAR,MATCH(A2,PT_DIFFERENTIATION_NTAR_ID,0))</f>
        <v>#N/A</v>
      </c>
      <c r="AC2" s="1181"/>
      <c r="AD2" s="1181"/>
      <c r="AE2" s="1181"/>
      <c r="AF2" s="1181"/>
      <c r="AG2" s="1181"/>
      <c r="AH2" s="1181"/>
      <c r="AI2" s="1181"/>
      <c r="AJ2" s="1181"/>
      <c r="AK2" s="1181"/>
      <c r="AL2" s="1181"/>
      <c r="AM2" s="1181"/>
      <c r="AN2" s="1181"/>
      <c r="AO2" s="1181"/>
      <c r="AP2" s="1181"/>
      <c r="AQ2" s="1181"/>
      <c r="AR2" s="1181"/>
      <c r="AS2" s="1181"/>
      <c r="AT2" s="1182"/>
      <c r="AU2" s="835" t="s">
        <v>407</v>
      </c>
      <c r="AX2" s="582" t="str">
        <f t="shared" ref="AX2:AX8" si="0">IF(T2="","",T2)</f>
        <v>Наименование тарифа</v>
      </c>
      <c r="BA2" s="538">
        <v>0</v>
      </c>
    </row>
    <row r="3" spans="5:53" ht="21" hidden="1" customHeight="1">
      <c r="E3" s="1195"/>
      <c r="F3" s="1194">
        <v>1</v>
      </c>
      <c r="Q3" s="879"/>
      <c r="R3" s="837"/>
      <c r="S3" s="832" t="e">
        <f>INDEX(PT_DIFFERENTIATION_NUM_TER,MATCH(B3,PT_DIFFERENTIATION_TER_ID,0))</f>
        <v>#N/A</v>
      </c>
      <c r="T3" s="838" t="s">
        <v>408</v>
      </c>
      <c r="U3" s="833"/>
      <c r="V3" s="1181"/>
      <c r="W3" s="1181"/>
      <c r="X3" s="1181"/>
      <c r="Y3" s="1181"/>
      <c r="Z3" s="1181"/>
      <c r="AA3" s="1182"/>
      <c r="AB3" s="1180" t="e">
        <f>INDEX(PT_DIFFERENTIATION_TER,MATCH(B3,PT_DIFFERENTIATION_TER_ID,0))</f>
        <v>#N/A</v>
      </c>
      <c r="AC3" s="1181"/>
      <c r="AD3" s="1181"/>
      <c r="AE3" s="1181"/>
      <c r="AF3" s="1181"/>
      <c r="AG3" s="1181"/>
      <c r="AH3" s="1181"/>
      <c r="AI3" s="1181"/>
      <c r="AJ3" s="1181"/>
      <c r="AK3" s="1181"/>
      <c r="AL3" s="1181"/>
      <c r="AM3" s="1181"/>
      <c r="AN3" s="1181"/>
      <c r="AO3" s="1181"/>
      <c r="AP3" s="1181"/>
      <c r="AQ3" s="1181"/>
      <c r="AR3" s="1181"/>
      <c r="AS3" s="1181"/>
      <c r="AT3" s="1182"/>
      <c r="AU3" s="835" t="s">
        <v>409</v>
      </c>
      <c r="AX3" s="582" t="str">
        <f t="shared" si="0"/>
        <v>Территория действия тарифа</v>
      </c>
      <c r="BA3" s="538">
        <v>0</v>
      </c>
    </row>
    <row r="4" spans="5:53" ht="22.5" hidden="1" customHeight="1">
      <c r="E4" s="1195"/>
      <c r="F4" s="1195"/>
      <c r="G4" s="1194">
        <v>1</v>
      </c>
      <c r="Q4" s="879"/>
      <c r="R4" s="837"/>
      <c r="S4" s="832" t="e">
        <f>INDEX(PT_DIFFERENTIATION_NUM_CS,MATCH(C4,PT_DIFFERENTIATION_CS_ID,0))</f>
        <v>#N/A</v>
      </c>
      <c r="T4" s="839" t="s">
        <v>410</v>
      </c>
      <c r="U4" s="833"/>
      <c r="V4" s="1181"/>
      <c r="W4" s="1181"/>
      <c r="X4" s="1181"/>
      <c r="Y4" s="1181"/>
      <c r="Z4" s="1181"/>
      <c r="AA4" s="1182"/>
      <c r="AB4" s="1180" t="e">
        <f>INDEX(PT_DIFFERENTIATION_CS,MATCH(C4,PT_DIFFERENTIATION_CS_ID,0))</f>
        <v>#N/A</v>
      </c>
      <c r="AC4" s="1181"/>
      <c r="AD4" s="1181"/>
      <c r="AE4" s="1181"/>
      <c r="AF4" s="1181"/>
      <c r="AG4" s="1181"/>
      <c r="AH4" s="1181"/>
      <c r="AI4" s="1181"/>
      <c r="AJ4" s="1181"/>
      <c r="AK4" s="1181"/>
      <c r="AL4" s="1181"/>
      <c r="AM4" s="1181"/>
      <c r="AN4" s="1181"/>
      <c r="AO4" s="1181"/>
      <c r="AP4" s="1181"/>
      <c r="AQ4" s="1181"/>
      <c r="AR4" s="1181"/>
      <c r="AS4" s="1181"/>
      <c r="AT4" s="1182"/>
      <c r="AU4" s="835" t="s">
        <v>411</v>
      </c>
      <c r="AX4" s="582" t="str">
        <f t="shared" si="0"/>
        <v xml:space="preserve">Наименование системы теплоснабжения </v>
      </c>
      <c r="BA4" s="538">
        <v>0</v>
      </c>
    </row>
    <row r="5" spans="5:53" ht="21" hidden="1" customHeight="1">
      <c r="E5" s="1195"/>
      <c r="F5" s="1195"/>
      <c r="G5" s="1195"/>
      <c r="H5" s="1194">
        <v>1</v>
      </c>
      <c r="Q5" s="879"/>
      <c r="R5" s="837"/>
      <c r="S5" s="832" t="e">
        <f>INDEX(PT_DIFFERENTIATION_NUM_IST_TE,MATCH(D5,PT_DIFFERENTIATION_IST_TE_ID,0))</f>
        <v>#N/A</v>
      </c>
      <c r="T5" s="840" t="s">
        <v>412</v>
      </c>
      <c r="U5" s="833"/>
      <c r="V5" s="1181"/>
      <c r="W5" s="1181"/>
      <c r="X5" s="1181"/>
      <c r="Y5" s="1181"/>
      <c r="Z5" s="1181"/>
      <c r="AA5" s="1182"/>
      <c r="AB5" s="1180" t="e">
        <f>INDEX(PT_DIFFERENTIATION_IST_TE,MATCH(D5,PT_DIFFERENTIATION_IST_TE_ID,0))</f>
        <v>#N/A</v>
      </c>
      <c r="AC5" s="1181"/>
      <c r="AD5" s="1181"/>
      <c r="AE5" s="1181"/>
      <c r="AF5" s="1181"/>
      <c r="AG5" s="1181"/>
      <c r="AH5" s="1181"/>
      <c r="AI5" s="1181"/>
      <c r="AJ5" s="1181"/>
      <c r="AK5" s="1181"/>
      <c r="AL5" s="1181"/>
      <c r="AM5" s="1181"/>
      <c r="AN5" s="1181"/>
      <c r="AO5" s="1181"/>
      <c r="AP5" s="1181"/>
      <c r="AQ5" s="1181"/>
      <c r="AR5" s="1181"/>
      <c r="AS5" s="1181"/>
      <c r="AT5" s="1182"/>
      <c r="AU5" s="835" t="s">
        <v>413</v>
      </c>
      <c r="AX5" s="582" t="str">
        <f t="shared" si="0"/>
        <v xml:space="preserve">Источник тепловой энергии  </v>
      </c>
      <c r="BA5" s="538">
        <v>0</v>
      </c>
    </row>
    <row r="6" spans="5:53" ht="0.75" hidden="1" customHeight="1">
      <c r="E6" s="1195"/>
      <c r="F6" s="1195"/>
      <c r="G6" s="1195"/>
      <c r="H6" s="1195"/>
      <c r="I6" s="1192" t="e">
        <f>S5&amp;".1"</f>
        <v>#N/A</v>
      </c>
      <c r="L6" s="863" t="s">
        <v>414</v>
      </c>
      <c r="P6" s="1193">
        <v>1</v>
      </c>
      <c r="R6" s="842"/>
      <c r="S6" s="635"/>
      <c r="T6" s="859"/>
      <c r="U6" s="860"/>
      <c r="V6" s="1223"/>
      <c r="W6" s="1223"/>
      <c r="X6" s="1223"/>
      <c r="Y6" s="1223"/>
      <c r="Z6" s="1223"/>
      <c r="AA6" s="1224"/>
      <c r="AB6" s="1222"/>
      <c r="AC6" s="1223"/>
      <c r="AD6" s="1223"/>
      <c r="AE6" s="1223"/>
      <c r="AF6" s="1223"/>
      <c r="AG6" s="1223"/>
      <c r="AH6" s="1223"/>
      <c r="AI6" s="1223"/>
      <c r="AJ6" s="1223"/>
      <c r="AK6" s="1223"/>
      <c r="AL6" s="1223"/>
      <c r="AM6" s="1223"/>
      <c r="AN6" s="1223"/>
      <c r="AO6" s="1223"/>
      <c r="AP6" s="1223"/>
      <c r="AQ6" s="1223"/>
      <c r="AR6" s="1223"/>
      <c r="AS6" s="1223"/>
      <c r="AT6" s="1224"/>
      <c r="AU6" s="862"/>
      <c r="AX6" s="582" t="str">
        <f t="shared" si="0"/>
        <v/>
      </c>
      <c r="BA6" s="577">
        <v>0</v>
      </c>
    </row>
    <row r="7" spans="5:53" ht="0.75" hidden="1" customHeight="1">
      <c r="E7" s="1195"/>
      <c r="F7" s="1195"/>
      <c r="G7" s="1195"/>
      <c r="H7" s="1195"/>
      <c r="I7" s="1214"/>
      <c r="J7" s="1192" t="e">
        <f>S5&amp;".1"</f>
        <v>#N/A</v>
      </c>
      <c r="P7" s="1031"/>
      <c r="Q7" s="1193">
        <v>1</v>
      </c>
      <c r="R7" s="844"/>
      <c r="S7" s="635"/>
      <c r="T7" s="880"/>
      <c r="U7" s="860"/>
      <c r="V7" s="1223"/>
      <c r="W7" s="1223"/>
      <c r="X7" s="1223"/>
      <c r="Y7" s="1223"/>
      <c r="Z7" s="1223"/>
      <c r="AA7" s="1224"/>
      <c r="AB7" s="1222"/>
      <c r="AC7" s="1223"/>
      <c r="AD7" s="1223"/>
      <c r="AE7" s="1223"/>
      <c r="AF7" s="1223"/>
      <c r="AG7" s="1223"/>
      <c r="AH7" s="1223"/>
      <c r="AI7" s="1223"/>
      <c r="AJ7" s="1223"/>
      <c r="AK7" s="1223"/>
      <c r="AL7" s="1223"/>
      <c r="AM7" s="1223"/>
      <c r="AN7" s="1223"/>
      <c r="AO7" s="1223"/>
      <c r="AP7" s="1223"/>
      <c r="AQ7" s="1223"/>
      <c r="AR7" s="1223"/>
      <c r="AS7" s="1223"/>
      <c r="AT7" s="1224"/>
      <c r="AU7" s="862"/>
      <c r="AX7" s="582" t="str">
        <f t="shared" si="0"/>
        <v/>
      </c>
      <c r="BA7" s="577">
        <v>0</v>
      </c>
    </row>
    <row r="8" spans="5:53" ht="21" hidden="1" customHeight="1">
      <c r="E8" s="1195"/>
      <c r="F8" s="1195"/>
      <c r="G8" s="1195"/>
      <c r="H8" s="1195"/>
      <c r="I8" s="1214"/>
      <c r="J8" s="1214"/>
      <c r="K8" s="1192" t="e">
        <f>S5&amp;".1"</f>
        <v>#N/A</v>
      </c>
      <c r="P8" s="1031"/>
      <c r="Q8" s="1031"/>
      <c r="R8" s="1257">
        <v>1</v>
      </c>
      <c r="S8" s="1251" t="e">
        <f>$K8</f>
        <v>#N/A</v>
      </c>
      <c r="T8" s="1254"/>
      <c r="U8" s="833"/>
      <c r="V8" s="311"/>
      <c r="W8" s="313"/>
      <c r="X8" s="1197"/>
      <c r="Y8" s="1058" t="s">
        <v>61</v>
      </c>
      <c r="Z8" s="1197"/>
      <c r="AA8" s="1058" t="s">
        <v>61</v>
      </c>
      <c r="AB8" s="1058" t="s">
        <v>19</v>
      </c>
      <c r="AC8" s="1236"/>
      <c r="AD8" s="1150">
        <v>1</v>
      </c>
      <c r="AE8" s="1237"/>
      <c r="AF8" s="1058" t="s">
        <v>19</v>
      </c>
      <c r="AG8" s="1236"/>
      <c r="AH8" s="1150">
        <v>1</v>
      </c>
      <c r="AI8" s="1237"/>
      <c r="AJ8" s="1058" t="s">
        <v>19</v>
      </c>
      <c r="AK8" s="882"/>
      <c r="AL8" s="92">
        <v>1</v>
      </c>
      <c r="AM8" s="568"/>
      <c r="AN8" s="311"/>
      <c r="AO8" s="313"/>
      <c r="AP8" s="203"/>
      <c r="AQ8" s="56" t="s">
        <v>61</v>
      </c>
      <c r="AR8" s="203"/>
      <c r="AS8" s="56" t="s">
        <v>61</v>
      </c>
      <c r="AT8" s="331"/>
      <c r="AU8" s="1189" t="s">
        <v>475</v>
      </c>
      <c r="AV8" s="577" t="e">
        <f ca="1">STRCHECKDATE(V11:AT11)</f>
        <v>#NAME?</v>
      </c>
      <c r="AX8" s="582" t="str">
        <f t="shared" si="0"/>
        <v/>
      </c>
      <c r="BA8" s="538">
        <v>0</v>
      </c>
    </row>
    <row r="9" spans="5:53" ht="11.25" hidden="1" customHeight="1">
      <c r="E9" s="1195"/>
      <c r="F9" s="1195"/>
      <c r="G9" s="1195"/>
      <c r="H9" s="1195"/>
      <c r="I9" s="1214"/>
      <c r="J9" s="1214"/>
      <c r="K9" s="1192"/>
      <c r="P9" s="1031"/>
      <c r="Q9" s="1031"/>
      <c r="R9" s="1257"/>
      <c r="S9" s="1252"/>
      <c r="T9" s="1255"/>
      <c r="U9" s="833"/>
      <c r="V9" s="344"/>
      <c r="W9" s="350"/>
      <c r="X9" s="1197"/>
      <c r="Y9" s="1058"/>
      <c r="Z9" s="1197"/>
      <c r="AA9" s="1058"/>
      <c r="AB9" s="1058"/>
      <c r="AC9" s="1236"/>
      <c r="AD9" s="1150"/>
      <c r="AE9" s="1237"/>
      <c r="AF9" s="1058"/>
      <c r="AG9" s="1236"/>
      <c r="AH9" s="1150"/>
      <c r="AI9" s="1237"/>
      <c r="AJ9" s="1058"/>
      <c r="AK9" s="264"/>
      <c r="AL9" s="49"/>
      <c r="AM9" s="44" t="s">
        <v>476</v>
      </c>
      <c r="AN9" s="344"/>
      <c r="AO9" s="351"/>
      <c r="AP9" s="344"/>
      <c r="AQ9" s="344"/>
      <c r="AR9" s="344"/>
      <c r="AS9" s="344"/>
      <c r="AT9" s="352"/>
      <c r="AU9" s="1190"/>
      <c r="BA9" s="538">
        <v>0</v>
      </c>
    </row>
    <row r="10" spans="5:53" ht="11.25" hidden="1" customHeight="1">
      <c r="E10" s="1195"/>
      <c r="F10" s="1195"/>
      <c r="G10" s="1195"/>
      <c r="H10" s="1195"/>
      <c r="I10" s="1214"/>
      <c r="J10" s="1214"/>
      <c r="K10" s="1192"/>
      <c r="P10" s="1031"/>
      <c r="Q10" s="1031"/>
      <c r="R10" s="1257"/>
      <c r="S10" s="1252"/>
      <c r="T10" s="1255"/>
      <c r="U10" s="833"/>
      <c r="V10" s="344"/>
      <c r="W10" s="350"/>
      <c r="X10" s="1197"/>
      <c r="Y10" s="1058"/>
      <c r="Z10" s="1197"/>
      <c r="AA10" s="1058"/>
      <c r="AB10" s="1058"/>
      <c r="AC10" s="1236"/>
      <c r="AD10" s="1150"/>
      <c r="AE10" s="1237"/>
      <c r="AF10" s="1058"/>
      <c r="AG10" s="353"/>
      <c r="AH10" s="44"/>
      <c r="AI10" s="44" t="s">
        <v>477</v>
      </c>
      <c r="AJ10" s="344"/>
      <c r="AK10" s="344"/>
      <c r="AL10" s="344"/>
      <c r="AM10" s="344"/>
      <c r="AN10" s="344"/>
      <c r="AO10" s="351"/>
      <c r="AP10" s="344"/>
      <c r="AQ10" s="344"/>
      <c r="AR10" s="344"/>
      <c r="AS10" s="344"/>
      <c r="AT10" s="352"/>
      <c r="AU10" s="1190"/>
      <c r="BA10" s="538">
        <v>0</v>
      </c>
    </row>
    <row r="11" spans="5:53" ht="11.25" hidden="1" customHeight="1">
      <c r="E11" s="1195"/>
      <c r="F11" s="1195"/>
      <c r="G11" s="1195"/>
      <c r="H11" s="1195"/>
      <c r="I11" s="1214"/>
      <c r="J11" s="1214"/>
      <c r="K11" s="1192"/>
      <c r="P11" s="1031"/>
      <c r="Q11" s="1031"/>
      <c r="R11" s="1257"/>
      <c r="S11" s="1253"/>
      <c r="T11" s="1256"/>
      <c r="U11" s="833"/>
      <c r="V11" s="344"/>
      <c r="W11" s="354" t="str">
        <f>X8&amp;"-"&amp;Z8</f>
        <v>-</v>
      </c>
      <c r="X11" s="1198"/>
      <c r="Y11" s="1058"/>
      <c r="Z11" s="1198"/>
      <c r="AA11" s="1058"/>
      <c r="AB11" s="1058"/>
      <c r="AC11" s="355"/>
      <c r="AD11" s="356"/>
      <c r="AE11" s="44" t="s">
        <v>478</v>
      </c>
      <c r="AF11" s="344"/>
      <c r="AG11" s="344"/>
      <c r="AH11" s="344"/>
      <c r="AI11" s="344"/>
      <c r="AJ11" s="344"/>
      <c r="AK11" s="344"/>
      <c r="AL11" s="344"/>
      <c r="AM11" s="344"/>
      <c r="AN11" s="344"/>
      <c r="AO11" s="345" t="str">
        <f>AP8&amp;"-"&amp;AR8</f>
        <v>-</v>
      </c>
      <c r="AP11" s="344"/>
      <c r="AQ11" s="344"/>
      <c r="AR11" s="344"/>
      <c r="AS11" s="344"/>
      <c r="AT11" s="332"/>
      <c r="AU11" s="1190"/>
      <c r="AX11" s="582" t="str">
        <f t="shared" ref="AX11:AX17" si="1">IF(T11="","",T11)</f>
        <v/>
      </c>
      <c r="BA11" s="538">
        <v>0</v>
      </c>
    </row>
    <row r="12" spans="5:53" ht="11.25" hidden="1" customHeight="1">
      <c r="E12" s="1195"/>
      <c r="F12" s="1195"/>
      <c r="G12" s="1195"/>
      <c r="H12" s="1195"/>
      <c r="I12" s="1214"/>
      <c r="J12" s="1192"/>
      <c r="P12" s="1031"/>
      <c r="Q12" s="1031"/>
      <c r="R12" s="842"/>
      <c r="S12" s="315"/>
      <c r="T12" s="318" t="s">
        <v>479</v>
      </c>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317"/>
      <c r="AU12" s="1191"/>
      <c r="AX12" s="582" t="str">
        <f t="shared" si="1"/>
        <v>Добавить строку</v>
      </c>
      <c r="BA12" s="538">
        <v>0</v>
      </c>
    </row>
    <row r="13" spans="5:53" ht="0.75" hidden="1" customHeight="1">
      <c r="E13" s="1195"/>
      <c r="F13" s="1195"/>
      <c r="G13" s="1195"/>
      <c r="H13" s="1195"/>
      <c r="I13" s="1192"/>
      <c r="P13" s="1031"/>
      <c r="R13" s="842"/>
      <c r="S13" s="334"/>
      <c r="T13" s="335"/>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c r="AT13" s="336"/>
      <c r="AU13" s="337"/>
      <c r="AX13" s="582" t="str">
        <f t="shared" si="1"/>
        <v/>
      </c>
      <c r="BA13" s="577">
        <v>0</v>
      </c>
    </row>
    <row r="14" spans="5:53" ht="0.75" hidden="1" customHeight="1">
      <c r="E14" s="1195"/>
      <c r="F14" s="1195"/>
      <c r="G14" s="1195"/>
      <c r="H14" s="1194"/>
      <c r="R14" s="357"/>
      <c r="S14" s="334"/>
      <c r="T14" s="335"/>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c r="AT14" s="336"/>
      <c r="AU14" s="337"/>
      <c r="AX14" s="582" t="str">
        <f t="shared" si="1"/>
        <v/>
      </c>
      <c r="BA14" s="577">
        <v>0</v>
      </c>
    </row>
    <row r="15" spans="5:53" ht="0.75" hidden="1" customHeight="1">
      <c r="E15" s="1195"/>
      <c r="F15" s="1195"/>
      <c r="G15" s="1194"/>
      <c r="T15" s="326" t="s">
        <v>425</v>
      </c>
      <c r="AX15" s="582" t="str">
        <f t="shared" si="1"/>
        <v>Добавить источник для дифференциации</v>
      </c>
      <c r="BA15" s="577">
        <v>0</v>
      </c>
    </row>
    <row r="16" spans="5:53" ht="0.75" hidden="1" customHeight="1">
      <c r="E16" s="1195"/>
      <c r="F16" s="1194"/>
      <c r="T16" s="326" t="s">
        <v>426</v>
      </c>
      <c r="AX16" s="582" t="str">
        <f t="shared" si="1"/>
        <v>Добавить централизованную систему для дифференциации</v>
      </c>
      <c r="BA16" s="577">
        <v>0</v>
      </c>
    </row>
    <row r="17" spans="5:53" ht="0.75" hidden="1" customHeight="1">
      <c r="E17" s="1194"/>
      <c r="T17" s="326" t="s">
        <v>427</v>
      </c>
      <c r="AX17" s="582" t="str">
        <f t="shared" si="1"/>
        <v>Добавить территорию для дифференциации</v>
      </c>
      <c r="BA17" s="577">
        <v>0</v>
      </c>
    </row>
    <row r="18" spans="5:53" ht="14.25" hidden="1" customHeight="1">
      <c r="BA18" s="538">
        <v>0</v>
      </c>
    </row>
    <row r="19" spans="5:53" ht="14.25" hidden="1" customHeight="1">
      <c r="AB19" s="358" t="s">
        <v>19</v>
      </c>
      <c r="AD19" s="358">
        <v>1</v>
      </c>
      <c r="AF19" s="358" t="s">
        <v>19</v>
      </c>
      <c r="AH19" s="358">
        <v>1</v>
      </c>
      <c r="AJ19" s="358" t="s">
        <v>19</v>
      </c>
      <c r="AL19" s="358">
        <v>1</v>
      </c>
      <c r="AM19" s="883"/>
      <c r="AN19" s="265"/>
      <c r="AO19" s="359"/>
      <c r="AP19" s="360"/>
      <c r="AQ19" s="285" t="s">
        <v>61</v>
      </c>
      <c r="AR19" s="360"/>
      <c r="AS19" s="285" t="s">
        <v>61</v>
      </c>
      <c r="BA19" s="538">
        <v>0</v>
      </c>
    </row>
    <row r="20" spans="5:53" ht="14.25" hidden="1" customHeight="1">
      <c r="BA20" s="538">
        <v>0</v>
      </c>
    </row>
    <row r="21" spans="5:53" ht="14.25" hidden="1" customHeight="1">
      <c r="O21" s="328" t="s">
        <v>428</v>
      </c>
      <c r="X21" s="348"/>
      <c r="Z21" s="348"/>
      <c r="AP21" s="348"/>
      <c r="AR21" s="348"/>
      <c r="BA21" s="538">
        <v>0</v>
      </c>
    </row>
    <row r="22" spans="5:53" ht="14.25" hidden="1" customHeight="1">
      <c r="BA22" s="538">
        <v>0</v>
      </c>
    </row>
    <row r="23" spans="5:53" ht="14.25" hidden="1" customHeight="1">
      <c r="O23" s="884" t="s">
        <v>429</v>
      </c>
      <c r="Y23" s="884" t="s">
        <v>431</v>
      </c>
      <c r="AA23" s="884" t="s">
        <v>432</v>
      </c>
      <c r="AB23" s="884" t="s">
        <v>480</v>
      </c>
      <c r="AE23" s="884" t="s">
        <v>481</v>
      </c>
      <c r="AF23" s="884" t="s">
        <v>480</v>
      </c>
      <c r="AI23" s="884" t="s">
        <v>482</v>
      </c>
      <c r="AJ23" s="884" t="s">
        <v>480</v>
      </c>
      <c r="AM23" s="884" t="s">
        <v>483</v>
      </c>
      <c r="AQ23" s="884" t="s">
        <v>431</v>
      </c>
      <c r="AS23" s="884" t="s">
        <v>432</v>
      </c>
      <c r="BA23" s="884">
        <v>0</v>
      </c>
    </row>
    <row r="24" spans="5:53" ht="14.25" hidden="1" customHeight="1">
      <c r="BA24" s="538">
        <v>0</v>
      </c>
    </row>
    <row r="25" spans="5:53" ht="14.25" hidden="1" customHeight="1">
      <c r="BA25" s="538">
        <v>0</v>
      </c>
    </row>
    <row r="26" spans="5:53" ht="14.65" customHeight="1">
      <c r="Q26" s="885"/>
      <c r="R26" s="756"/>
      <c r="S26" s="847"/>
      <c r="T26" s="556"/>
      <c r="U26" s="556"/>
      <c r="BA26" s="538">
        <v>14</v>
      </c>
    </row>
    <row r="27" spans="5:53" ht="27.4" customHeight="1">
      <c r="Q27" s="885"/>
      <c r="R27" s="756"/>
      <c r="S27" s="117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178"/>
      <c r="U27" s="1178"/>
      <c r="V27" s="1178"/>
      <c r="W27" s="1178"/>
      <c r="X27" s="1178"/>
      <c r="Y27" s="1178"/>
      <c r="Z27" s="1178"/>
      <c r="AA27" s="1178"/>
      <c r="AB27" s="1178"/>
      <c r="AC27" s="1178"/>
      <c r="AD27" s="1178"/>
      <c r="AE27" s="1178"/>
      <c r="AF27" s="1178"/>
      <c r="AG27" s="1178"/>
      <c r="AH27" s="1178"/>
      <c r="AI27" s="1178"/>
      <c r="AJ27" s="1178"/>
      <c r="AK27" s="1178"/>
      <c r="AL27" s="1178"/>
      <c r="AM27" s="1178"/>
      <c r="AN27" s="1178"/>
      <c r="AO27" s="1178"/>
      <c r="AP27" s="1178"/>
      <c r="AQ27" s="1178"/>
      <c r="AR27" s="1178"/>
      <c r="BA27" s="538">
        <v>26</v>
      </c>
    </row>
    <row r="28" spans="5:53" ht="14.65" customHeight="1">
      <c r="Q28" s="885"/>
      <c r="R28" s="756"/>
      <c r="S28" s="1127" t="str">
        <f>IF(org=0,"Не определено",org)</f>
        <v>АО "НИЖЕГОРОДСКИЙ ВОДОКАНАЛ"</v>
      </c>
      <c r="T28" s="1127"/>
      <c r="U28" s="1127"/>
      <c r="V28" s="1127"/>
      <c r="W28" s="1127"/>
      <c r="X28" s="1127"/>
      <c r="Y28" s="1127"/>
      <c r="Z28" s="1127"/>
      <c r="AA28" s="1127"/>
      <c r="AB28" s="1127"/>
      <c r="AC28" s="1127"/>
      <c r="AD28" s="1127"/>
      <c r="AE28" s="1127"/>
      <c r="AF28" s="1127"/>
      <c r="AG28" s="1127"/>
      <c r="AH28" s="1127"/>
      <c r="AI28" s="1127"/>
      <c r="AJ28" s="1127"/>
      <c r="AK28" s="1127"/>
      <c r="AL28" s="1127"/>
      <c r="AM28" s="1127"/>
      <c r="AN28" s="1127"/>
      <c r="AO28" s="1127"/>
      <c r="AP28" s="1127"/>
      <c r="AQ28" s="1127"/>
      <c r="AR28" s="1127"/>
      <c r="BA28" s="538">
        <v>14</v>
      </c>
    </row>
    <row r="29" spans="5:53" ht="14.25" hidden="1" customHeight="1">
      <c r="Q29" s="885"/>
      <c r="R29" s="756"/>
      <c r="S29" s="847"/>
      <c r="T29" s="556"/>
      <c r="U29" s="556"/>
      <c r="V29" s="826"/>
      <c r="W29" s="826"/>
      <c r="X29" s="826"/>
      <c r="Y29" s="826"/>
      <c r="Z29" s="826"/>
      <c r="AA29" s="826"/>
      <c r="AB29" s="826"/>
      <c r="AC29" s="826"/>
      <c r="AD29" s="826"/>
      <c r="AE29" s="826"/>
      <c r="AF29" s="826"/>
      <c r="AG29" s="826"/>
      <c r="AH29" s="826"/>
      <c r="AI29" s="826"/>
      <c r="AJ29" s="826"/>
      <c r="AK29" s="826"/>
      <c r="AL29" s="826"/>
      <c r="AM29" s="826"/>
      <c r="AN29" s="826"/>
      <c r="AO29" s="826"/>
      <c r="AP29" s="826"/>
      <c r="AQ29" s="826"/>
      <c r="AR29" s="826"/>
      <c r="AS29" s="826"/>
      <c r="BA29" s="538">
        <v>0</v>
      </c>
    </row>
    <row r="30" spans="5:53" ht="25.5" hidden="1" customHeight="1">
      <c r="S30" s="1186" t="s">
        <v>41</v>
      </c>
      <c r="T30" s="1186"/>
      <c r="U30" s="849"/>
      <c r="V30" s="1187" t="str">
        <f>IF(TITLE_NAME_OR_PR_CHANGE="",IF(TITLE_NAME_OR_PR="","",TITLE_NAME_OR_PR),TITLE_NAME_OR_PR_CHANGE)</f>
        <v/>
      </c>
      <c r="W30" s="1187"/>
      <c r="X30" s="1187"/>
      <c r="Y30" s="1187"/>
      <c r="Z30" s="1187"/>
      <c r="AB30" s="1187" t="str">
        <f>IF(TITLE_NAME_OR_PR_CHANGE="",IF(TITLE_NAME_OR_PR="","",TITLE_NAME_OR_PR),TITLE_NAME_OR_PR_CHANGE)</f>
        <v/>
      </c>
      <c r="AC30" s="1187"/>
      <c r="AD30" s="1187"/>
      <c r="AE30" s="1187"/>
      <c r="AF30" s="1187"/>
      <c r="AG30" s="1187"/>
      <c r="AH30" s="1187"/>
      <c r="AI30" s="1187"/>
      <c r="AJ30" s="1187"/>
      <c r="AK30" s="1187"/>
      <c r="AL30" s="1187"/>
      <c r="AM30" s="1187"/>
      <c r="AN30" s="1187"/>
      <c r="AO30" s="1187"/>
      <c r="AP30" s="1187"/>
      <c r="AQ30" s="1187"/>
      <c r="AR30" s="1187"/>
      <c r="BA30" s="592">
        <v>0</v>
      </c>
    </row>
    <row r="31" spans="5:53" ht="18.75" hidden="1" customHeight="1">
      <c r="S31" s="1186" t="s">
        <v>434</v>
      </c>
      <c r="T31" s="1186"/>
      <c r="U31" s="849"/>
      <c r="V31" s="1196" t="str">
        <f>IF(TITLE_DATE_PR_CHANGE="",IF(TITLE_DATE_PR="","",TITLE_DATE_PR),TITLE_DATE_PR_CHANGE)</f>
        <v/>
      </c>
      <c r="W31" s="1196"/>
      <c r="X31" s="1196"/>
      <c r="Y31" s="1196"/>
      <c r="Z31" s="1196"/>
      <c r="AB31" s="1196" t="str">
        <f>IF(TITLE_DATE_PR_CHANGE="",IF(TITLE_DATE_PR="","",TITLE_DATE_PR),TITLE_DATE_PR_CHANGE)</f>
        <v/>
      </c>
      <c r="AC31" s="1196"/>
      <c r="AD31" s="1196"/>
      <c r="AE31" s="1196"/>
      <c r="AF31" s="1196"/>
      <c r="AG31" s="1196"/>
      <c r="AH31" s="1196"/>
      <c r="AI31" s="1196"/>
      <c r="AJ31" s="1196"/>
      <c r="AK31" s="1196"/>
      <c r="AL31" s="1196"/>
      <c r="AM31" s="1196"/>
      <c r="AN31" s="1196"/>
      <c r="AO31" s="1196"/>
      <c r="AP31" s="1196"/>
      <c r="AQ31" s="1196"/>
      <c r="AR31" s="1196"/>
      <c r="BA31" s="592">
        <v>0</v>
      </c>
    </row>
    <row r="32" spans="5:53" ht="18.75" hidden="1" customHeight="1">
      <c r="S32" s="1186" t="s">
        <v>435</v>
      </c>
      <c r="T32" s="1186"/>
      <c r="U32" s="849"/>
      <c r="V32" s="1187" t="str">
        <f>IF(TITLE_NUMBER_PR_CHANGE="",IF(TITLE_NUMBER_PR="","",TITLE_NUMBER_PR),TITLE_NUMBER_PR_CHANGE)</f>
        <v/>
      </c>
      <c r="W32" s="1187"/>
      <c r="X32" s="1187"/>
      <c r="Y32" s="1187"/>
      <c r="Z32" s="1187"/>
      <c r="AB32" s="1187" t="str">
        <f>IF(TITLE_NUMBER_PR_CHANGE="",IF(TITLE_NUMBER_PR="","",TITLE_NUMBER_PR),TITLE_NUMBER_PR_CHANGE)</f>
        <v/>
      </c>
      <c r="AC32" s="1187"/>
      <c r="AD32" s="1187"/>
      <c r="AE32" s="1187"/>
      <c r="AF32" s="1187"/>
      <c r="AG32" s="1187"/>
      <c r="AH32" s="1187"/>
      <c r="AI32" s="1187"/>
      <c r="AJ32" s="1187"/>
      <c r="AK32" s="1187"/>
      <c r="AL32" s="1187"/>
      <c r="AM32" s="1187"/>
      <c r="AN32" s="1187"/>
      <c r="AO32" s="1187"/>
      <c r="AP32" s="1187"/>
      <c r="AQ32" s="1187"/>
      <c r="AR32" s="1187"/>
      <c r="BA32" s="592">
        <v>0</v>
      </c>
    </row>
    <row r="33" spans="1:53" ht="18.75" hidden="1" customHeight="1">
      <c r="S33" s="1186" t="s">
        <v>42</v>
      </c>
      <c r="T33" s="1186"/>
      <c r="U33" s="849"/>
      <c r="V33" s="1187" t="str">
        <f>IF(TITLE_IST_PUB_CHANGE="",IF(TITLE_IST_PUB="","",TITLE_IST_PUB),TITLE_IST_PUB_CHANGE)</f>
        <v/>
      </c>
      <c r="W33" s="1187"/>
      <c r="X33" s="1187"/>
      <c r="Y33" s="1187"/>
      <c r="Z33" s="1187"/>
      <c r="AB33" s="1187" t="str">
        <f>IF(TITLE_IST_PUB_CHANGE="",IF(TITLE_IST_PUB="","",TITLE_IST_PUB),TITLE_IST_PUB_CHANGE)</f>
        <v/>
      </c>
      <c r="AC33" s="1187"/>
      <c r="AD33" s="1187"/>
      <c r="AE33" s="1187"/>
      <c r="AF33" s="1187"/>
      <c r="AG33" s="1187"/>
      <c r="AH33" s="1187"/>
      <c r="AI33" s="1187"/>
      <c r="AJ33" s="1187"/>
      <c r="AK33" s="1187"/>
      <c r="AL33" s="1187"/>
      <c r="AM33" s="1187"/>
      <c r="AN33" s="1187"/>
      <c r="AO33" s="1187"/>
      <c r="AP33" s="1187"/>
      <c r="AQ33" s="1187"/>
      <c r="AR33" s="1187"/>
      <c r="BA33" s="592">
        <v>0</v>
      </c>
    </row>
    <row r="34" spans="1:53" ht="14.25" hidden="1" customHeight="1">
      <c r="Q34" s="885"/>
      <c r="R34" s="756"/>
      <c r="S34" s="847"/>
      <c r="T34" s="556"/>
      <c r="U34" s="556"/>
      <c r="V34" s="826"/>
      <c r="W34" s="826"/>
      <c r="X34" s="826"/>
      <c r="Y34" s="826"/>
      <c r="Z34" s="826"/>
      <c r="AA34" s="826"/>
      <c r="AB34" s="826"/>
      <c r="AC34" s="826"/>
      <c r="AD34" s="826"/>
      <c r="AE34" s="826"/>
      <c r="AF34" s="826"/>
      <c r="AG34" s="826"/>
      <c r="AH34" s="826"/>
      <c r="AI34" s="826"/>
      <c r="AJ34" s="826"/>
      <c r="AK34" s="826"/>
      <c r="AL34" s="826"/>
      <c r="AM34" s="826"/>
      <c r="AN34" s="826"/>
      <c r="AO34" s="826"/>
      <c r="AP34" s="826"/>
      <c r="AQ34" s="826"/>
      <c r="AR34" s="826"/>
      <c r="AS34" s="826"/>
      <c r="BA34" s="538">
        <v>0</v>
      </c>
    </row>
    <row r="35" spans="1:53" ht="18.75" hidden="1" customHeight="1">
      <c r="S35" s="1186" t="s">
        <v>434</v>
      </c>
      <c r="T35" s="1186"/>
      <c r="U35" s="849"/>
      <c r="V35" s="1196" t="str">
        <f>IF(TITLE_DATE_PR_CHANGE="",IF(TITLE_DATE_PR="","",TITLE_DATE_PR),TITLE_DATE_PR_CHANGE)</f>
        <v/>
      </c>
      <c r="W35" s="1196"/>
      <c r="X35" s="1196"/>
      <c r="Y35" s="1196"/>
      <c r="Z35" s="1196"/>
      <c r="AB35" s="1196" t="str">
        <f>IF(TITLE_DATE_PR_CHANGE="",IF(TITLE_DATE_PR="","",TITLE_DATE_PR),TITLE_DATE_PR_CHANGE)</f>
        <v/>
      </c>
      <c r="AC35" s="1196"/>
      <c r="AD35" s="1196"/>
      <c r="AE35" s="1196"/>
      <c r="AF35" s="1196"/>
      <c r="AG35" s="1196"/>
      <c r="AH35" s="1196"/>
      <c r="AI35" s="1196"/>
      <c r="AJ35" s="1196"/>
      <c r="AK35" s="1196"/>
      <c r="AL35" s="1196"/>
      <c r="AM35" s="1196"/>
      <c r="AN35" s="1196"/>
      <c r="AO35" s="1196"/>
      <c r="AP35" s="1196"/>
      <c r="AQ35" s="1196"/>
      <c r="AR35" s="1196"/>
      <c r="BA35" s="592">
        <v>0</v>
      </c>
    </row>
    <row r="36" spans="1:53" ht="18" hidden="1" customHeight="1">
      <c r="S36" s="1186" t="s">
        <v>435</v>
      </c>
      <c r="T36" s="1186"/>
      <c r="U36" s="849"/>
      <c r="V36" s="1187" t="str">
        <f>IF(TITLE_NUMBER_PR_CHANGE="",IF(TITLE_NUMBER_PR="","",TITLE_NUMBER_PR),TITLE_NUMBER_PR_CHANGE)</f>
        <v/>
      </c>
      <c r="W36" s="1187"/>
      <c r="X36" s="1187"/>
      <c r="Y36" s="1187"/>
      <c r="Z36" s="1187"/>
      <c r="AB36" s="1187" t="str">
        <f>IF(TITLE_NUMBER_PR_CHANGE="",IF(TITLE_NUMBER_PR="","",TITLE_NUMBER_PR),TITLE_NUMBER_PR_CHANGE)</f>
        <v/>
      </c>
      <c r="AC36" s="1187"/>
      <c r="AD36" s="1187"/>
      <c r="AE36" s="1187"/>
      <c r="AF36" s="1187"/>
      <c r="AG36" s="1187"/>
      <c r="AH36" s="1187"/>
      <c r="AI36" s="1187"/>
      <c r="AJ36" s="1187"/>
      <c r="AK36" s="1187"/>
      <c r="AL36" s="1187"/>
      <c r="AM36" s="1187"/>
      <c r="AN36" s="1187"/>
      <c r="AO36" s="1187"/>
      <c r="AP36" s="1187"/>
      <c r="AQ36" s="1187"/>
      <c r="AR36" s="1187"/>
      <c r="BA36" s="592">
        <v>0</v>
      </c>
    </row>
    <row r="37" spans="1:53" ht="1.1499999999999999" customHeight="1">
      <c r="AA37" s="577" t="s">
        <v>438</v>
      </c>
      <c r="AS37" s="577" t="s">
        <v>438</v>
      </c>
      <c r="BA37" s="592">
        <v>1</v>
      </c>
    </row>
    <row r="38" spans="1:53" ht="14.65" customHeight="1">
      <c r="Q38" s="885"/>
      <c r="R38" s="756"/>
      <c r="S38" s="847"/>
      <c r="T38" s="556"/>
      <c r="U38" s="850"/>
      <c r="V38" s="1188"/>
      <c r="W38" s="1188"/>
      <c r="X38" s="1188"/>
      <c r="Y38" s="1188"/>
      <c r="Z38" s="1188"/>
      <c r="AA38" s="1188"/>
      <c r="AB38" s="1188"/>
      <c r="AC38" s="1188"/>
      <c r="AD38" s="1188"/>
      <c r="AE38" s="1188"/>
      <c r="AF38" s="1188"/>
      <c r="AG38" s="1188"/>
      <c r="AH38" s="1188"/>
      <c r="AI38" s="1188"/>
      <c r="AJ38" s="1188"/>
      <c r="AK38" s="1188"/>
      <c r="AL38" s="1188"/>
      <c r="AM38" s="1188"/>
      <c r="AN38" s="1188"/>
      <c r="AO38" s="1188"/>
      <c r="AP38" s="1188"/>
      <c r="AQ38" s="1188"/>
      <c r="AR38" s="1188"/>
      <c r="AS38" s="1188"/>
      <c r="BA38" s="538">
        <v>14</v>
      </c>
    </row>
    <row r="39" spans="1:53" ht="14.65" customHeight="1">
      <c r="Q39" s="885"/>
      <c r="R39" s="756"/>
      <c r="S39" s="1066" t="s">
        <v>311</v>
      </c>
      <c r="T39" s="1066"/>
      <c r="U39" s="1066"/>
      <c r="V39" s="1066"/>
      <c r="W39" s="1066"/>
      <c r="X39" s="1066"/>
      <c r="Y39" s="1066"/>
      <c r="Z39" s="1066"/>
      <c r="AA39" s="1066"/>
      <c r="AB39" s="1126"/>
      <c r="AC39" s="1126"/>
      <c r="AD39" s="1126"/>
      <c r="AE39" s="1126"/>
      <c r="AF39" s="1066"/>
      <c r="AG39" s="1066"/>
      <c r="AH39" s="1066"/>
      <c r="AI39" s="1066"/>
      <c r="AJ39" s="1066"/>
      <c r="AK39" s="1066"/>
      <c r="AL39" s="1066"/>
      <c r="AM39" s="1066"/>
      <c r="AN39" s="1066"/>
      <c r="AO39" s="1066"/>
      <c r="AP39" s="1066"/>
      <c r="AQ39" s="1066"/>
      <c r="AR39" s="1066"/>
      <c r="AS39" s="1066"/>
      <c r="AT39" s="1066"/>
      <c r="AU39" s="1066" t="s">
        <v>312</v>
      </c>
      <c r="BA39" s="538">
        <v>14</v>
      </c>
    </row>
    <row r="40" spans="1:53" ht="14.65" customHeight="1">
      <c r="Q40" s="885"/>
      <c r="R40" s="756"/>
      <c r="S40" s="1202" t="s">
        <v>87</v>
      </c>
      <c r="T40" s="1154" t="s">
        <v>484</v>
      </c>
      <c r="U40" s="817"/>
      <c r="V40" s="1204"/>
      <c r="W40" s="1204"/>
      <c r="X40" s="1204"/>
      <c r="Y40" s="1204"/>
      <c r="Z40" s="1205"/>
      <c r="AA40" s="1246" t="s">
        <v>441</v>
      </c>
      <c r="AB40" s="1238" t="s">
        <v>485</v>
      </c>
      <c r="AC40" s="1219"/>
      <c r="AD40" s="1219"/>
      <c r="AE40" s="1239"/>
      <c r="AF40" s="1219" t="s">
        <v>486</v>
      </c>
      <c r="AG40" s="1219"/>
      <c r="AH40" s="1219"/>
      <c r="AI40" s="1239"/>
      <c r="AJ40" s="1238" t="s">
        <v>487</v>
      </c>
      <c r="AK40" s="1219"/>
      <c r="AL40" s="1219"/>
      <c r="AM40" s="1239"/>
      <c r="AN40" s="1238" t="s">
        <v>440</v>
      </c>
      <c r="AO40" s="1219"/>
      <c r="AP40" s="1204"/>
      <c r="AQ40" s="1204"/>
      <c r="AR40" s="1205"/>
      <c r="AS40" s="1206" t="s">
        <v>441</v>
      </c>
      <c r="AT40" s="1209" t="s">
        <v>443</v>
      </c>
      <c r="AU40" s="1066"/>
      <c r="BA40" s="538">
        <v>14</v>
      </c>
    </row>
    <row r="41" spans="1:53" ht="35.65" customHeight="1">
      <c r="Q41" s="885"/>
      <c r="R41" s="756"/>
      <c r="S41" s="1202"/>
      <c r="T41" s="1154"/>
      <c r="U41" s="822"/>
      <c r="V41" s="1066" t="s">
        <v>488</v>
      </c>
      <c r="W41" s="1066"/>
      <c r="X41" s="1141" t="s">
        <v>447</v>
      </c>
      <c r="Y41" s="1233"/>
      <c r="Z41" s="1142"/>
      <c r="AA41" s="1247"/>
      <c r="AB41" s="1240"/>
      <c r="AC41" s="1241"/>
      <c r="AD41" s="1241"/>
      <c r="AE41" s="1242"/>
      <c r="AF41" s="1241"/>
      <c r="AG41" s="1241"/>
      <c r="AH41" s="1241"/>
      <c r="AI41" s="1242"/>
      <c r="AJ41" s="1240"/>
      <c r="AK41" s="1241"/>
      <c r="AL41" s="1241"/>
      <c r="AM41" s="1241"/>
      <c r="AN41" s="1066" t="s">
        <v>488</v>
      </c>
      <c r="AO41" s="1066"/>
      <c r="AP41" s="1233" t="s">
        <v>447</v>
      </c>
      <c r="AQ41" s="1233"/>
      <c r="AR41" s="1142"/>
      <c r="AS41" s="1207"/>
      <c r="AT41" s="1210"/>
      <c r="AU41" s="1066"/>
      <c r="BA41" s="538">
        <v>34</v>
      </c>
    </row>
    <row r="42" spans="1:53" ht="14.65" customHeight="1">
      <c r="Q42" s="885"/>
      <c r="R42" s="756"/>
      <c r="S42" s="1202"/>
      <c r="T42" s="1154"/>
      <c r="U42" s="822"/>
      <c r="V42" s="1250" t="str">
        <f>IF($AN$42&lt;&gt;"",$AN$42,"")</f>
        <v/>
      </c>
      <c r="W42" s="1250"/>
      <c r="X42" s="1146"/>
      <c r="Y42" s="1234"/>
      <c r="Z42" s="1147"/>
      <c r="AA42" s="1247"/>
      <c r="AB42" s="1240"/>
      <c r="AC42" s="1241"/>
      <c r="AD42" s="1241"/>
      <c r="AE42" s="1242"/>
      <c r="AF42" s="1241"/>
      <c r="AG42" s="1241"/>
      <c r="AH42" s="1241"/>
      <c r="AI42" s="1242"/>
      <c r="AJ42" s="1240"/>
      <c r="AK42" s="1241"/>
      <c r="AL42" s="1241"/>
      <c r="AM42" s="1241"/>
      <c r="AN42" s="1249"/>
      <c r="AO42" s="1249"/>
      <c r="AP42" s="1234"/>
      <c r="AQ42" s="1234"/>
      <c r="AR42" s="1147"/>
      <c r="AS42" s="1207"/>
      <c r="AT42" s="1210"/>
      <c r="AU42" s="1066"/>
      <c r="BA42" s="538">
        <v>14</v>
      </c>
    </row>
    <row r="43" spans="1:53" ht="14.65" customHeight="1">
      <c r="B43" s="598" t="s">
        <v>148</v>
      </c>
      <c r="C43" s="598" t="s">
        <v>149</v>
      </c>
      <c r="D43" s="598" t="s">
        <v>150</v>
      </c>
      <c r="E43" s="841" t="s">
        <v>448</v>
      </c>
      <c r="F43" s="841" t="s">
        <v>449</v>
      </c>
      <c r="G43" s="841" t="s">
        <v>450</v>
      </c>
      <c r="H43" s="841" t="s">
        <v>451</v>
      </c>
      <c r="I43" s="841" t="s">
        <v>452</v>
      </c>
      <c r="J43" s="841" t="s">
        <v>453</v>
      </c>
      <c r="K43" s="841" t="s">
        <v>454</v>
      </c>
      <c r="L43" s="841" t="s">
        <v>429</v>
      </c>
      <c r="Q43" s="885"/>
      <c r="R43" s="756"/>
      <c r="S43" s="1202"/>
      <c r="T43" s="1154"/>
      <c r="U43" s="852"/>
      <c r="V43" s="632" t="s">
        <v>489</v>
      </c>
      <c r="W43" s="632" t="s">
        <v>490</v>
      </c>
      <c r="X43" s="602" t="s">
        <v>457</v>
      </c>
      <c r="Y43" s="1162" t="s">
        <v>458</v>
      </c>
      <c r="Z43" s="1164"/>
      <c r="AA43" s="1248"/>
      <c r="AB43" s="1243"/>
      <c r="AC43" s="1244"/>
      <c r="AD43" s="1244"/>
      <c r="AE43" s="1245"/>
      <c r="AF43" s="1244"/>
      <c r="AG43" s="1244"/>
      <c r="AH43" s="1244"/>
      <c r="AI43" s="1245"/>
      <c r="AJ43" s="1243"/>
      <c r="AK43" s="1244"/>
      <c r="AL43" s="1244"/>
      <c r="AM43" s="1245"/>
      <c r="AN43" s="830" t="s">
        <v>489</v>
      </c>
      <c r="AO43" s="830" t="s">
        <v>490</v>
      </c>
      <c r="AP43" s="602" t="s">
        <v>457</v>
      </c>
      <c r="AQ43" s="1162" t="s">
        <v>458</v>
      </c>
      <c r="AR43" s="1164"/>
      <c r="AS43" s="1208"/>
      <c r="AT43" s="1211"/>
      <c r="AU43" s="1066"/>
      <c r="BA43" s="538">
        <v>14</v>
      </c>
    </row>
    <row r="44" spans="1:53" ht="11.25" hidden="1" customHeight="1">
      <c r="Q44" s="854"/>
      <c r="R44" s="854">
        <v>1</v>
      </c>
      <c r="S44" s="329" t="s">
        <v>114</v>
      </c>
      <c r="T44" s="330" t="s">
        <v>102</v>
      </c>
      <c r="U44" s="855" t="str">
        <f ca="1">OFFSET(U44,0,-1)</f>
        <v>2</v>
      </c>
      <c r="V44" s="856">
        <f ca="1">OFFSET(V44,0,-1)+1</f>
        <v>3</v>
      </c>
      <c r="W44" s="856">
        <f ca="1">OFFSET(W44,0,-1)+1</f>
        <v>4</v>
      </c>
      <c r="X44" s="856">
        <f ca="1">OFFSET(X44,0,-1)+1</f>
        <v>5</v>
      </c>
      <c r="Y44" s="1201">
        <f ca="1">OFFSET(Y44,0,-1)+1</f>
        <v>6</v>
      </c>
      <c r="Z44" s="1201"/>
      <c r="AA44" s="856">
        <f ca="1">OFFSET(AA44,0,-2)+1</f>
        <v>7</v>
      </c>
      <c r="AB44" s="680">
        <f ca="1">OFFSET(AB44,0,-1)+1</f>
        <v>8</v>
      </c>
      <c r="AC44" s="680"/>
      <c r="AD44" s="680"/>
      <c r="AE44" s="680"/>
      <c r="AF44" s="856"/>
      <c r="AG44" s="856"/>
      <c r="AH44" s="856"/>
      <c r="AI44" s="856"/>
      <c r="AJ44" s="856"/>
      <c r="AK44" s="856"/>
      <c r="AL44" s="856"/>
      <c r="AM44" s="856"/>
      <c r="AN44" s="856">
        <f ca="1">OFFSET(AN44,0,-1)+1</f>
        <v>1</v>
      </c>
      <c r="AO44" s="856">
        <f ca="1">OFFSET(AO44,0,-1)+1</f>
        <v>2</v>
      </c>
      <c r="AP44" s="856">
        <f ca="1">OFFSET(AP44,0,-1)+1</f>
        <v>3</v>
      </c>
      <c r="AQ44" s="1201">
        <f ca="1">OFFSET(AQ44,0,-1)+1</f>
        <v>4</v>
      </c>
      <c r="AR44" s="1201"/>
      <c r="AS44" s="856">
        <f ca="1">OFFSET(AS44,0,-2)+1</f>
        <v>5</v>
      </c>
      <c r="AT44" s="855">
        <f ca="1">OFFSET(AT44,0,-1)</f>
        <v>5</v>
      </c>
      <c r="AU44" s="856">
        <f ca="1">OFFSET(AU44,0,-1)+1</f>
        <v>6</v>
      </c>
      <c r="BA44" s="681">
        <v>0</v>
      </c>
    </row>
    <row r="45" spans="1:53" ht="107.25" customHeight="1">
      <c r="A45" s="857" t="s">
        <v>211</v>
      </c>
      <c r="E45" s="1194">
        <v>1</v>
      </c>
      <c r="R45" s="310"/>
      <c r="S45" s="832">
        <f>INDEX(PT_DIFFERENTIATION_NUM_NTAR,MATCH(A45,PT_DIFFERENTIATION_NTAR_ID,0))</f>
        <v>0</v>
      </c>
      <c r="T45" s="795" t="s">
        <v>136</v>
      </c>
      <c r="U45" s="833"/>
      <c r="V45" s="1181"/>
      <c r="W45" s="1181"/>
      <c r="X45" s="1181"/>
      <c r="Y45" s="1181"/>
      <c r="Z45" s="1181"/>
      <c r="AA45" s="1182"/>
      <c r="AB45" s="1180" t="str">
        <f>INDEX(PT_DIFFERENTIATION_NTAR,MATCH(A45,PT_DIFFERENTIATION_NTAR_ID,0))</f>
        <v/>
      </c>
      <c r="AC45" s="1181"/>
      <c r="AD45" s="1181"/>
      <c r="AE45" s="1181"/>
      <c r="AF45" s="1181"/>
      <c r="AG45" s="1181"/>
      <c r="AH45" s="1181"/>
      <c r="AI45" s="1181"/>
      <c r="AJ45" s="1181"/>
      <c r="AK45" s="1181"/>
      <c r="AL45" s="1181"/>
      <c r="AM45" s="1181"/>
      <c r="AN45" s="1181"/>
      <c r="AO45" s="1181"/>
      <c r="AP45" s="1181"/>
      <c r="AQ45" s="1181"/>
      <c r="AR45" s="1181"/>
      <c r="AS45" s="1181"/>
      <c r="AT45" s="1182"/>
      <c r="AU45" s="83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X45" s="582" t="str">
        <f t="shared" ref="AX45:AX51" si="2">IF(T45="","",T45)</f>
        <v>Наименование тарифа</v>
      </c>
      <c r="BA45" s="538">
        <v>102</v>
      </c>
    </row>
    <row r="46" spans="1:53" ht="21.95" customHeight="1">
      <c r="A46" s="857" t="s">
        <v>211</v>
      </c>
      <c r="B46" s="857" t="s">
        <v>212</v>
      </c>
      <c r="E46" s="1195"/>
      <c r="F46" s="1194">
        <v>1</v>
      </c>
      <c r="Q46" s="879"/>
      <c r="R46" s="837"/>
      <c r="S46" s="832" t="str">
        <f>INDEX(PT_DIFFERENTIATION_NUM_TER,MATCH(B46,PT_DIFFERENTIATION_TER_ID,0))</f>
        <v>.</v>
      </c>
      <c r="T46" s="838" t="s">
        <v>408</v>
      </c>
      <c r="U46" s="833"/>
      <c r="V46" s="1181"/>
      <c r="W46" s="1181"/>
      <c r="X46" s="1181"/>
      <c r="Y46" s="1181"/>
      <c r="Z46" s="1181"/>
      <c r="AA46" s="1182"/>
      <c r="AB46" s="1180" t="str">
        <f>INDEX(PT_DIFFERENTIATION_TER,MATCH(B46,PT_DIFFERENTIATION_TER_ID,0))</f>
        <v/>
      </c>
      <c r="AC46" s="1181"/>
      <c r="AD46" s="1181"/>
      <c r="AE46" s="1181"/>
      <c r="AF46" s="1181"/>
      <c r="AG46" s="1181"/>
      <c r="AH46" s="1181"/>
      <c r="AI46" s="1181"/>
      <c r="AJ46" s="1181"/>
      <c r="AK46" s="1181"/>
      <c r="AL46" s="1181"/>
      <c r="AM46" s="1181"/>
      <c r="AN46" s="1181"/>
      <c r="AO46" s="1181"/>
      <c r="AP46" s="1181"/>
      <c r="AQ46" s="1181"/>
      <c r="AR46" s="1181"/>
      <c r="AS46" s="1181"/>
      <c r="AT46" s="1182"/>
      <c r="AU46" s="835" t="s">
        <v>409</v>
      </c>
      <c r="AX46" s="582" t="str">
        <f t="shared" si="2"/>
        <v>Территория действия тарифа</v>
      </c>
      <c r="BA46" s="538">
        <v>21</v>
      </c>
    </row>
    <row r="47" spans="1:53" ht="24" customHeight="1">
      <c r="A47" s="857" t="s">
        <v>211</v>
      </c>
      <c r="B47" s="857" t="s">
        <v>212</v>
      </c>
      <c r="C47" s="857" t="s">
        <v>213</v>
      </c>
      <c r="E47" s="1195"/>
      <c r="F47" s="1195"/>
      <c r="G47" s="1194">
        <v>1</v>
      </c>
      <c r="Q47" s="879"/>
      <c r="R47" s="837"/>
      <c r="S47" s="832" t="str">
        <f>INDEX(PT_DIFFERENTIATION_NUM_CS,MATCH(C47,PT_DIFFERENTIATION_CS_ID,0))</f>
        <v>..</v>
      </c>
      <c r="T47" s="839" t="s">
        <v>410</v>
      </c>
      <c r="U47" s="833"/>
      <c r="V47" s="1181"/>
      <c r="W47" s="1181"/>
      <c r="X47" s="1181"/>
      <c r="Y47" s="1181"/>
      <c r="Z47" s="1181"/>
      <c r="AA47" s="1182"/>
      <c r="AB47" s="1180" t="str">
        <f>INDEX(PT_DIFFERENTIATION_CS,MATCH(C47,PT_DIFFERENTIATION_CS_ID,0))</f>
        <v/>
      </c>
      <c r="AC47" s="1181"/>
      <c r="AD47" s="1181"/>
      <c r="AE47" s="1181"/>
      <c r="AF47" s="1181"/>
      <c r="AG47" s="1181"/>
      <c r="AH47" s="1181"/>
      <c r="AI47" s="1181"/>
      <c r="AJ47" s="1181"/>
      <c r="AK47" s="1181"/>
      <c r="AL47" s="1181"/>
      <c r="AM47" s="1181"/>
      <c r="AN47" s="1181"/>
      <c r="AO47" s="1181"/>
      <c r="AP47" s="1181"/>
      <c r="AQ47" s="1181"/>
      <c r="AR47" s="1181"/>
      <c r="AS47" s="1181"/>
      <c r="AT47" s="1182"/>
      <c r="AU47" s="835" t="s">
        <v>411</v>
      </c>
      <c r="AX47" s="582" t="str">
        <f t="shared" si="2"/>
        <v xml:space="preserve">Наименование системы теплоснабжения </v>
      </c>
      <c r="BA47" s="538">
        <v>23</v>
      </c>
    </row>
    <row r="48" spans="1:53" ht="21" customHeight="1">
      <c r="A48" s="857" t="s">
        <v>211</v>
      </c>
      <c r="B48" s="857" t="s">
        <v>212</v>
      </c>
      <c r="C48" s="857" t="s">
        <v>213</v>
      </c>
      <c r="D48" s="857" t="s">
        <v>214</v>
      </c>
      <c r="E48" s="1195"/>
      <c r="F48" s="1195"/>
      <c r="G48" s="1195"/>
      <c r="H48" s="1194">
        <v>1</v>
      </c>
      <c r="Q48" s="879"/>
      <c r="R48" s="837"/>
      <c r="S48" s="832" t="str">
        <f>INDEX(PT_DIFFERENTIATION_NUM_IST_TE,MATCH(D48,PT_DIFFERENTIATION_IST_TE_ID,0))</f>
        <v>...</v>
      </c>
      <c r="T48" s="840" t="s">
        <v>412</v>
      </c>
      <c r="U48" s="833"/>
      <c r="V48" s="1181"/>
      <c r="W48" s="1181"/>
      <c r="X48" s="1181"/>
      <c r="Y48" s="1181"/>
      <c r="Z48" s="1181"/>
      <c r="AA48" s="1182"/>
      <c r="AB48" s="1180" t="str">
        <f>INDEX(PT_DIFFERENTIATION_IST_TE,MATCH(D48,PT_DIFFERENTIATION_IST_TE_ID,0))</f>
        <v/>
      </c>
      <c r="AC48" s="1181"/>
      <c r="AD48" s="1181"/>
      <c r="AE48" s="1181"/>
      <c r="AF48" s="1181"/>
      <c r="AG48" s="1181"/>
      <c r="AH48" s="1181"/>
      <c r="AI48" s="1181"/>
      <c r="AJ48" s="1181"/>
      <c r="AK48" s="1181"/>
      <c r="AL48" s="1181"/>
      <c r="AM48" s="1181"/>
      <c r="AN48" s="1181"/>
      <c r="AO48" s="1181"/>
      <c r="AP48" s="1181"/>
      <c r="AQ48" s="1181"/>
      <c r="AR48" s="1181"/>
      <c r="AS48" s="1181"/>
      <c r="AT48" s="1182"/>
      <c r="AU48" s="835" t="s">
        <v>413</v>
      </c>
      <c r="AX48" s="582" t="str">
        <f t="shared" si="2"/>
        <v xml:space="preserve">Источник тепловой энергии  </v>
      </c>
      <c r="BA48" s="538">
        <v>20</v>
      </c>
    </row>
    <row r="49" spans="1:53" ht="1.1499999999999999" customHeight="1">
      <c r="A49" s="574" t="s">
        <v>211</v>
      </c>
      <c r="B49" s="574" t="s">
        <v>212</v>
      </c>
      <c r="C49" s="574" t="s">
        <v>213</v>
      </c>
      <c r="D49" s="574" t="s">
        <v>214</v>
      </c>
      <c r="E49" s="1195"/>
      <c r="F49" s="1195"/>
      <c r="G49" s="1195"/>
      <c r="H49" s="1195"/>
      <c r="I49" s="1192" t="str">
        <f>S48&amp;".1"</f>
        <v>....1</v>
      </c>
      <c r="L49" s="863" t="s">
        <v>414</v>
      </c>
      <c r="P49" s="1193">
        <v>1</v>
      </c>
      <c r="R49" s="842"/>
      <c r="S49" s="635"/>
      <c r="T49" s="859"/>
      <c r="U49" s="860"/>
      <c r="V49" s="1223"/>
      <c r="W49" s="1223"/>
      <c r="X49" s="1223"/>
      <c r="Y49" s="1223"/>
      <c r="Z49" s="1223"/>
      <c r="AA49" s="1224"/>
      <c r="AB49" s="1222"/>
      <c r="AC49" s="1223"/>
      <c r="AD49" s="1223"/>
      <c r="AE49" s="1223"/>
      <c r="AF49" s="1223"/>
      <c r="AG49" s="1223"/>
      <c r="AH49" s="1223"/>
      <c r="AI49" s="1223"/>
      <c r="AJ49" s="1223"/>
      <c r="AK49" s="1223"/>
      <c r="AL49" s="1223"/>
      <c r="AM49" s="1223"/>
      <c r="AN49" s="1223"/>
      <c r="AO49" s="1223"/>
      <c r="AP49" s="1223"/>
      <c r="AQ49" s="1223"/>
      <c r="AR49" s="1223"/>
      <c r="AS49" s="1223"/>
      <c r="AT49" s="1224"/>
      <c r="AU49" s="862"/>
      <c r="AX49" s="582" t="str">
        <f t="shared" si="2"/>
        <v/>
      </c>
      <c r="BA49" s="577">
        <v>1</v>
      </c>
    </row>
    <row r="50" spans="1:53" ht="1.1499999999999999" customHeight="1">
      <c r="A50" s="574" t="s">
        <v>211</v>
      </c>
      <c r="B50" s="574" t="s">
        <v>212</v>
      </c>
      <c r="C50" s="574" t="s">
        <v>213</v>
      </c>
      <c r="D50" s="574" t="s">
        <v>214</v>
      </c>
      <c r="E50" s="1195"/>
      <c r="F50" s="1195"/>
      <c r="G50" s="1195"/>
      <c r="H50" s="1195"/>
      <c r="I50" s="1214"/>
      <c r="J50" s="1192" t="str">
        <f>S48&amp;".1"</f>
        <v>....1</v>
      </c>
      <c r="P50" s="1031"/>
      <c r="Q50" s="1193">
        <v>1</v>
      </c>
      <c r="R50" s="844"/>
      <c r="S50" s="635"/>
      <c r="T50" s="880"/>
      <c r="U50" s="860"/>
      <c r="V50" s="1223"/>
      <c r="W50" s="1223"/>
      <c r="X50" s="1223"/>
      <c r="Y50" s="1223"/>
      <c r="Z50" s="1223"/>
      <c r="AA50" s="1224"/>
      <c r="AB50" s="1222"/>
      <c r="AC50" s="1223"/>
      <c r="AD50" s="1223"/>
      <c r="AE50" s="1223"/>
      <c r="AF50" s="1223"/>
      <c r="AG50" s="1223"/>
      <c r="AH50" s="1223"/>
      <c r="AI50" s="1223"/>
      <c r="AJ50" s="1223"/>
      <c r="AK50" s="1223"/>
      <c r="AL50" s="1223"/>
      <c r="AM50" s="1223"/>
      <c r="AN50" s="1223"/>
      <c r="AO50" s="1223"/>
      <c r="AP50" s="1223"/>
      <c r="AQ50" s="1223"/>
      <c r="AR50" s="1223"/>
      <c r="AS50" s="1223"/>
      <c r="AT50" s="1224"/>
      <c r="AU50" s="862"/>
      <c r="AX50" s="582" t="str">
        <f t="shared" si="2"/>
        <v/>
      </c>
      <c r="BA50" s="577">
        <v>1</v>
      </c>
    </row>
    <row r="51" spans="1:53" ht="21.95" customHeight="1">
      <c r="A51" s="857" t="s">
        <v>211</v>
      </c>
      <c r="B51" s="857" t="s">
        <v>212</v>
      </c>
      <c r="C51" s="857" t="s">
        <v>213</v>
      </c>
      <c r="D51" s="857" t="s">
        <v>214</v>
      </c>
      <c r="E51" s="1195"/>
      <c r="F51" s="1195"/>
      <c r="G51" s="1195"/>
      <c r="H51" s="1195"/>
      <c r="I51" s="1214"/>
      <c r="J51" s="1214"/>
      <c r="K51" s="1192" t="str">
        <f>S48&amp;".1"</f>
        <v>....1</v>
      </c>
      <c r="P51" s="1031"/>
      <c r="Q51" s="1031"/>
      <c r="R51" s="844">
        <v>1</v>
      </c>
      <c r="S51" s="1251" t="str">
        <f>$K51</f>
        <v>....1</v>
      </c>
      <c r="T51" s="1254"/>
      <c r="U51" s="833"/>
      <c r="V51" s="311"/>
      <c r="W51" s="313"/>
      <c r="X51" s="203"/>
      <c r="Y51" s="56" t="s">
        <v>61</v>
      </c>
      <c r="Z51" s="203"/>
      <c r="AA51" s="56" t="s">
        <v>61</v>
      </c>
      <c r="AB51" s="1058" t="s">
        <v>19</v>
      </c>
      <c r="AC51" s="1236"/>
      <c r="AD51" s="1150">
        <v>1</v>
      </c>
      <c r="AE51" s="1258" t="s">
        <v>22</v>
      </c>
      <c r="AF51" s="1058" t="s">
        <v>19</v>
      </c>
      <c r="AG51" s="1236"/>
      <c r="AH51" s="1150">
        <v>1</v>
      </c>
      <c r="AI51" s="1258" t="s">
        <v>22</v>
      </c>
      <c r="AJ51" s="1058" t="s">
        <v>19</v>
      </c>
      <c r="AK51" s="882"/>
      <c r="AL51" s="92">
        <v>1</v>
      </c>
      <c r="AM51" s="888"/>
      <c r="AN51" s="311"/>
      <c r="AO51" s="313"/>
      <c r="AP51" s="203"/>
      <c r="AQ51" s="56" t="s">
        <v>61</v>
      </c>
      <c r="AR51" s="203"/>
      <c r="AS51" s="56" t="s">
        <v>61</v>
      </c>
      <c r="AT51" s="331"/>
      <c r="AU51" s="1189" t="s">
        <v>491</v>
      </c>
      <c r="AV51" s="577" t="e">
        <f ca="1">STRCHECKDATE(V54:AT54)</f>
        <v>#NAME?</v>
      </c>
      <c r="AX51" s="582" t="str">
        <f t="shared" si="2"/>
        <v/>
      </c>
      <c r="BA51" s="538">
        <v>21</v>
      </c>
    </row>
    <row r="52" spans="1:53" ht="11.45" customHeight="1">
      <c r="A52" s="857" t="s">
        <v>211</v>
      </c>
      <c r="E52" s="1195"/>
      <c r="F52" s="1195"/>
      <c r="G52" s="1195"/>
      <c r="H52" s="1195"/>
      <c r="I52" s="1214"/>
      <c r="J52" s="1214"/>
      <c r="K52" s="1192"/>
      <c r="P52" s="1031"/>
      <c r="Q52" s="1031"/>
      <c r="R52" s="844"/>
      <c r="S52" s="1252"/>
      <c r="T52" s="1255"/>
      <c r="U52" s="833"/>
      <c r="V52" s="344"/>
      <c r="W52" s="351"/>
      <c r="X52" s="344"/>
      <c r="Y52" s="344"/>
      <c r="Z52" s="344"/>
      <c r="AA52" s="344"/>
      <c r="AB52" s="1058"/>
      <c r="AC52" s="1236"/>
      <c r="AD52" s="1150"/>
      <c r="AE52" s="1258"/>
      <c r="AF52" s="1058"/>
      <c r="AG52" s="1236"/>
      <c r="AH52" s="1150"/>
      <c r="AI52" s="1258"/>
      <c r="AJ52" s="1058"/>
      <c r="AK52" s="264"/>
      <c r="AL52" s="49"/>
      <c r="AM52" s="44" t="s">
        <v>476</v>
      </c>
      <c r="AN52" s="344"/>
      <c r="AO52" s="351"/>
      <c r="AP52" s="344"/>
      <c r="AQ52" s="344"/>
      <c r="AR52" s="344"/>
      <c r="AS52" s="344"/>
      <c r="AT52" s="352"/>
      <c r="AU52" s="1190"/>
      <c r="BA52" s="538">
        <v>11</v>
      </c>
    </row>
    <row r="53" spans="1:53" ht="11.45" customHeight="1">
      <c r="A53" s="857" t="s">
        <v>211</v>
      </c>
      <c r="E53" s="1195"/>
      <c r="F53" s="1195"/>
      <c r="G53" s="1195"/>
      <c r="H53" s="1195"/>
      <c r="I53" s="1214"/>
      <c r="J53" s="1214"/>
      <c r="K53" s="1192"/>
      <c r="P53" s="1031"/>
      <c r="Q53" s="1031"/>
      <c r="R53" s="844"/>
      <c r="S53" s="1252"/>
      <c r="T53" s="1255"/>
      <c r="U53" s="833"/>
      <c r="V53" s="344"/>
      <c r="W53" s="351"/>
      <c r="X53" s="344"/>
      <c r="Y53" s="344"/>
      <c r="Z53" s="344"/>
      <c r="AA53" s="344"/>
      <c r="AB53" s="1058"/>
      <c r="AC53" s="1236"/>
      <c r="AD53" s="1150"/>
      <c r="AE53" s="1258"/>
      <c r="AF53" s="1058"/>
      <c r="AG53" s="353"/>
      <c r="AH53" s="44"/>
      <c r="AI53" s="44" t="s">
        <v>477</v>
      </c>
      <c r="AJ53" s="344"/>
      <c r="AK53" s="344"/>
      <c r="AL53" s="344"/>
      <c r="AM53" s="344"/>
      <c r="AN53" s="344"/>
      <c r="AO53" s="351"/>
      <c r="AP53" s="344"/>
      <c r="AQ53" s="344"/>
      <c r="AR53" s="344"/>
      <c r="AS53" s="344"/>
      <c r="AT53" s="352"/>
      <c r="AU53" s="1190"/>
      <c r="BA53" s="538">
        <v>11</v>
      </c>
    </row>
    <row r="54" spans="1:53" ht="11.45" customHeight="1">
      <c r="A54" s="857" t="s">
        <v>211</v>
      </c>
      <c r="B54" s="857" t="s">
        <v>212</v>
      </c>
      <c r="C54" s="857" t="s">
        <v>213</v>
      </c>
      <c r="D54" s="857" t="s">
        <v>214</v>
      </c>
      <c r="E54" s="1195"/>
      <c r="F54" s="1195"/>
      <c r="G54" s="1195"/>
      <c r="H54" s="1195"/>
      <c r="I54" s="1214"/>
      <c r="J54" s="1214"/>
      <c r="K54" s="1192"/>
      <c r="P54" s="1031"/>
      <c r="Q54" s="1031"/>
      <c r="R54" s="844"/>
      <c r="S54" s="1253"/>
      <c r="T54" s="1256"/>
      <c r="U54" s="833"/>
      <c r="V54" s="344"/>
      <c r="W54" s="345" t="str">
        <f>X51&amp;"-"&amp;Z51</f>
        <v>-</v>
      </c>
      <c r="X54" s="344"/>
      <c r="Y54" s="344"/>
      <c r="Z54" s="344"/>
      <c r="AA54" s="344"/>
      <c r="AB54" s="1058"/>
      <c r="AC54" s="355"/>
      <c r="AD54" s="356"/>
      <c r="AE54" s="44" t="s">
        <v>478</v>
      </c>
      <c r="AF54" s="344"/>
      <c r="AG54" s="344"/>
      <c r="AH54" s="344"/>
      <c r="AI54" s="344"/>
      <c r="AJ54" s="344"/>
      <c r="AK54" s="344"/>
      <c r="AL54" s="344"/>
      <c r="AM54" s="344"/>
      <c r="AN54" s="344"/>
      <c r="AO54" s="345" t="str">
        <f>AP51&amp;"-"&amp;AR51</f>
        <v>-</v>
      </c>
      <c r="AP54" s="344"/>
      <c r="AQ54" s="344"/>
      <c r="AR54" s="344"/>
      <c r="AS54" s="344"/>
      <c r="AT54" s="332"/>
      <c r="AU54" s="1190"/>
      <c r="AX54" s="582" t="str">
        <f t="shared" ref="AX54:AX62" si="3">IF(T54="","",T54)</f>
        <v/>
      </c>
      <c r="BA54" s="538">
        <v>11</v>
      </c>
    </row>
    <row r="55" spans="1:53" ht="11.45" customHeight="1">
      <c r="A55" s="857" t="s">
        <v>211</v>
      </c>
      <c r="B55" s="857" t="s">
        <v>212</v>
      </c>
      <c r="C55" s="857" t="s">
        <v>213</v>
      </c>
      <c r="D55" s="857" t="s">
        <v>214</v>
      </c>
      <c r="E55" s="1195"/>
      <c r="F55" s="1195"/>
      <c r="G55" s="1195"/>
      <c r="H55" s="1195"/>
      <c r="I55" s="1214"/>
      <c r="J55" s="1192"/>
      <c r="P55" s="1031"/>
      <c r="Q55" s="1031"/>
      <c r="R55" s="842"/>
      <c r="S55" s="315"/>
      <c r="T55" s="318" t="s">
        <v>479</v>
      </c>
      <c r="U55" s="52"/>
      <c r="V55" s="52"/>
      <c r="W55" s="52"/>
      <c r="X55" s="52"/>
      <c r="Y55" s="52"/>
      <c r="Z55" s="52"/>
      <c r="AA55" s="317"/>
      <c r="AB55" s="361"/>
      <c r="AC55" s="52"/>
      <c r="AD55" s="52"/>
      <c r="AE55" s="52"/>
      <c r="AF55" s="52"/>
      <c r="AG55" s="52"/>
      <c r="AH55" s="52"/>
      <c r="AI55" s="52"/>
      <c r="AJ55" s="52"/>
      <c r="AK55" s="52"/>
      <c r="AL55" s="52"/>
      <c r="AM55" s="52"/>
      <c r="AN55" s="52"/>
      <c r="AO55" s="52"/>
      <c r="AP55" s="52"/>
      <c r="AQ55" s="52"/>
      <c r="AR55" s="52"/>
      <c r="AS55" s="52"/>
      <c r="AT55" s="317"/>
      <c r="AU55" s="1191"/>
      <c r="AX55" s="582" t="str">
        <f t="shared" si="3"/>
        <v>Добавить строку</v>
      </c>
      <c r="BA55" s="538">
        <v>11</v>
      </c>
    </row>
    <row r="56" spans="1:53" ht="1.1499999999999999" customHeight="1">
      <c r="A56" s="574" t="s">
        <v>211</v>
      </c>
      <c r="B56" s="574" t="s">
        <v>212</v>
      </c>
      <c r="C56" s="574" t="s">
        <v>213</v>
      </c>
      <c r="D56" s="574" t="s">
        <v>214</v>
      </c>
      <c r="E56" s="1195"/>
      <c r="F56" s="1195"/>
      <c r="G56" s="1195"/>
      <c r="H56" s="1195"/>
      <c r="I56" s="1192"/>
      <c r="P56" s="1031"/>
      <c r="R56" s="842"/>
      <c r="S56" s="334"/>
      <c r="T56" s="335" t="s">
        <v>423</v>
      </c>
      <c r="U56" s="336"/>
      <c r="V56" s="336"/>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7"/>
      <c r="AX56" s="582" t="str">
        <f t="shared" si="3"/>
        <v>Добавить группу потребителей</v>
      </c>
      <c r="BA56" s="577">
        <v>1</v>
      </c>
    </row>
    <row r="57" spans="1:53" ht="1.1499999999999999" customHeight="1">
      <c r="A57" s="574" t="s">
        <v>211</v>
      </c>
      <c r="B57" s="574" t="s">
        <v>212</v>
      </c>
      <c r="C57" s="574" t="s">
        <v>213</v>
      </c>
      <c r="D57" s="574" t="s">
        <v>214</v>
      </c>
      <c r="E57" s="1195"/>
      <c r="F57" s="1195"/>
      <c r="G57" s="1195"/>
      <c r="H57" s="1194"/>
      <c r="R57" s="362"/>
      <c r="S57" s="334"/>
      <c r="T57" s="335"/>
      <c r="U57" s="336"/>
      <c r="V57" s="336"/>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7"/>
      <c r="AX57" s="582" t="str">
        <f t="shared" si="3"/>
        <v/>
      </c>
      <c r="BA57" s="681">
        <v>1</v>
      </c>
    </row>
    <row r="58" spans="1:53" ht="1.1499999999999999" customHeight="1">
      <c r="A58" s="574" t="s">
        <v>211</v>
      </c>
      <c r="B58" s="574" t="s">
        <v>212</v>
      </c>
      <c r="C58" s="574" t="s">
        <v>213</v>
      </c>
      <c r="E58" s="1195"/>
      <c r="F58" s="1195"/>
      <c r="G58" s="1194"/>
      <c r="T58" s="326" t="s">
        <v>425</v>
      </c>
      <c r="AX58" s="582" t="str">
        <f t="shared" si="3"/>
        <v>Добавить источник для дифференциации</v>
      </c>
      <c r="BA58" s="577">
        <v>1</v>
      </c>
    </row>
    <row r="59" spans="1:53" ht="1.1499999999999999" customHeight="1">
      <c r="A59" s="574" t="s">
        <v>211</v>
      </c>
      <c r="B59" s="574" t="s">
        <v>212</v>
      </c>
      <c r="E59" s="1195"/>
      <c r="F59" s="1194"/>
      <c r="T59" s="326" t="s">
        <v>426</v>
      </c>
      <c r="AX59" s="582" t="str">
        <f t="shared" si="3"/>
        <v>Добавить централизованную систему для дифференциации</v>
      </c>
      <c r="BA59" s="577">
        <v>1</v>
      </c>
    </row>
    <row r="60" spans="1:53" ht="1.1499999999999999" customHeight="1">
      <c r="A60" s="574" t="s">
        <v>211</v>
      </c>
      <c r="E60" s="1195"/>
      <c r="T60" s="326" t="s">
        <v>427</v>
      </c>
      <c r="AX60" s="582" t="str">
        <f t="shared" si="3"/>
        <v>Добавить территорию для дифференциации</v>
      </c>
      <c r="BA60" s="577">
        <v>1</v>
      </c>
    </row>
    <row r="61" spans="1:53" ht="1.1499999999999999" customHeight="1">
      <c r="A61" s="574" t="s">
        <v>211</v>
      </c>
      <c r="E61" s="1194"/>
      <c r="T61" s="326" t="s">
        <v>427</v>
      </c>
      <c r="AX61" s="582" t="str">
        <f t="shared" si="3"/>
        <v>Добавить территорию для дифференциации</v>
      </c>
      <c r="BA61" s="577">
        <v>1</v>
      </c>
    </row>
    <row r="62" spans="1:53" ht="1.1499999999999999" customHeight="1">
      <c r="T62" s="326" t="s">
        <v>459</v>
      </c>
      <c r="AX62" s="582" t="str">
        <f t="shared" si="3"/>
        <v>Добавить наименование тарифа</v>
      </c>
      <c r="BA62" s="577">
        <v>1</v>
      </c>
    </row>
    <row r="63" spans="1:53" ht="11.45" customHeight="1">
      <c r="BA63" s="538">
        <v>11</v>
      </c>
    </row>
    <row r="64" spans="1:53" ht="19.899999999999999" customHeight="1">
      <c r="T64" s="1031"/>
      <c r="U64" s="1031"/>
      <c r="V64" s="1031"/>
      <c r="W64" s="1031"/>
      <c r="X64" s="1031"/>
      <c r="Y64" s="1031"/>
      <c r="Z64" s="1031"/>
      <c r="AA64" s="1031"/>
      <c r="AB64" s="1031"/>
      <c r="AC64" s="1031"/>
      <c r="AD64" s="1031"/>
      <c r="AE64" s="1031"/>
      <c r="AF64" s="1031"/>
      <c r="AG64" s="1031"/>
      <c r="AH64" s="1031"/>
      <c r="AI64" s="1031"/>
      <c r="AJ64" s="1031"/>
      <c r="AK64" s="1031"/>
      <c r="AL64" s="1031"/>
      <c r="AM64" s="1031"/>
      <c r="AN64" s="1031"/>
      <c r="AO64" s="1031"/>
      <c r="AP64" s="1031"/>
      <c r="AQ64" s="1031"/>
      <c r="AR64" s="1031"/>
      <c r="AS64" s="1031"/>
      <c r="AT64" s="1031"/>
      <c r="AU64" s="1031"/>
      <c r="BA64" s="538">
        <v>19</v>
      </c>
    </row>
    <row r="65" spans="1:53" ht="21" customHeight="1">
      <c r="T65" s="1031"/>
      <c r="U65" s="1031"/>
      <c r="V65" s="1031"/>
      <c r="W65" s="1031"/>
      <c r="X65" s="1031"/>
      <c r="Y65" s="1031"/>
      <c r="Z65" s="1031"/>
      <c r="AA65" s="1031"/>
      <c r="AB65" s="1031"/>
      <c r="AC65" s="1031"/>
      <c r="AD65" s="1031"/>
      <c r="AE65" s="1031"/>
      <c r="AF65" s="1031"/>
      <c r="AG65" s="1031"/>
      <c r="AH65" s="1031"/>
      <c r="AI65" s="1031"/>
      <c r="AJ65" s="1031"/>
      <c r="AK65" s="1031"/>
      <c r="AL65" s="1031"/>
      <c r="AM65" s="1031"/>
      <c r="AN65" s="1031"/>
      <c r="AO65" s="1031"/>
      <c r="AP65" s="1031"/>
      <c r="AQ65" s="1031"/>
      <c r="AR65" s="1031"/>
      <c r="AS65" s="1031"/>
      <c r="AT65" s="1031"/>
      <c r="AU65" s="1031"/>
      <c r="BA65" s="538">
        <v>20</v>
      </c>
    </row>
    <row r="66" spans="1:53" ht="14.65" customHeight="1">
      <c r="BA66" s="538">
        <v>14</v>
      </c>
    </row>
    <row r="67" spans="1:53" ht="19.899999999999999" customHeight="1">
      <c r="T67" s="1031"/>
      <c r="U67" s="1031"/>
      <c r="V67" s="1031"/>
      <c r="W67" s="1031"/>
      <c r="X67" s="1031"/>
      <c r="Y67" s="1031"/>
      <c r="Z67" s="1031"/>
      <c r="AA67" s="1031"/>
      <c r="AB67" s="1031"/>
      <c r="AC67" s="1031"/>
      <c r="AD67" s="1031"/>
      <c r="AE67" s="1031"/>
      <c r="AF67" s="1031"/>
      <c r="AG67" s="1031"/>
      <c r="AH67" s="1031"/>
      <c r="AI67" s="1031"/>
      <c r="AJ67" s="1031"/>
      <c r="AK67" s="1031"/>
      <c r="AL67" s="1031"/>
      <c r="AM67" s="1031"/>
      <c r="AN67" s="1031"/>
      <c r="AO67" s="1031"/>
      <c r="AP67" s="1031"/>
      <c r="AQ67" s="1031"/>
      <c r="AR67" s="1031"/>
      <c r="AS67" s="1031"/>
      <c r="AT67" s="1031"/>
      <c r="AU67" s="1031"/>
      <c r="BA67" s="538">
        <v>19</v>
      </c>
    </row>
    <row r="68" spans="1:53" ht="16.899999999999999" customHeight="1">
      <c r="T68" s="1031"/>
      <c r="U68" s="1031"/>
      <c r="V68" s="1031"/>
      <c r="W68" s="1031"/>
      <c r="X68" s="1031"/>
      <c r="Y68" s="1031"/>
      <c r="Z68" s="1031"/>
      <c r="AA68" s="1031"/>
      <c r="AB68" s="1031"/>
      <c r="AC68" s="1031"/>
      <c r="AD68" s="1031"/>
      <c r="AE68" s="1031"/>
      <c r="AF68" s="1031"/>
      <c r="AG68" s="1031"/>
      <c r="AH68" s="1031"/>
      <c r="AI68" s="1031"/>
      <c r="AJ68" s="1031"/>
      <c r="AK68" s="1031"/>
      <c r="AL68" s="1031"/>
      <c r="AM68" s="1031"/>
      <c r="AN68" s="1031"/>
      <c r="AO68" s="1031"/>
      <c r="AP68" s="1031"/>
      <c r="AQ68" s="1031"/>
      <c r="AR68" s="1031"/>
      <c r="AS68" s="1031"/>
      <c r="AT68" s="1031"/>
      <c r="AU68" s="1031"/>
      <c r="BA68" s="538">
        <v>16</v>
      </c>
    </row>
    <row r="69" spans="1:53" ht="14.65" customHeight="1">
      <c r="BA69" s="538">
        <v>14</v>
      </c>
    </row>
    <row r="70" spans="1:53" ht="22.5" hidden="1" customHeight="1">
      <c r="A70" s="555" t="s">
        <v>81</v>
      </c>
      <c r="B70" s="555">
        <v>0</v>
      </c>
      <c r="C70" s="555">
        <v>0</v>
      </c>
      <c r="D70" s="555">
        <v>0</v>
      </c>
      <c r="E70" s="555">
        <v>0</v>
      </c>
      <c r="F70" s="555">
        <v>0</v>
      </c>
      <c r="G70" s="555">
        <v>0</v>
      </c>
      <c r="H70" s="555">
        <v>0</v>
      </c>
      <c r="I70" s="555">
        <v>0</v>
      </c>
      <c r="J70" s="555">
        <v>0</v>
      </c>
      <c r="K70" s="555">
        <v>0</v>
      </c>
      <c r="L70" s="667">
        <v>0</v>
      </c>
      <c r="M70" s="12">
        <v>0</v>
      </c>
      <c r="N70" s="12">
        <v>0</v>
      </c>
      <c r="O70" s="12">
        <v>0</v>
      </c>
      <c r="P70" s="12">
        <v>3</v>
      </c>
      <c r="Q70" s="889">
        <v>3</v>
      </c>
      <c r="R70" s="821">
        <v>3</v>
      </c>
      <c r="S70" s="553">
        <v>12</v>
      </c>
      <c r="T70" s="538">
        <v>31</v>
      </c>
      <c r="U70" s="538">
        <v>0</v>
      </c>
      <c r="V70" s="538">
        <v>0</v>
      </c>
      <c r="W70" s="538">
        <v>0</v>
      </c>
      <c r="X70" s="538">
        <v>0</v>
      </c>
      <c r="Y70" s="538">
        <v>0</v>
      </c>
      <c r="Z70" s="538">
        <v>0</v>
      </c>
      <c r="AA70" s="538">
        <v>0</v>
      </c>
      <c r="AB70" s="538">
        <v>5</v>
      </c>
      <c r="AC70" s="538">
        <v>3</v>
      </c>
      <c r="AD70" s="538">
        <v>3</v>
      </c>
      <c r="AE70" s="538">
        <v>24</v>
      </c>
      <c r="AF70" s="538">
        <v>3</v>
      </c>
      <c r="AG70" s="538">
        <v>3</v>
      </c>
      <c r="AH70" s="538">
        <v>3</v>
      </c>
      <c r="AI70" s="538">
        <v>24</v>
      </c>
      <c r="AJ70" s="538">
        <v>3</v>
      </c>
      <c r="AK70" s="538">
        <v>3</v>
      </c>
      <c r="AL70" s="538">
        <v>3</v>
      </c>
      <c r="AM70" s="538">
        <v>18</v>
      </c>
      <c r="AN70" s="538">
        <v>21</v>
      </c>
      <c r="AO70" s="538">
        <v>21</v>
      </c>
      <c r="AP70" s="538">
        <v>11</v>
      </c>
      <c r="AQ70" s="538">
        <v>3</v>
      </c>
      <c r="AR70" s="538">
        <v>11</v>
      </c>
      <c r="AS70" s="538">
        <v>8</v>
      </c>
      <c r="AT70" s="538">
        <v>4</v>
      </c>
      <c r="AU70" s="538">
        <v>115</v>
      </c>
      <c r="AV70" s="577">
        <v>10</v>
      </c>
      <c r="AW70" s="577">
        <v>10</v>
      </c>
      <c r="AX70" s="577">
        <v>10</v>
      </c>
      <c r="AY70" s="577">
        <v>10</v>
      </c>
      <c r="AZ70" s="577">
        <v>10</v>
      </c>
      <c r="BA70" s="538">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4.140625" style="1029" hidden="1" customWidth="1"/>
    <col min="10" max="10" width="9.85546875" style="1029" hidden="1" customWidth="1"/>
    <col min="11" max="11" width="14.7109375" style="1029" hidden="1" customWidth="1"/>
    <col min="12" max="12" width="19.140625" style="1029" hidden="1" customWidth="1"/>
    <col min="13" max="14" width="12.28515625" style="1029" hidden="1" customWidth="1"/>
    <col min="15" max="15" width="23.42578125" style="1029" hidden="1" customWidth="1"/>
    <col min="16" max="18" width="3" style="1029" customWidth="1"/>
    <col min="19" max="19" width="12" style="1029" customWidth="1"/>
    <col min="20" max="20" width="35" style="1029" customWidth="1"/>
    <col min="21" max="21" width="0.140625" style="1029" customWidth="1"/>
    <col min="22" max="24" width="24.7109375" style="1029" hidden="1" customWidth="1"/>
    <col min="25" max="25" width="11.7109375" style="1029" hidden="1" customWidth="1"/>
    <col min="26" max="26" width="3.7109375" style="1029" hidden="1" customWidth="1"/>
    <col min="27" max="27" width="11.7109375" style="1029" hidden="1" customWidth="1"/>
    <col min="28" max="28" width="8.5703125" style="1029" hidden="1" customWidth="1"/>
    <col min="29" max="29" width="24.7109375" style="1029" customWidth="1"/>
    <col min="30" max="31" width="24" style="1029" customWidth="1"/>
    <col min="32" max="32" width="11" style="1029" customWidth="1"/>
    <col min="33" max="33" width="3.7109375" style="1029" customWidth="1"/>
    <col min="34" max="34" width="11" style="1029" customWidth="1"/>
    <col min="35" max="35" width="8.5703125" style="1029" hidden="1" customWidth="1"/>
    <col min="36" max="36" width="4" style="1029" customWidth="1"/>
    <col min="37" max="37" width="115" style="1029" customWidth="1"/>
    <col min="38" max="42" width="10" style="1029" customWidth="1"/>
    <col min="43" max="43" width="10.5703125" style="1029" hidden="1"/>
  </cols>
  <sheetData>
    <row r="1" spans="5:43" ht="22.5" hidden="1" customHeight="1">
      <c r="AQ1" s="538" t="s">
        <v>14</v>
      </c>
    </row>
    <row r="2" spans="5:43" ht="23.25" hidden="1" customHeight="1">
      <c r="E2" s="1194">
        <v>1</v>
      </c>
      <c r="R2" s="310"/>
      <c r="S2" s="832" t="e">
        <f>INDEX(PT_DIFFERENTIATION_NUM_NTAR,MATCH(A2,PT_DIFFERENTIATION_NTAR_ID,0))</f>
        <v>#N/A</v>
      </c>
      <c r="T2" s="795" t="s">
        <v>136</v>
      </c>
      <c r="U2" s="833"/>
      <c r="V2" s="1180"/>
      <c r="W2" s="1181"/>
      <c r="X2" s="1181"/>
      <c r="Y2" s="1181"/>
      <c r="Z2" s="1181"/>
      <c r="AA2" s="1181"/>
      <c r="AB2" s="1182"/>
      <c r="AC2" s="1180" t="e">
        <f>INDEX(PT_DIFFERENTIATION_NTAR,MATCH(A2,PT_DIFFERENTIATION_NTAR_ID,0))</f>
        <v>#N/A</v>
      </c>
      <c r="AD2" s="1181"/>
      <c r="AE2" s="1181"/>
      <c r="AF2" s="1181"/>
      <c r="AG2" s="1181"/>
      <c r="AH2" s="1181"/>
      <c r="AI2" s="1181"/>
      <c r="AJ2" s="1182"/>
      <c r="AK2"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2" s="582" t="str">
        <f t="shared" ref="AN2:AN13" si="0">IF(T2="","",T2)</f>
        <v>Наименование тарифа</v>
      </c>
      <c r="AQ2" s="538">
        <v>0</v>
      </c>
    </row>
    <row r="3" spans="5:43" ht="23.25" hidden="1" customHeight="1">
      <c r="E3" s="1195"/>
      <c r="F3" s="1194">
        <v>1</v>
      </c>
      <c r="Q3" s="836"/>
      <c r="R3" s="837"/>
      <c r="S3" s="832" t="e">
        <f>INDEX(PT_DIFFERENTIATION_NUM_TER,MATCH(B3,PT_DIFFERENTIATION_TER_ID,0))</f>
        <v>#N/A</v>
      </c>
      <c r="T3" s="838" t="s">
        <v>408</v>
      </c>
      <c r="U3" s="833"/>
      <c r="V3" s="1180"/>
      <c r="W3" s="1181"/>
      <c r="X3" s="1181"/>
      <c r="Y3" s="1181"/>
      <c r="Z3" s="1181"/>
      <c r="AA3" s="1181"/>
      <c r="AB3" s="1182"/>
      <c r="AC3" s="1180" t="e">
        <f>INDEX(PT_DIFFERENTIATION_TER,MATCH(B3,PT_DIFFERENTIATION_TER_ID,0))</f>
        <v>#N/A</v>
      </c>
      <c r="AD3" s="1181"/>
      <c r="AE3" s="1181"/>
      <c r="AF3" s="1181"/>
      <c r="AG3" s="1181"/>
      <c r="AH3" s="1181"/>
      <c r="AI3" s="1181"/>
      <c r="AJ3" s="1182"/>
      <c r="AK3" s="835" t="s">
        <v>409</v>
      </c>
      <c r="AN3" s="582" t="str">
        <f t="shared" si="0"/>
        <v>Территория действия тарифа</v>
      </c>
      <c r="AQ3" s="538">
        <v>0</v>
      </c>
    </row>
    <row r="4" spans="5:43" ht="23.25" hidden="1" customHeight="1">
      <c r="E4" s="1195"/>
      <c r="F4" s="1195"/>
      <c r="G4" s="1194">
        <v>1</v>
      </c>
      <c r="Q4" s="836"/>
      <c r="R4" s="837"/>
      <c r="S4" s="832" t="e">
        <f>INDEX(PT_DIFFERENTIATION_NUM_CS,MATCH(C4,PT_DIFFERENTIATION_CS_ID,0))</f>
        <v>#N/A</v>
      </c>
      <c r="T4" s="839" t="s">
        <v>492</v>
      </c>
      <c r="U4" s="833"/>
      <c r="V4" s="1180"/>
      <c r="W4" s="1181"/>
      <c r="X4" s="1181"/>
      <c r="Y4" s="1181"/>
      <c r="Z4" s="1181"/>
      <c r="AA4" s="1181"/>
      <c r="AB4" s="1182"/>
      <c r="AC4" s="1180" t="e">
        <f>INDEX(PT_DIFFERENTIATION_CS,MATCH(C4,PT_DIFFERENTIATION_CS_ID,0))</f>
        <v>#N/A</v>
      </c>
      <c r="AD4" s="1181"/>
      <c r="AE4" s="1181"/>
      <c r="AF4" s="1181"/>
      <c r="AG4" s="1181"/>
      <c r="AH4" s="1181"/>
      <c r="AI4" s="1181"/>
      <c r="AJ4" s="1182"/>
      <c r="AK4" s="835" t="s">
        <v>493</v>
      </c>
      <c r="AN4" s="582" t="str">
        <f t="shared" si="0"/>
        <v>Наименование централизованной системы холодного водоснабжения</v>
      </c>
      <c r="AQ4" s="538">
        <v>0</v>
      </c>
    </row>
    <row r="5" spans="5:43" ht="23.25" hidden="1" customHeight="1">
      <c r="E5" s="1195"/>
      <c r="F5" s="1195"/>
      <c r="G5" s="1195"/>
      <c r="H5" s="1195"/>
      <c r="I5" s="1192" t="e">
        <f>S4&amp;".1"</f>
        <v>#N/A</v>
      </c>
      <c r="P5" s="1193">
        <v>1</v>
      </c>
      <c r="R5" s="842"/>
      <c r="S5" s="832" t="e">
        <f>$I5</f>
        <v>#N/A</v>
      </c>
      <c r="T5" s="843" t="s">
        <v>494</v>
      </c>
      <c r="U5" s="833"/>
      <c r="V5" s="1260"/>
      <c r="W5" s="1261"/>
      <c r="X5" s="1261"/>
      <c r="Y5" s="1261"/>
      <c r="Z5" s="1261"/>
      <c r="AA5" s="1261"/>
      <c r="AB5" s="1262"/>
      <c r="AC5" s="1263"/>
      <c r="AD5" s="1264"/>
      <c r="AE5" s="1264"/>
      <c r="AF5" s="1264"/>
      <c r="AG5" s="1264"/>
      <c r="AH5" s="1264"/>
      <c r="AI5" s="1264"/>
      <c r="AJ5" s="1265"/>
      <c r="AK5" s="835" t="s">
        <v>495</v>
      </c>
      <c r="AN5" s="582" t="str">
        <f t="shared" si="0"/>
        <v>Наименование признака дифференциации</v>
      </c>
      <c r="AQ5" s="538">
        <v>0</v>
      </c>
    </row>
    <row r="6" spans="5:43" ht="23.25" hidden="1" customHeight="1">
      <c r="E6" s="1195"/>
      <c r="F6" s="1195"/>
      <c r="G6" s="1195"/>
      <c r="H6" s="1195"/>
      <c r="I6" s="1214"/>
      <c r="J6" s="1192" t="e">
        <f>I5&amp;".1"</f>
        <v>#N/A</v>
      </c>
      <c r="L6" s="841" t="s">
        <v>417</v>
      </c>
      <c r="P6" s="1031"/>
      <c r="Q6" s="1193">
        <v>1</v>
      </c>
      <c r="R6" s="844"/>
      <c r="S6" s="832" t="e">
        <f>$J6</f>
        <v>#N/A</v>
      </c>
      <c r="T6" s="845" t="s">
        <v>418</v>
      </c>
      <c r="U6" s="833"/>
      <c r="V6" s="1183"/>
      <c r="W6" s="1184"/>
      <c r="X6" s="1184"/>
      <c r="Y6" s="1184"/>
      <c r="Z6" s="1184"/>
      <c r="AA6" s="1184"/>
      <c r="AB6" s="1185"/>
      <c r="AC6" s="1183"/>
      <c r="AD6" s="1184"/>
      <c r="AE6" s="1184"/>
      <c r="AF6" s="1184"/>
      <c r="AG6" s="1184"/>
      <c r="AH6" s="1184"/>
      <c r="AI6" s="1184"/>
      <c r="AJ6" s="1185"/>
      <c r="AK6" s="874" t="s">
        <v>496</v>
      </c>
      <c r="AN6" s="582" t="str">
        <f t="shared" si="0"/>
        <v>Группа потребителей</v>
      </c>
      <c r="AQ6" s="538">
        <v>0</v>
      </c>
    </row>
    <row r="7" spans="5:43" ht="23.25" hidden="1" customHeight="1">
      <c r="E7" s="1195"/>
      <c r="F7" s="1195"/>
      <c r="G7" s="1195"/>
      <c r="H7" s="1195"/>
      <c r="I7" s="1214"/>
      <c r="J7" s="1214"/>
      <c r="K7" s="1192" t="e">
        <f>J6&amp;".1"</f>
        <v>#N/A</v>
      </c>
      <c r="P7" s="1031"/>
      <c r="Q7" s="1031"/>
      <c r="R7" s="844">
        <v>1</v>
      </c>
      <c r="S7" s="832" t="e">
        <f>$K7</f>
        <v>#N/A</v>
      </c>
      <c r="T7" s="397"/>
      <c r="U7" s="833"/>
      <c r="V7" s="311"/>
      <c r="W7" s="311"/>
      <c r="X7" s="313"/>
      <c r="Y7" s="1197"/>
      <c r="Z7" s="1058" t="s">
        <v>61</v>
      </c>
      <c r="AA7" s="1197"/>
      <c r="AB7" s="1058" t="s">
        <v>61</v>
      </c>
      <c r="AC7" s="311"/>
      <c r="AD7" s="311"/>
      <c r="AE7" s="313"/>
      <c r="AF7" s="1197"/>
      <c r="AG7" s="1058" t="s">
        <v>61</v>
      </c>
      <c r="AH7" s="1215"/>
      <c r="AI7" s="1058" t="s">
        <v>61</v>
      </c>
      <c r="AJ7" s="398"/>
      <c r="AK7" s="1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7" t="e">
        <f ca="1">STRCHECKDATE(V8:AJ8)</f>
        <v>#NAME?</v>
      </c>
      <c r="AN7" s="582" t="str">
        <f t="shared" si="0"/>
        <v/>
      </c>
      <c r="AQ7" s="538">
        <v>0</v>
      </c>
    </row>
    <row r="8" spans="5:43" ht="14.25" hidden="1" customHeight="1">
      <c r="E8" s="1195"/>
      <c r="F8" s="1195"/>
      <c r="G8" s="1195"/>
      <c r="H8" s="1195"/>
      <c r="I8" s="1214"/>
      <c r="J8" s="1214"/>
      <c r="K8" s="1192"/>
      <c r="P8" s="1031"/>
      <c r="Q8" s="1031"/>
      <c r="R8" s="844"/>
      <c r="S8" s="127"/>
      <c r="T8" s="833"/>
      <c r="U8" s="833"/>
      <c r="V8" s="312"/>
      <c r="W8" s="312"/>
      <c r="X8" s="314" t="str">
        <f>Y7&amp;"-"&amp;AA7</f>
        <v>-</v>
      </c>
      <c r="Y8" s="1198"/>
      <c r="Z8" s="1058"/>
      <c r="AA8" s="1198"/>
      <c r="AB8" s="1058"/>
      <c r="AC8" s="312"/>
      <c r="AD8" s="312"/>
      <c r="AE8" s="314" t="str">
        <f>AF7&amp;"-"&amp;AH7</f>
        <v>-</v>
      </c>
      <c r="AF8" s="1198"/>
      <c r="AG8" s="1058"/>
      <c r="AH8" s="1216"/>
      <c r="AI8" s="1058"/>
      <c r="AJ8" s="387"/>
      <c r="AK8" s="1259"/>
      <c r="AN8" s="582" t="str">
        <f t="shared" si="0"/>
        <v/>
      </c>
      <c r="AQ8" s="538">
        <v>0</v>
      </c>
    </row>
    <row r="9" spans="5:43" ht="21" hidden="1" customHeight="1">
      <c r="E9" s="1195"/>
      <c r="F9" s="1195"/>
      <c r="G9" s="1195"/>
      <c r="H9" s="1195"/>
      <c r="I9" s="1214"/>
      <c r="J9" s="1192"/>
      <c r="P9" s="1031"/>
      <c r="Q9" s="1031"/>
      <c r="R9" s="842"/>
      <c r="S9" s="315"/>
      <c r="T9" s="318" t="s">
        <v>497</v>
      </c>
      <c r="U9" s="52"/>
      <c r="V9" s="52"/>
      <c r="W9" s="52"/>
      <c r="X9" s="52"/>
      <c r="Y9" s="52"/>
      <c r="Z9" s="52"/>
      <c r="AA9" s="52"/>
      <c r="AB9" s="52"/>
      <c r="AC9" s="52"/>
      <c r="AD9" s="52"/>
      <c r="AE9" s="52"/>
      <c r="AF9" s="52"/>
      <c r="AG9" s="52"/>
      <c r="AH9" s="52"/>
      <c r="AI9" s="52"/>
      <c r="AJ9" s="52"/>
      <c r="AK9" s="835" t="s">
        <v>498</v>
      </c>
      <c r="AN9" s="582" t="str">
        <f t="shared" si="0"/>
        <v>Добавить значение признака дифференциации</v>
      </c>
      <c r="AQ9" s="538">
        <v>0</v>
      </c>
    </row>
    <row r="10" spans="5:43" ht="21" hidden="1" customHeight="1">
      <c r="E10" s="1195"/>
      <c r="F10" s="1195"/>
      <c r="G10" s="1195"/>
      <c r="H10" s="1195"/>
      <c r="I10" s="1192"/>
      <c r="P10" s="1031"/>
      <c r="R10" s="842"/>
      <c r="S10" s="315"/>
      <c r="T10" s="321" t="s">
        <v>423</v>
      </c>
      <c r="U10" s="52"/>
      <c r="V10" s="52"/>
      <c r="W10" s="52"/>
      <c r="X10" s="52"/>
      <c r="Y10" s="52"/>
      <c r="Z10" s="52"/>
      <c r="AA10" s="52"/>
      <c r="AB10" s="319"/>
      <c r="AC10" s="52"/>
      <c r="AD10" s="52"/>
      <c r="AE10" s="52"/>
      <c r="AF10" s="52"/>
      <c r="AG10" s="52"/>
      <c r="AH10" s="52"/>
      <c r="AI10" s="319"/>
      <c r="AJ10" s="52"/>
      <c r="AK10" s="399"/>
      <c r="AN10" s="582" t="str">
        <f t="shared" si="0"/>
        <v>Добавить группу потребителей</v>
      </c>
      <c r="AQ10" s="538">
        <v>0</v>
      </c>
    </row>
    <row r="11" spans="5:43" ht="14.25" hidden="1" customHeight="1">
      <c r="E11" s="1195"/>
      <c r="F11" s="1195"/>
      <c r="G11" s="1195"/>
      <c r="H11" s="1194"/>
      <c r="R11" s="310"/>
      <c r="S11" s="315"/>
      <c r="T11" s="376" t="s">
        <v>499</v>
      </c>
      <c r="U11" s="52"/>
      <c r="V11" s="52"/>
      <c r="W11" s="52"/>
      <c r="X11" s="52"/>
      <c r="Y11" s="52"/>
      <c r="Z11" s="52"/>
      <c r="AA11" s="52"/>
      <c r="AB11" s="319"/>
      <c r="AC11" s="52"/>
      <c r="AD11" s="52"/>
      <c r="AE11" s="52"/>
      <c r="AF11" s="52"/>
      <c r="AG11" s="52"/>
      <c r="AH11" s="52"/>
      <c r="AI11" s="319"/>
      <c r="AJ11" s="52"/>
      <c r="AK11" s="320"/>
      <c r="AN11" s="582" t="str">
        <f t="shared" si="0"/>
        <v>Добавить наименование признака дифференциации</v>
      </c>
      <c r="AQ11" s="538">
        <v>0</v>
      </c>
    </row>
    <row r="12" spans="5:43" ht="14.25" hidden="1" customHeight="1">
      <c r="E12" s="1195"/>
      <c r="F12" s="1194"/>
      <c r="T12" s="326" t="s">
        <v>426</v>
      </c>
      <c r="AN12" s="582" t="str">
        <f t="shared" si="0"/>
        <v>Добавить централизованную систему для дифференциации</v>
      </c>
      <c r="AQ12" s="577">
        <v>0</v>
      </c>
    </row>
    <row r="13" spans="5:43" ht="14.25" hidden="1" customHeight="1">
      <c r="E13" s="1194"/>
      <c r="T13" s="326" t="s">
        <v>427</v>
      </c>
      <c r="AN13" s="582" t="str">
        <f t="shared" si="0"/>
        <v>Добавить территорию для дифференциации</v>
      </c>
      <c r="AQ13" s="577">
        <v>0</v>
      </c>
    </row>
    <row r="14" spans="5:43" ht="14.25" hidden="1" customHeight="1">
      <c r="AQ14" s="538">
        <v>0</v>
      </c>
    </row>
    <row r="15" spans="5:43" ht="14.25" hidden="1" customHeight="1">
      <c r="AC15" s="275"/>
      <c r="AD15" s="275"/>
      <c r="AE15" s="327"/>
      <c r="AF15" s="1199"/>
      <c r="AG15" s="1200" t="s">
        <v>61</v>
      </c>
      <c r="AH15" s="1199"/>
      <c r="AI15" s="1200" t="s">
        <v>61</v>
      </c>
      <c r="AQ15" s="538">
        <v>0</v>
      </c>
    </row>
    <row r="16" spans="5:43" ht="14.25" hidden="1" customHeight="1">
      <c r="AC16" s="275"/>
      <c r="AD16" s="275"/>
      <c r="AE16" s="314" t="str">
        <f>AF15&amp;"-"&amp;AH15</f>
        <v>-</v>
      </c>
      <c r="AF16" s="1200"/>
      <c r="AG16" s="1200"/>
      <c r="AH16" s="1200"/>
      <c r="AI16" s="1200"/>
      <c r="AQ16" s="538">
        <v>0</v>
      </c>
    </row>
    <row r="17" spans="15:43" ht="14.25" hidden="1" customHeight="1">
      <c r="AQ17" s="538">
        <v>0</v>
      </c>
    </row>
    <row r="18" spans="15:43" ht="22.5" hidden="1" customHeight="1">
      <c r="O18" s="328" t="s">
        <v>428</v>
      </c>
      <c r="Y18" s="328"/>
      <c r="AA18" s="328"/>
      <c r="AF18" s="328"/>
      <c r="AH18" s="328"/>
      <c r="AQ18" s="555">
        <v>0</v>
      </c>
    </row>
    <row r="19" spans="15:43" ht="14.25" hidden="1" customHeight="1">
      <c r="AQ19" s="555">
        <v>0</v>
      </c>
    </row>
    <row r="20" spans="15:43" ht="12" hidden="1" customHeight="1">
      <c r="O20" s="841" t="s">
        <v>429</v>
      </c>
      <c r="T20" s="555" t="s">
        <v>430</v>
      </c>
      <c r="Z20" s="598" t="s">
        <v>431</v>
      </c>
      <c r="AB20" s="598" t="s">
        <v>432</v>
      </c>
      <c r="AC20" s="555" t="s">
        <v>430</v>
      </c>
      <c r="AG20" s="598" t="s">
        <v>433</v>
      </c>
      <c r="AI20" s="598" t="s">
        <v>432</v>
      </c>
      <c r="AQ20" s="555">
        <v>0</v>
      </c>
    </row>
    <row r="21" spans="15:43" ht="14.25" hidden="1" customHeight="1">
      <c r="AQ21" s="538">
        <v>0</v>
      </c>
    </row>
    <row r="22" spans="15:43" ht="14.25" hidden="1" customHeight="1">
      <c r="AQ22" s="538">
        <v>0</v>
      </c>
    </row>
    <row r="23" spans="15:43" ht="14.65" customHeight="1">
      <c r="Q23" s="756"/>
      <c r="R23" s="756"/>
      <c r="S23" s="847"/>
      <c r="T23" s="556"/>
      <c r="U23" s="556"/>
      <c r="AQ23" s="538">
        <v>14</v>
      </c>
    </row>
    <row r="24" spans="15:43" ht="14.65" customHeight="1">
      <c r="Q24" s="756"/>
      <c r="R24" s="756"/>
      <c r="S24" s="11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178"/>
      <c r="U24" s="1178"/>
      <c r="V24" s="1178"/>
      <c r="W24" s="1178"/>
      <c r="X24" s="1178"/>
      <c r="Y24" s="1178"/>
      <c r="Z24" s="1178"/>
      <c r="AA24" s="1178"/>
      <c r="AB24" s="1178"/>
      <c r="AC24" s="1178"/>
      <c r="AD24" s="1178"/>
      <c r="AE24" s="1178"/>
      <c r="AF24" s="1178"/>
      <c r="AG24" s="1178"/>
      <c r="AH24" s="1178"/>
      <c r="AQ24" s="538">
        <v>14</v>
      </c>
    </row>
    <row r="25" spans="15:43" ht="14.65" customHeight="1">
      <c r="Q25" s="756"/>
      <c r="R25" s="756"/>
      <c r="S25" s="1127" t="str">
        <f>IF(org=0,"Не определено",org)</f>
        <v>АО "НИЖЕГОРОДСКИЙ ВОДОКАНАЛ"</v>
      </c>
      <c r="T25" s="1127"/>
      <c r="U25" s="1127"/>
      <c r="V25" s="1127"/>
      <c r="W25" s="1127"/>
      <c r="X25" s="1127"/>
      <c r="Y25" s="1127"/>
      <c r="Z25" s="1127"/>
      <c r="AA25" s="1127"/>
      <c r="AB25" s="1127"/>
      <c r="AC25" s="1127"/>
      <c r="AD25" s="1127"/>
      <c r="AE25" s="1127"/>
      <c r="AF25" s="1127"/>
      <c r="AG25" s="1127"/>
      <c r="AH25" s="1127"/>
      <c r="AQ25" s="538">
        <v>14</v>
      </c>
    </row>
    <row r="26" spans="15:43" ht="14.25" hidden="1" customHeight="1">
      <c r="Q26" s="756"/>
      <c r="R26" s="756"/>
      <c r="S26" s="847"/>
      <c r="T26" s="556"/>
      <c r="U26" s="556"/>
      <c r="V26" s="826"/>
      <c r="W26" s="826"/>
      <c r="X26" s="826"/>
      <c r="Y26" s="826"/>
      <c r="Z26" s="826"/>
      <c r="AA26" s="826"/>
      <c r="AB26" s="826"/>
      <c r="AC26" s="826"/>
      <c r="AD26" s="826"/>
      <c r="AE26" s="826"/>
      <c r="AF26" s="826"/>
      <c r="AG26" s="826"/>
      <c r="AH26" s="826"/>
      <c r="AI26" s="826"/>
      <c r="AQ26" s="538">
        <v>0</v>
      </c>
    </row>
    <row r="27" spans="15:43" ht="25.5" hidden="1" customHeight="1">
      <c r="S27" s="1186" t="s">
        <v>41</v>
      </c>
      <c r="T27" s="1186"/>
      <c r="U27" s="849"/>
      <c r="V27" s="1187" t="str">
        <f>IF(TITLE_NAME_OR_PR_CHANGE="",IF(TITLE_NAME_OR_PR="","",TITLE_NAME_OR_PR),TITLE_NAME_OR_PR_CHANGE)</f>
        <v/>
      </c>
      <c r="W27" s="1187"/>
      <c r="X27" s="1187"/>
      <c r="Y27" s="1187"/>
      <c r="Z27" s="1187"/>
      <c r="AA27" s="1187"/>
      <c r="AC27" s="1187" t="str">
        <f>IF(TITLE_NAME_OR_PR_CHANGE="",IF(TITLE_NAME_OR_PR="","",TITLE_NAME_OR_PR),TITLE_NAME_OR_PR_CHANGE)</f>
        <v/>
      </c>
      <c r="AD27" s="1187"/>
      <c r="AE27" s="1187"/>
      <c r="AF27" s="1187"/>
      <c r="AG27" s="1187"/>
      <c r="AH27" s="1187"/>
      <c r="AQ27" s="592">
        <v>0</v>
      </c>
    </row>
    <row r="28" spans="15:43" ht="18.75" hidden="1" customHeight="1">
      <c r="S28" s="1186" t="s">
        <v>434</v>
      </c>
      <c r="T28" s="1186"/>
      <c r="U28" s="849"/>
      <c r="V28" s="1196" t="str">
        <f>IF(TITLE_DATE_PR_CHANGE="",IF(TITLE_DATE_PR="","",TITLE_DATE_PR),TITLE_DATE_PR_CHANGE)</f>
        <v/>
      </c>
      <c r="W28" s="1196"/>
      <c r="X28" s="1196"/>
      <c r="Y28" s="1196"/>
      <c r="Z28" s="1196"/>
      <c r="AA28" s="1196"/>
      <c r="AC28" s="1196" t="str">
        <f>IF(TITLE_DATE_PR_CHANGE="",IF(TITLE_DATE_PR="","",TITLE_DATE_PR),TITLE_DATE_PR_CHANGE)</f>
        <v/>
      </c>
      <c r="AD28" s="1196"/>
      <c r="AE28" s="1196"/>
      <c r="AF28" s="1196"/>
      <c r="AG28" s="1196"/>
      <c r="AH28" s="1196"/>
      <c r="AQ28" s="592">
        <v>0</v>
      </c>
    </row>
    <row r="29" spans="15:43" ht="18.75" hidden="1" customHeight="1">
      <c r="S29" s="1186" t="s">
        <v>435</v>
      </c>
      <c r="T29" s="1186"/>
      <c r="U29" s="849"/>
      <c r="V29" s="1187" t="str">
        <f>IF(TITLE_NUMBER_PR_CHANGE="",IF(TITLE_NUMBER_PR="","",TITLE_NUMBER_PR),TITLE_NUMBER_PR_CHANGE)</f>
        <v/>
      </c>
      <c r="W29" s="1187"/>
      <c r="X29" s="1187"/>
      <c r="Y29" s="1187"/>
      <c r="Z29" s="1187"/>
      <c r="AA29" s="1187"/>
      <c r="AC29" s="1187" t="str">
        <f>IF(TITLE_NUMBER_PR_CHANGE="",IF(TITLE_NUMBER_PR="","",TITLE_NUMBER_PR),TITLE_NUMBER_PR_CHANGE)</f>
        <v/>
      </c>
      <c r="AD29" s="1187"/>
      <c r="AE29" s="1187"/>
      <c r="AF29" s="1187"/>
      <c r="AG29" s="1187"/>
      <c r="AH29" s="1187"/>
      <c r="AQ29" s="592">
        <v>0</v>
      </c>
    </row>
    <row r="30" spans="15:43" ht="18.75" hidden="1" customHeight="1">
      <c r="S30" s="1186" t="s">
        <v>42</v>
      </c>
      <c r="T30" s="1186"/>
      <c r="U30" s="849"/>
      <c r="V30" s="1187" t="str">
        <f>IF(TITLE_IST_PUB_CHANGE="",IF(TITLE_IST_PUB="","",TITLE_IST_PUB),TITLE_IST_PUB_CHANGE)</f>
        <v/>
      </c>
      <c r="W30" s="1187"/>
      <c r="X30" s="1187"/>
      <c r="Y30" s="1187"/>
      <c r="Z30" s="1187"/>
      <c r="AA30" s="1187"/>
      <c r="AC30" s="1187" t="str">
        <f>IF(TITLE_IST_PUB_CHANGE="",IF(TITLE_IST_PUB="","",TITLE_IST_PUB),TITLE_IST_PUB_CHANGE)</f>
        <v/>
      </c>
      <c r="AD30" s="1187"/>
      <c r="AE30" s="1187"/>
      <c r="AF30" s="1187"/>
      <c r="AG30" s="1187"/>
      <c r="AH30" s="1187"/>
      <c r="AQ30" s="592">
        <v>0</v>
      </c>
    </row>
    <row r="31" spans="15:43" ht="14.25" hidden="1" customHeight="1">
      <c r="Q31" s="756"/>
      <c r="R31" s="756"/>
      <c r="S31" s="847"/>
      <c r="T31" s="556"/>
      <c r="U31" s="556"/>
      <c r="V31" s="826"/>
      <c r="W31" s="826"/>
      <c r="X31" s="826"/>
      <c r="Y31" s="826"/>
      <c r="Z31" s="826"/>
      <c r="AA31" s="826"/>
      <c r="AB31" s="826"/>
      <c r="AC31" s="826"/>
      <c r="AD31" s="826"/>
      <c r="AE31" s="826"/>
      <c r="AF31" s="826"/>
      <c r="AG31" s="826"/>
      <c r="AH31" s="826"/>
      <c r="AI31" s="826"/>
      <c r="AQ31" s="538">
        <v>0</v>
      </c>
    </row>
    <row r="32" spans="15:43" ht="18.75" hidden="1" customHeight="1">
      <c r="S32" s="1186" t="s">
        <v>436</v>
      </c>
      <c r="T32" s="1186"/>
      <c r="U32" s="849"/>
      <c r="V32" s="1196" t="str">
        <f>IF(TITLE_DATE_PR_CHANGE="",IF(TITLE_DATE_PR="","",TITLE_DATE_PR),TITLE_DATE_PR_CHANGE)</f>
        <v/>
      </c>
      <c r="W32" s="1196"/>
      <c r="X32" s="1196"/>
      <c r="Y32" s="1196"/>
      <c r="Z32" s="1196"/>
      <c r="AA32" s="1196"/>
      <c r="AC32" s="1196" t="str">
        <f>IF(TITLE_DATE_PR_CHANGE="",IF(TITLE_DATE_PR="","",TITLE_DATE_PR),TITLE_DATE_PR_CHANGE)</f>
        <v/>
      </c>
      <c r="AD32" s="1196"/>
      <c r="AE32" s="1196"/>
      <c r="AF32" s="1196"/>
      <c r="AG32" s="1196"/>
      <c r="AH32" s="1196"/>
      <c r="AQ32" s="592">
        <v>0</v>
      </c>
    </row>
    <row r="33" spans="1:43" ht="18.75" hidden="1" customHeight="1">
      <c r="S33" s="1186" t="s">
        <v>437</v>
      </c>
      <c r="T33" s="1186"/>
      <c r="U33" s="849"/>
      <c r="V33" s="1187" t="str">
        <f>IF(TITLE_NUMBER_PR_CHANGE="",IF(TITLE_NUMBER_PR="","",TITLE_NUMBER_PR),TITLE_NUMBER_PR_CHANGE)</f>
        <v/>
      </c>
      <c r="W33" s="1187"/>
      <c r="X33" s="1187"/>
      <c r="Y33" s="1187"/>
      <c r="Z33" s="1187"/>
      <c r="AA33" s="1187"/>
      <c r="AC33" s="1187" t="str">
        <f>IF(TITLE_NUMBER_PR_CHANGE="",IF(TITLE_NUMBER_PR="","",TITLE_NUMBER_PR),TITLE_NUMBER_PR_CHANGE)</f>
        <v/>
      </c>
      <c r="AD33" s="1187"/>
      <c r="AE33" s="1187"/>
      <c r="AF33" s="1187"/>
      <c r="AG33" s="1187"/>
      <c r="AH33" s="1187"/>
      <c r="AQ33" s="592">
        <v>0</v>
      </c>
    </row>
    <row r="34" spans="1:43" ht="1.1499999999999999" customHeight="1">
      <c r="AB34" s="577" t="s">
        <v>438</v>
      </c>
      <c r="AI34" s="577" t="s">
        <v>438</v>
      </c>
      <c r="AQ34" s="592">
        <v>1</v>
      </c>
    </row>
    <row r="35" spans="1:43" ht="14.65" customHeight="1">
      <c r="Q35" s="756"/>
      <c r="R35" s="756"/>
      <c r="S35" s="847"/>
      <c r="T35" s="556"/>
      <c r="U35" s="850"/>
      <c r="V35" s="1188"/>
      <c r="W35" s="1188"/>
      <c r="X35" s="1188"/>
      <c r="Y35" s="1188"/>
      <c r="Z35" s="1188"/>
      <c r="AA35" s="1188"/>
      <c r="AB35" s="1188"/>
      <c r="AC35" s="1188"/>
      <c r="AD35" s="1188"/>
      <c r="AE35" s="1188"/>
      <c r="AF35" s="1188"/>
      <c r="AG35" s="1188"/>
      <c r="AH35" s="1188"/>
      <c r="AI35" s="1188"/>
      <c r="AQ35" s="538">
        <v>14</v>
      </c>
    </row>
    <row r="36" spans="1:43" ht="14.65" customHeight="1">
      <c r="Q36" s="756"/>
      <c r="R36" s="756"/>
      <c r="S36" s="1066" t="s">
        <v>311</v>
      </c>
      <c r="T36" s="1066"/>
      <c r="U36" s="1066"/>
      <c r="V36" s="1066"/>
      <c r="W36" s="1066"/>
      <c r="X36" s="1066"/>
      <c r="Y36" s="1066"/>
      <c r="Z36" s="1066"/>
      <c r="AA36" s="1066"/>
      <c r="AB36" s="1066"/>
      <c r="AC36" s="1066"/>
      <c r="AD36" s="1066"/>
      <c r="AE36" s="1066"/>
      <c r="AF36" s="1066"/>
      <c r="AG36" s="1066"/>
      <c r="AH36" s="1066"/>
      <c r="AI36" s="1066"/>
      <c r="AJ36" s="1066"/>
      <c r="AK36" s="1066" t="s">
        <v>312</v>
      </c>
      <c r="AQ36" s="538">
        <v>14</v>
      </c>
    </row>
    <row r="37" spans="1:43" ht="14.65" customHeight="1">
      <c r="Q37" s="756"/>
      <c r="R37" s="756"/>
      <c r="S37" s="1202" t="s">
        <v>87</v>
      </c>
      <c r="T37" s="1154" t="s">
        <v>439</v>
      </c>
      <c r="U37" s="817"/>
      <c r="V37" s="1203" t="s">
        <v>440</v>
      </c>
      <c r="W37" s="1204"/>
      <c r="X37" s="1204"/>
      <c r="Y37" s="1204"/>
      <c r="Z37" s="1204"/>
      <c r="AA37" s="1205"/>
      <c r="AB37" s="1206" t="s">
        <v>441</v>
      </c>
      <c r="AC37" s="1203" t="s">
        <v>440</v>
      </c>
      <c r="AD37" s="1204"/>
      <c r="AE37" s="1204"/>
      <c r="AF37" s="1204"/>
      <c r="AG37" s="1204"/>
      <c r="AH37" s="1205"/>
      <c r="AI37" s="1206" t="s">
        <v>442</v>
      </c>
      <c r="AJ37" s="1209" t="s">
        <v>443</v>
      </c>
      <c r="AK37" s="1066"/>
      <c r="AQ37" s="538">
        <v>14</v>
      </c>
    </row>
    <row r="38" spans="1:43" ht="35.65" customHeight="1">
      <c r="Q38" s="756"/>
      <c r="R38" s="756"/>
      <c r="S38" s="1202"/>
      <c r="T38" s="1154"/>
      <c r="U38" s="822"/>
      <c r="V38" s="617" t="s">
        <v>500</v>
      </c>
      <c r="W38" s="1048" t="s">
        <v>446</v>
      </c>
      <c r="X38" s="1047"/>
      <c r="Y38" s="1048" t="s">
        <v>447</v>
      </c>
      <c r="Z38" s="1053"/>
      <c r="AA38" s="1047"/>
      <c r="AB38" s="1207"/>
      <c r="AC38" s="617" t="s">
        <v>500</v>
      </c>
      <c r="AD38" s="1048" t="s">
        <v>446</v>
      </c>
      <c r="AE38" s="1047"/>
      <c r="AF38" s="1048" t="s">
        <v>447</v>
      </c>
      <c r="AG38" s="1053"/>
      <c r="AH38" s="1047"/>
      <c r="AI38" s="1207"/>
      <c r="AJ38" s="1210"/>
      <c r="AK38" s="1066"/>
      <c r="AQ38" s="538">
        <v>34</v>
      </c>
    </row>
    <row r="39" spans="1:43" ht="35.65" customHeight="1">
      <c r="B39" s="598" t="s">
        <v>148</v>
      </c>
      <c r="C39" s="598" t="s">
        <v>149</v>
      </c>
      <c r="D39" s="598" t="s">
        <v>150</v>
      </c>
      <c r="E39" s="841" t="s">
        <v>448</v>
      </c>
      <c r="F39" s="841" t="s">
        <v>449</v>
      </c>
      <c r="G39" s="841" t="s">
        <v>450</v>
      </c>
      <c r="I39" s="841" t="s">
        <v>501</v>
      </c>
      <c r="J39" s="841" t="s">
        <v>453</v>
      </c>
      <c r="K39" s="841" t="s">
        <v>502</v>
      </c>
      <c r="L39" s="841" t="s">
        <v>429</v>
      </c>
      <c r="Q39" s="756"/>
      <c r="R39" s="756"/>
      <c r="S39" s="1202"/>
      <c r="T39" s="1154"/>
      <c r="U39" s="852"/>
      <c r="V39" s="617" t="s">
        <v>503</v>
      </c>
      <c r="W39" s="602" t="s">
        <v>504</v>
      </c>
      <c r="X39" s="602" t="s">
        <v>505</v>
      </c>
      <c r="Y39" s="602" t="s">
        <v>457</v>
      </c>
      <c r="Z39" s="1162" t="s">
        <v>458</v>
      </c>
      <c r="AA39" s="1164"/>
      <c r="AB39" s="1208"/>
      <c r="AC39" s="617" t="s">
        <v>503</v>
      </c>
      <c r="AD39" s="602" t="s">
        <v>504</v>
      </c>
      <c r="AE39" s="602" t="s">
        <v>505</v>
      </c>
      <c r="AF39" s="602" t="s">
        <v>457</v>
      </c>
      <c r="AG39" s="1162" t="s">
        <v>458</v>
      </c>
      <c r="AH39" s="1164"/>
      <c r="AI39" s="1208"/>
      <c r="AJ39" s="1211"/>
      <c r="AK39" s="1066"/>
      <c r="AQ39" s="538">
        <v>34</v>
      </c>
    </row>
    <row r="40" spans="1:43" ht="11.25" hidden="1" customHeight="1">
      <c r="Q40" s="853"/>
      <c r="R40" s="854">
        <v>1</v>
      </c>
      <c r="S40" s="329" t="s">
        <v>114</v>
      </c>
      <c r="T40" s="330" t="s">
        <v>102</v>
      </c>
      <c r="U40" s="855" t="str">
        <f ca="1">OFFSET(U40,0,-1)</f>
        <v>2</v>
      </c>
      <c r="V40" s="856">
        <f ca="1">OFFSET(V40,0,-1)+1</f>
        <v>3</v>
      </c>
      <c r="W40" s="856">
        <f ca="1">OFFSET(W40,0,-1)+1</f>
        <v>4</v>
      </c>
      <c r="X40" s="856">
        <f ca="1">OFFSET(X40,0,-1)+1</f>
        <v>5</v>
      </c>
      <c r="Y40" s="856">
        <f ca="1">OFFSET(Y40,0,-1)+1</f>
        <v>6</v>
      </c>
      <c r="Z40" s="1201">
        <f ca="1">OFFSET(Z40,0,-1)+1</f>
        <v>7</v>
      </c>
      <c r="AA40" s="1201"/>
      <c r="AB40" s="856">
        <f ca="1">OFFSET(AB40,0,-2)+1</f>
        <v>8</v>
      </c>
      <c r="AC40" s="856">
        <f ca="1">OFFSET(AC40,0,-1)+1</f>
        <v>9</v>
      </c>
      <c r="AD40" s="856">
        <f ca="1">OFFSET(AD40,0,-1)+1</f>
        <v>10</v>
      </c>
      <c r="AE40" s="856">
        <f ca="1">OFFSET(AE40,0,-1)+1</f>
        <v>11</v>
      </c>
      <c r="AF40" s="856">
        <f ca="1">OFFSET(AF40,0,-1)+1</f>
        <v>12</v>
      </c>
      <c r="AG40" s="1201">
        <f ca="1">OFFSET(AG40,0,-1)+1</f>
        <v>13</v>
      </c>
      <c r="AH40" s="1201"/>
      <c r="AI40" s="856">
        <f ca="1">OFFSET(AI40,0,-2)+1</f>
        <v>14</v>
      </c>
      <c r="AJ40" s="855">
        <f ca="1">OFFSET(AJ40,0,-1)</f>
        <v>14</v>
      </c>
      <c r="AK40" s="856">
        <f ca="1">OFFSET(AK40,0,-1)+1</f>
        <v>15</v>
      </c>
      <c r="AQ40" s="681">
        <v>0</v>
      </c>
    </row>
    <row r="41" spans="1:43" ht="24" customHeight="1">
      <c r="A41" s="857" t="s">
        <v>237</v>
      </c>
      <c r="E41" s="1194">
        <v>1</v>
      </c>
      <c r="R41" s="310"/>
      <c r="S41" s="832">
        <f>INDEX(PT_DIFFERENTIATION_NUM_NTAR,MATCH(A41,PT_DIFFERENTIATION_NTAR_ID,0))</f>
        <v>0</v>
      </c>
      <c r="T41" s="795" t="s">
        <v>136</v>
      </c>
      <c r="U41" s="833"/>
      <c r="V41" s="1180"/>
      <c r="W41" s="1181"/>
      <c r="X41" s="1181"/>
      <c r="Y41" s="1181"/>
      <c r="Z41" s="1181"/>
      <c r="AA41" s="1181"/>
      <c r="AB41" s="1182"/>
      <c r="AC41" s="1180" t="str">
        <f>INDEX(PT_DIFFERENTIATION_NTAR,MATCH(A41,PT_DIFFERENTIATION_NTAR_ID,0))</f>
        <v/>
      </c>
      <c r="AD41" s="1181"/>
      <c r="AE41" s="1181"/>
      <c r="AF41" s="1181"/>
      <c r="AG41" s="1181"/>
      <c r="AH41" s="1181"/>
      <c r="AI41" s="1181"/>
      <c r="AJ41" s="1182"/>
      <c r="AK41"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41" s="582" t="str">
        <f t="shared" ref="AN41:AN53" si="1">IF(T41="","",T41)</f>
        <v>Наименование тарифа</v>
      </c>
      <c r="AQ41" s="538">
        <v>23</v>
      </c>
    </row>
    <row r="42" spans="1:43" ht="24" customHeight="1">
      <c r="A42" s="857" t="s">
        <v>237</v>
      </c>
      <c r="B42" s="857" t="s">
        <v>238</v>
      </c>
      <c r="E42" s="1195"/>
      <c r="F42" s="1194">
        <v>1</v>
      </c>
      <c r="Q42" s="836"/>
      <c r="R42" s="837"/>
      <c r="S42" s="832" t="str">
        <f>INDEX(PT_DIFFERENTIATION_NUM_TER,MATCH(B42,PT_DIFFERENTIATION_TER_ID,0))</f>
        <v>.</v>
      </c>
      <c r="T42" s="838" t="s">
        <v>408</v>
      </c>
      <c r="U42" s="833"/>
      <c r="V42" s="1180"/>
      <c r="W42" s="1181"/>
      <c r="X42" s="1181"/>
      <c r="Y42" s="1181"/>
      <c r="Z42" s="1181"/>
      <c r="AA42" s="1181"/>
      <c r="AB42" s="1182"/>
      <c r="AC42" s="1180" t="str">
        <f>INDEX(PT_DIFFERENTIATION_TER,MATCH(B42,PT_DIFFERENTIATION_TER_ID,0))</f>
        <v/>
      </c>
      <c r="AD42" s="1181"/>
      <c r="AE42" s="1181"/>
      <c r="AF42" s="1181"/>
      <c r="AG42" s="1181"/>
      <c r="AH42" s="1181"/>
      <c r="AI42" s="1181"/>
      <c r="AJ42" s="1182"/>
      <c r="AK42" s="835" t="s">
        <v>409</v>
      </c>
      <c r="AN42" s="582" t="str">
        <f t="shared" si="1"/>
        <v>Территория действия тарифа</v>
      </c>
      <c r="AQ42" s="538">
        <v>23</v>
      </c>
    </row>
    <row r="43" spans="1:43" ht="24" customHeight="1">
      <c r="A43" s="857" t="s">
        <v>237</v>
      </c>
      <c r="B43" s="857" t="s">
        <v>238</v>
      </c>
      <c r="C43" s="857" t="s">
        <v>239</v>
      </c>
      <c r="E43" s="1195"/>
      <c r="F43" s="1195"/>
      <c r="G43" s="1194">
        <v>1</v>
      </c>
      <c r="Q43" s="836"/>
      <c r="R43" s="837"/>
      <c r="S43" s="832" t="str">
        <f>INDEX(PT_DIFFERENTIATION_NUM_CS,MATCH(C43,PT_DIFFERENTIATION_CS_ID,0))</f>
        <v>..</v>
      </c>
      <c r="T43" s="839" t="s">
        <v>492</v>
      </c>
      <c r="U43" s="833"/>
      <c r="V43" s="1180"/>
      <c r="W43" s="1181"/>
      <c r="X43" s="1181"/>
      <c r="Y43" s="1181"/>
      <c r="Z43" s="1181"/>
      <c r="AA43" s="1181"/>
      <c r="AB43" s="1182"/>
      <c r="AC43" s="1180" t="str">
        <f>INDEX(PT_DIFFERENTIATION_CS,MATCH(C43,PT_DIFFERENTIATION_CS_ID,0))</f>
        <v/>
      </c>
      <c r="AD43" s="1181"/>
      <c r="AE43" s="1181"/>
      <c r="AF43" s="1181"/>
      <c r="AG43" s="1181"/>
      <c r="AH43" s="1181"/>
      <c r="AI43" s="1181"/>
      <c r="AJ43" s="1182"/>
      <c r="AK43" s="835" t="s">
        <v>493</v>
      </c>
      <c r="AN43" s="582" t="str">
        <f t="shared" si="1"/>
        <v>Наименование централизованной системы холодного водоснабжения</v>
      </c>
      <c r="AQ43" s="538">
        <v>23</v>
      </c>
    </row>
    <row r="44" spans="1:43" ht="24" customHeight="1">
      <c r="A44" s="857" t="s">
        <v>237</v>
      </c>
      <c r="B44" s="857" t="s">
        <v>238</v>
      </c>
      <c r="C44" s="857" t="s">
        <v>239</v>
      </c>
      <c r="D44" s="857" t="s">
        <v>506</v>
      </c>
      <c r="E44" s="1195"/>
      <c r="F44" s="1195"/>
      <c r="G44" s="1195"/>
      <c r="H44" s="1195"/>
      <c r="I44" s="1192" t="str">
        <f>S43&amp;".1"</f>
        <v>...1</v>
      </c>
      <c r="P44" s="1193">
        <v>1</v>
      </c>
      <c r="R44" s="842"/>
      <c r="S44" s="832" t="str">
        <f>$I44</f>
        <v>...1</v>
      </c>
      <c r="T44" s="843" t="s">
        <v>494</v>
      </c>
      <c r="U44" s="833"/>
      <c r="V44" s="1260"/>
      <c r="W44" s="1261"/>
      <c r="X44" s="1261"/>
      <c r="Y44" s="1261"/>
      <c r="Z44" s="1261"/>
      <c r="AA44" s="1261"/>
      <c r="AB44" s="1262"/>
      <c r="AC44" s="1263"/>
      <c r="AD44" s="1264"/>
      <c r="AE44" s="1264"/>
      <c r="AF44" s="1264"/>
      <c r="AG44" s="1264"/>
      <c r="AH44" s="1264"/>
      <c r="AI44" s="1264"/>
      <c r="AJ44" s="1265"/>
      <c r="AK44" s="835" t="s">
        <v>495</v>
      </c>
      <c r="AN44" s="582" t="str">
        <f t="shared" si="1"/>
        <v>Наименование признака дифференциации</v>
      </c>
      <c r="AQ44" s="538">
        <v>23</v>
      </c>
    </row>
    <row r="45" spans="1:43" ht="24" customHeight="1">
      <c r="A45" s="857" t="s">
        <v>237</v>
      </c>
      <c r="B45" s="857" t="s">
        <v>238</v>
      </c>
      <c r="C45" s="857" t="s">
        <v>239</v>
      </c>
      <c r="D45" s="857" t="s">
        <v>506</v>
      </c>
      <c r="E45" s="1195"/>
      <c r="F45" s="1195"/>
      <c r="G45" s="1195"/>
      <c r="H45" s="1195"/>
      <c r="I45" s="1214"/>
      <c r="J45" s="1192" t="str">
        <f>I44&amp;".1"</f>
        <v>...1.1</v>
      </c>
      <c r="L45" s="841" t="s">
        <v>417</v>
      </c>
      <c r="P45" s="1031"/>
      <c r="Q45" s="1193">
        <v>1</v>
      </c>
      <c r="R45" s="844"/>
      <c r="S45" s="832" t="str">
        <f>$J45</f>
        <v>...1.1</v>
      </c>
      <c r="T45" s="845" t="s">
        <v>418</v>
      </c>
      <c r="U45" s="833"/>
      <c r="V45" s="1183"/>
      <c r="W45" s="1184"/>
      <c r="X45" s="1184"/>
      <c r="Y45" s="1184"/>
      <c r="Z45" s="1184"/>
      <c r="AA45" s="1184"/>
      <c r="AB45" s="1185"/>
      <c r="AC45" s="1183"/>
      <c r="AD45" s="1184"/>
      <c r="AE45" s="1184"/>
      <c r="AF45" s="1184"/>
      <c r="AG45" s="1184"/>
      <c r="AH45" s="1184"/>
      <c r="AI45" s="1184"/>
      <c r="AJ45" s="1185"/>
      <c r="AK45" s="874" t="s">
        <v>496</v>
      </c>
      <c r="AN45" s="582" t="str">
        <f t="shared" si="1"/>
        <v>Группа потребителей</v>
      </c>
      <c r="AQ45" s="538">
        <v>23</v>
      </c>
    </row>
    <row r="46" spans="1:43" ht="24" customHeight="1">
      <c r="A46" s="857" t="s">
        <v>237</v>
      </c>
      <c r="B46" s="857" t="s">
        <v>238</v>
      </c>
      <c r="C46" s="857" t="s">
        <v>239</v>
      </c>
      <c r="D46" s="857" t="s">
        <v>506</v>
      </c>
      <c r="E46" s="1195"/>
      <c r="F46" s="1195"/>
      <c r="G46" s="1195"/>
      <c r="H46" s="1195"/>
      <c r="I46" s="1214"/>
      <c r="J46" s="1214"/>
      <c r="K46" s="1192" t="str">
        <f>J45&amp;".1"</f>
        <v>...1.1.1</v>
      </c>
      <c r="P46" s="1031"/>
      <c r="Q46" s="1031"/>
      <c r="R46" s="844">
        <v>1</v>
      </c>
      <c r="S46" s="832" t="str">
        <f>$K46</f>
        <v>...1.1.1</v>
      </c>
      <c r="T46" s="397"/>
      <c r="U46" s="833"/>
      <c r="V46" s="275"/>
      <c r="W46" s="275"/>
      <c r="X46" s="327"/>
      <c r="Y46" s="1199"/>
      <c r="Z46" s="1200" t="s">
        <v>61</v>
      </c>
      <c r="AA46" s="1199"/>
      <c r="AB46" s="1200" t="s">
        <v>61</v>
      </c>
      <c r="AC46" s="311"/>
      <c r="AD46" s="311"/>
      <c r="AE46" s="313"/>
      <c r="AF46" s="1197"/>
      <c r="AG46" s="1058" t="s">
        <v>61</v>
      </c>
      <c r="AH46" s="1215"/>
      <c r="AI46" s="1058" t="s">
        <v>19</v>
      </c>
      <c r="AJ46" s="398"/>
      <c r="AK46" s="1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7" t="e">
        <f ca="1">STRCHECKDATE(V47:AJ47)</f>
        <v>#NAME?</v>
      </c>
      <c r="AN46" s="582" t="str">
        <f t="shared" si="1"/>
        <v/>
      </c>
      <c r="AQ46" s="538">
        <v>23</v>
      </c>
    </row>
    <row r="47" spans="1:43" ht="0" hidden="1" customHeight="1">
      <c r="A47" s="857" t="s">
        <v>237</v>
      </c>
      <c r="B47" s="857" t="s">
        <v>238</v>
      </c>
      <c r="C47" s="857" t="s">
        <v>239</v>
      </c>
      <c r="D47" s="857" t="s">
        <v>506</v>
      </c>
      <c r="E47" s="1195"/>
      <c r="F47" s="1195"/>
      <c r="G47" s="1195"/>
      <c r="H47" s="1195"/>
      <c r="I47" s="1214"/>
      <c r="J47" s="1214"/>
      <c r="K47" s="1192"/>
      <c r="P47" s="1031"/>
      <c r="Q47" s="1031"/>
      <c r="R47" s="844"/>
      <c r="S47" s="127"/>
      <c r="T47" s="833"/>
      <c r="U47" s="833"/>
      <c r="V47" s="275"/>
      <c r="W47" s="275"/>
      <c r="X47" s="314" t="str">
        <f>Y46&amp;"-"&amp;AA46</f>
        <v>-</v>
      </c>
      <c r="Y47" s="1200"/>
      <c r="Z47" s="1200"/>
      <c r="AA47" s="1200"/>
      <c r="AB47" s="1200"/>
      <c r="AC47" s="312"/>
      <c r="AD47" s="312"/>
      <c r="AE47" s="314" t="str">
        <f>AF46&amp;"-"&amp;AH46</f>
        <v>-</v>
      </c>
      <c r="AF47" s="1198"/>
      <c r="AG47" s="1058"/>
      <c r="AH47" s="1216"/>
      <c r="AI47" s="1058"/>
      <c r="AJ47" s="387"/>
      <c r="AK47" s="1259"/>
      <c r="AN47" s="582" t="str">
        <f t="shared" si="1"/>
        <v/>
      </c>
      <c r="AQ47" s="538">
        <v>0</v>
      </c>
    </row>
    <row r="48" spans="1:43" ht="21" customHeight="1">
      <c r="A48" s="857" t="s">
        <v>237</v>
      </c>
      <c r="B48" s="857" t="s">
        <v>238</v>
      </c>
      <c r="C48" s="857" t="s">
        <v>239</v>
      </c>
      <c r="D48" s="857" t="s">
        <v>506</v>
      </c>
      <c r="E48" s="1195"/>
      <c r="F48" s="1195"/>
      <c r="G48" s="1195"/>
      <c r="H48" s="1195"/>
      <c r="I48" s="1214"/>
      <c r="J48" s="1192"/>
      <c r="P48" s="1031"/>
      <c r="Q48" s="1031"/>
      <c r="R48" s="842"/>
      <c r="S48" s="315"/>
      <c r="T48" s="318" t="s">
        <v>497</v>
      </c>
      <c r="U48" s="52"/>
      <c r="V48" s="52"/>
      <c r="W48" s="52"/>
      <c r="X48" s="52"/>
      <c r="Y48" s="52"/>
      <c r="Z48" s="52"/>
      <c r="AA48" s="52"/>
      <c r="AB48" s="52"/>
      <c r="AC48" s="52"/>
      <c r="AD48" s="52"/>
      <c r="AE48" s="52"/>
      <c r="AF48" s="52"/>
      <c r="AG48" s="52"/>
      <c r="AH48" s="52"/>
      <c r="AI48" s="52"/>
      <c r="AJ48" s="52"/>
      <c r="AK48" s="835" t="s">
        <v>498</v>
      </c>
      <c r="AN48" s="582" t="str">
        <f t="shared" si="1"/>
        <v>Добавить значение признака дифференциации</v>
      </c>
      <c r="AQ48" s="538">
        <v>20</v>
      </c>
    </row>
    <row r="49" spans="1:43" ht="21.95" customHeight="1">
      <c r="A49" s="857" t="s">
        <v>237</v>
      </c>
      <c r="B49" s="857" t="s">
        <v>238</v>
      </c>
      <c r="C49" s="857" t="s">
        <v>239</v>
      </c>
      <c r="D49" s="857" t="s">
        <v>506</v>
      </c>
      <c r="E49" s="1195"/>
      <c r="F49" s="1195"/>
      <c r="G49" s="1195"/>
      <c r="H49" s="1195"/>
      <c r="I49" s="1192"/>
      <c r="P49" s="1031"/>
      <c r="R49" s="842"/>
      <c r="S49" s="315"/>
      <c r="T49" s="321" t="s">
        <v>423</v>
      </c>
      <c r="U49" s="52"/>
      <c r="V49" s="52"/>
      <c r="W49" s="52"/>
      <c r="X49" s="52"/>
      <c r="Y49" s="52"/>
      <c r="Z49" s="52"/>
      <c r="AA49" s="52"/>
      <c r="AB49" s="319"/>
      <c r="AC49" s="52"/>
      <c r="AD49" s="52"/>
      <c r="AE49" s="52"/>
      <c r="AF49" s="52"/>
      <c r="AG49" s="52"/>
      <c r="AH49" s="52"/>
      <c r="AI49" s="319"/>
      <c r="AJ49" s="52"/>
      <c r="AK49" s="399"/>
      <c r="AN49" s="582" t="str">
        <f t="shared" si="1"/>
        <v>Добавить группу потребителей</v>
      </c>
      <c r="AQ49" s="538">
        <v>21</v>
      </c>
    </row>
    <row r="50" spans="1:43" ht="21.95" customHeight="1">
      <c r="A50" s="857" t="s">
        <v>237</v>
      </c>
      <c r="B50" s="857" t="s">
        <v>238</v>
      </c>
      <c r="C50" s="857" t="s">
        <v>239</v>
      </c>
      <c r="D50" s="857" t="s">
        <v>506</v>
      </c>
      <c r="E50" s="1195"/>
      <c r="F50" s="1195"/>
      <c r="G50" s="1195"/>
      <c r="H50" s="1194"/>
      <c r="R50" s="310"/>
      <c r="S50" s="315"/>
      <c r="T50" s="376" t="s">
        <v>499</v>
      </c>
      <c r="U50" s="52"/>
      <c r="V50" s="52"/>
      <c r="W50" s="52"/>
      <c r="X50" s="52"/>
      <c r="Y50" s="52"/>
      <c r="Z50" s="52"/>
      <c r="AA50" s="52"/>
      <c r="AB50" s="319"/>
      <c r="AC50" s="52"/>
      <c r="AD50" s="52"/>
      <c r="AE50" s="52"/>
      <c r="AF50" s="52"/>
      <c r="AG50" s="52"/>
      <c r="AH50" s="52"/>
      <c r="AI50" s="319"/>
      <c r="AJ50" s="52"/>
      <c r="AK50" s="320"/>
      <c r="AN50" s="582" t="str">
        <f t="shared" si="1"/>
        <v>Добавить наименование признака дифференциации</v>
      </c>
      <c r="AQ50" s="538">
        <v>21</v>
      </c>
    </row>
    <row r="51" spans="1:43" ht="0" hidden="1" customHeight="1">
      <c r="A51" s="574" t="s">
        <v>237</v>
      </c>
      <c r="B51" s="574" t="s">
        <v>238</v>
      </c>
      <c r="E51" s="1195"/>
      <c r="F51" s="1194"/>
      <c r="T51" s="326" t="s">
        <v>426</v>
      </c>
      <c r="AN51" s="582" t="str">
        <f t="shared" si="1"/>
        <v>Добавить централизованную систему для дифференциации</v>
      </c>
      <c r="AQ51" s="577">
        <v>0</v>
      </c>
    </row>
    <row r="52" spans="1:43" ht="0" hidden="1" customHeight="1">
      <c r="A52" s="574" t="s">
        <v>237</v>
      </c>
      <c r="E52" s="1194"/>
      <c r="T52" s="326" t="s">
        <v>427</v>
      </c>
      <c r="AN52" s="582" t="str">
        <f t="shared" si="1"/>
        <v>Добавить территорию для дифференциации</v>
      </c>
      <c r="AQ52" s="577">
        <v>0</v>
      </c>
    </row>
    <row r="53" spans="1:43" ht="0" hidden="1" customHeight="1">
      <c r="T53" s="326" t="s">
        <v>459</v>
      </c>
      <c r="AN53" s="582" t="str">
        <f t="shared" si="1"/>
        <v>Добавить наименование тарифа</v>
      </c>
      <c r="AQ53" s="577">
        <v>0</v>
      </c>
    </row>
    <row r="54" spans="1:43" ht="11.45" customHeight="1">
      <c r="AQ54" s="538">
        <v>11</v>
      </c>
    </row>
    <row r="55" spans="1:43" ht="14.65" customHeight="1">
      <c r="T55" s="1031"/>
      <c r="U55" s="1031"/>
      <c r="V55" s="1031"/>
      <c r="W55" s="1031"/>
      <c r="X55" s="1031"/>
      <c r="Y55" s="1031"/>
      <c r="Z55" s="1031"/>
      <c r="AA55" s="1031"/>
      <c r="AB55" s="1031"/>
      <c r="AC55" s="1031"/>
      <c r="AD55" s="1031"/>
      <c r="AE55" s="1031"/>
      <c r="AF55" s="1031"/>
      <c r="AG55" s="1031"/>
      <c r="AH55" s="1031"/>
      <c r="AI55" s="1031"/>
      <c r="AJ55" s="1031"/>
      <c r="AK55" s="1031"/>
      <c r="AQ55" s="538">
        <v>14</v>
      </c>
    </row>
    <row r="56" spans="1:43" ht="14.65" customHeight="1">
      <c r="AQ56" s="538">
        <v>14</v>
      </c>
    </row>
    <row r="57" spans="1:43" ht="14.65" customHeight="1">
      <c r="T57" s="1031"/>
      <c r="U57" s="1031"/>
      <c r="V57" s="1031"/>
      <c r="W57" s="1031"/>
      <c r="X57" s="1031"/>
      <c r="Y57" s="1031"/>
      <c r="Z57" s="1031"/>
      <c r="AA57" s="1031"/>
      <c r="AB57" s="1031"/>
      <c r="AC57" s="1031"/>
      <c r="AD57" s="1031"/>
      <c r="AE57" s="1031"/>
      <c r="AF57" s="1031"/>
      <c r="AG57" s="1031"/>
      <c r="AH57" s="1031"/>
      <c r="AI57" s="1031"/>
      <c r="AJ57" s="1031"/>
      <c r="AK57" s="1031"/>
      <c r="AQ57" s="538">
        <v>14</v>
      </c>
    </row>
    <row r="58" spans="1:43" ht="22.5" hidden="1" customHeight="1">
      <c r="A58" s="555" t="s">
        <v>81</v>
      </c>
      <c r="B58" s="555">
        <v>0</v>
      </c>
      <c r="C58" s="555">
        <v>0</v>
      </c>
      <c r="D58" s="555">
        <v>0</v>
      </c>
      <c r="E58" s="555">
        <v>0</v>
      </c>
      <c r="F58" s="555">
        <v>0</v>
      </c>
      <c r="G58" s="555">
        <v>0</v>
      </c>
      <c r="H58" s="555">
        <v>0</v>
      </c>
      <c r="I58" s="555">
        <v>0</v>
      </c>
      <c r="J58" s="555">
        <v>0</v>
      </c>
      <c r="K58" s="555">
        <v>0</v>
      </c>
      <c r="L58" s="667">
        <v>0</v>
      </c>
      <c r="M58" s="12">
        <v>0</v>
      </c>
      <c r="N58" s="12">
        <v>0</v>
      </c>
      <c r="O58" s="12">
        <v>0</v>
      </c>
      <c r="P58" s="300">
        <v>3</v>
      </c>
      <c r="Q58" s="821">
        <v>3</v>
      </c>
      <c r="R58" s="821">
        <v>3</v>
      </c>
      <c r="S58" s="553">
        <v>12</v>
      </c>
      <c r="T58" s="538">
        <v>35</v>
      </c>
      <c r="U58" s="538">
        <v>0</v>
      </c>
      <c r="V58" s="538">
        <v>0</v>
      </c>
      <c r="W58" s="538">
        <v>0</v>
      </c>
      <c r="X58" s="538">
        <v>0</v>
      </c>
      <c r="Y58" s="538">
        <v>0</v>
      </c>
      <c r="Z58" s="538">
        <v>0</v>
      </c>
      <c r="AA58" s="538">
        <v>0</v>
      </c>
      <c r="AB58" s="538">
        <v>0</v>
      </c>
      <c r="AC58" s="538">
        <v>24</v>
      </c>
      <c r="AD58" s="538">
        <v>24</v>
      </c>
      <c r="AE58" s="538">
        <v>24</v>
      </c>
      <c r="AF58" s="538">
        <v>11</v>
      </c>
      <c r="AG58" s="538">
        <v>3</v>
      </c>
      <c r="AH58" s="538">
        <v>11</v>
      </c>
      <c r="AI58" s="538">
        <v>0</v>
      </c>
      <c r="AJ58" s="538">
        <v>4</v>
      </c>
      <c r="AK58" s="538">
        <v>115</v>
      </c>
      <c r="AL58" s="577">
        <v>10</v>
      </c>
      <c r="AM58" s="577">
        <v>10</v>
      </c>
      <c r="AN58" s="577">
        <v>10</v>
      </c>
      <c r="AO58" s="577">
        <v>10</v>
      </c>
      <c r="AP58" s="577">
        <v>10</v>
      </c>
      <c r="AQ58" s="538">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4.140625" style="1029" hidden="1" customWidth="1"/>
    <col min="10" max="10" width="9.85546875" style="1029" hidden="1" customWidth="1"/>
    <col min="11" max="11" width="14.7109375" style="1029" hidden="1" customWidth="1"/>
    <col min="12" max="12" width="19.140625" style="1029" hidden="1" customWidth="1"/>
    <col min="13" max="14" width="12.28515625" style="1029" hidden="1" customWidth="1"/>
    <col min="15" max="15" width="23.42578125" style="1029" hidden="1" customWidth="1"/>
    <col min="16" max="18" width="3" style="1029" customWidth="1"/>
    <col min="19" max="19" width="12" style="1029" customWidth="1"/>
    <col min="20" max="20" width="35" style="1029" customWidth="1"/>
    <col min="21" max="21" width="0.140625" style="1029" customWidth="1"/>
    <col min="22" max="24" width="24.7109375" style="1029" hidden="1" customWidth="1"/>
    <col min="25" max="25" width="11.7109375" style="1029" hidden="1" customWidth="1"/>
    <col min="26" max="26" width="3.7109375" style="1029" hidden="1" customWidth="1"/>
    <col min="27" max="27" width="11.7109375" style="1029" hidden="1" customWidth="1"/>
    <col min="28" max="28" width="8.5703125" style="1029" hidden="1" customWidth="1"/>
    <col min="29" max="29" width="24.7109375" style="1029" customWidth="1"/>
    <col min="30" max="31" width="24" style="1029" customWidth="1"/>
    <col min="32" max="32" width="11" style="1029" customWidth="1"/>
    <col min="33" max="33" width="3.7109375" style="1029" customWidth="1"/>
    <col min="34" max="34" width="11" style="1029" customWidth="1"/>
    <col min="35" max="35" width="8.5703125" style="1029" hidden="1" customWidth="1"/>
    <col min="36" max="36" width="4" style="1029" customWidth="1"/>
    <col min="37" max="37" width="115" style="1029" customWidth="1"/>
    <col min="38" max="42" width="10" style="1029" customWidth="1"/>
    <col min="43" max="43" width="10.5703125" style="1029" hidden="1"/>
  </cols>
  <sheetData>
    <row r="1" spans="5:43" ht="22.5" hidden="1" customHeight="1">
      <c r="AQ1" s="538" t="s">
        <v>14</v>
      </c>
    </row>
    <row r="2" spans="5:43" ht="23.25" hidden="1" customHeight="1">
      <c r="E2" s="1194">
        <v>1</v>
      </c>
      <c r="R2" s="310"/>
      <c r="S2" s="832" t="e">
        <f>INDEX(PT_DIFFERENTIATION_NUM_NTAR,MATCH(A2,PT_DIFFERENTIATION_NTAR_ID,0))</f>
        <v>#N/A</v>
      </c>
      <c r="T2" s="795" t="s">
        <v>136</v>
      </c>
      <c r="U2" s="833"/>
      <c r="V2" s="1180"/>
      <c r="W2" s="1181"/>
      <c r="X2" s="1181"/>
      <c r="Y2" s="1181"/>
      <c r="Z2" s="1181"/>
      <c r="AA2" s="1181"/>
      <c r="AB2" s="1182"/>
      <c r="AC2" s="1180" t="e">
        <f>INDEX(PT_DIFFERENTIATION_NTAR,MATCH(A2,PT_DIFFERENTIATION_NTAR_ID,0))</f>
        <v>#N/A</v>
      </c>
      <c r="AD2" s="1181"/>
      <c r="AE2" s="1181"/>
      <c r="AF2" s="1181"/>
      <c r="AG2" s="1181"/>
      <c r="AH2" s="1181"/>
      <c r="AI2" s="1181"/>
      <c r="AJ2" s="1182"/>
      <c r="AK2"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2" s="582" t="str">
        <f t="shared" ref="AN2:AN13" si="0">IF(T2="","",T2)</f>
        <v>Наименование тарифа</v>
      </c>
      <c r="AQ2" s="538">
        <v>0</v>
      </c>
    </row>
    <row r="3" spans="5:43" ht="23.25" hidden="1" customHeight="1">
      <c r="E3" s="1195"/>
      <c r="F3" s="1194">
        <v>1</v>
      </c>
      <c r="Q3" s="836"/>
      <c r="R3" s="837"/>
      <c r="S3" s="832" t="e">
        <f>INDEX(PT_DIFFERENTIATION_NUM_TER,MATCH(B3,PT_DIFFERENTIATION_TER_ID,0))</f>
        <v>#N/A</v>
      </c>
      <c r="T3" s="838" t="s">
        <v>408</v>
      </c>
      <c r="U3" s="833"/>
      <c r="V3" s="1180"/>
      <c r="W3" s="1181"/>
      <c r="X3" s="1181"/>
      <c r="Y3" s="1181"/>
      <c r="Z3" s="1181"/>
      <c r="AA3" s="1181"/>
      <c r="AB3" s="1182"/>
      <c r="AC3" s="1180" t="e">
        <f>INDEX(PT_DIFFERENTIATION_TER,MATCH(B3,PT_DIFFERENTIATION_TER_ID,0))</f>
        <v>#N/A</v>
      </c>
      <c r="AD3" s="1181"/>
      <c r="AE3" s="1181"/>
      <c r="AF3" s="1181"/>
      <c r="AG3" s="1181"/>
      <c r="AH3" s="1181"/>
      <c r="AI3" s="1181"/>
      <c r="AJ3" s="1182"/>
      <c r="AK3" s="835" t="s">
        <v>409</v>
      </c>
      <c r="AN3" s="582" t="str">
        <f t="shared" si="0"/>
        <v>Территория действия тарифа</v>
      </c>
      <c r="AQ3" s="538">
        <v>0</v>
      </c>
    </row>
    <row r="4" spans="5:43" ht="23.25" hidden="1" customHeight="1">
      <c r="E4" s="1195"/>
      <c r="F4" s="1195"/>
      <c r="G4" s="1194">
        <v>1</v>
      </c>
      <c r="Q4" s="836"/>
      <c r="R4" s="837"/>
      <c r="S4" s="832" t="e">
        <f>INDEX(PT_DIFFERENTIATION_NUM_CS,MATCH(C4,PT_DIFFERENTIATION_CS_ID,0))</f>
        <v>#N/A</v>
      </c>
      <c r="T4" s="839" t="s">
        <v>492</v>
      </c>
      <c r="U4" s="833"/>
      <c r="V4" s="1180"/>
      <c r="W4" s="1181"/>
      <c r="X4" s="1181"/>
      <c r="Y4" s="1181"/>
      <c r="Z4" s="1181"/>
      <c r="AA4" s="1181"/>
      <c r="AB4" s="1182"/>
      <c r="AC4" s="1180" t="e">
        <f>INDEX(PT_DIFFERENTIATION_CS,MATCH(C4,PT_DIFFERENTIATION_CS_ID,0))</f>
        <v>#N/A</v>
      </c>
      <c r="AD4" s="1181"/>
      <c r="AE4" s="1181"/>
      <c r="AF4" s="1181"/>
      <c r="AG4" s="1181"/>
      <c r="AH4" s="1181"/>
      <c r="AI4" s="1181"/>
      <c r="AJ4" s="1182"/>
      <c r="AK4" s="835" t="s">
        <v>493</v>
      </c>
      <c r="AN4" s="582" t="str">
        <f t="shared" si="0"/>
        <v>Наименование централизованной системы холодного водоснабжения</v>
      </c>
      <c r="AQ4" s="538">
        <v>0</v>
      </c>
    </row>
    <row r="5" spans="5:43" ht="23.25" hidden="1" customHeight="1">
      <c r="E5" s="1195"/>
      <c r="F5" s="1195"/>
      <c r="G5" s="1195"/>
      <c r="H5" s="1195"/>
      <c r="I5" s="1192" t="e">
        <f>S4&amp;".1"</f>
        <v>#N/A</v>
      </c>
      <c r="P5" s="1193">
        <v>1</v>
      </c>
      <c r="R5" s="842"/>
      <c r="S5" s="832" t="e">
        <f>$I5</f>
        <v>#N/A</v>
      </c>
      <c r="T5" s="843" t="s">
        <v>494</v>
      </c>
      <c r="U5" s="833"/>
      <c r="V5" s="1260"/>
      <c r="W5" s="1261"/>
      <c r="X5" s="1261"/>
      <c r="Y5" s="1261"/>
      <c r="Z5" s="1261"/>
      <c r="AA5" s="1261"/>
      <c r="AB5" s="1262"/>
      <c r="AC5" s="1263"/>
      <c r="AD5" s="1264"/>
      <c r="AE5" s="1264"/>
      <c r="AF5" s="1264"/>
      <c r="AG5" s="1264"/>
      <c r="AH5" s="1264"/>
      <c r="AI5" s="1264"/>
      <c r="AJ5" s="1265"/>
      <c r="AK5" s="835" t="s">
        <v>495</v>
      </c>
      <c r="AN5" s="582" t="str">
        <f t="shared" si="0"/>
        <v>Наименование признака дифференциации</v>
      </c>
      <c r="AQ5" s="538">
        <v>0</v>
      </c>
    </row>
    <row r="6" spans="5:43" ht="23.25" hidden="1" customHeight="1">
      <c r="E6" s="1195"/>
      <c r="F6" s="1195"/>
      <c r="G6" s="1195"/>
      <c r="H6" s="1195"/>
      <c r="I6" s="1214"/>
      <c r="J6" s="1192" t="e">
        <f>I5&amp;".1"</f>
        <v>#N/A</v>
      </c>
      <c r="L6" s="841" t="s">
        <v>417</v>
      </c>
      <c r="P6" s="1031"/>
      <c r="Q6" s="1193">
        <v>1</v>
      </c>
      <c r="R6" s="844"/>
      <c r="S6" s="832" t="e">
        <f>$J6</f>
        <v>#N/A</v>
      </c>
      <c r="T6" s="845" t="s">
        <v>418</v>
      </c>
      <c r="U6" s="833"/>
      <c r="V6" s="1183"/>
      <c r="W6" s="1184"/>
      <c r="X6" s="1184"/>
      <c r="Y6" s="1184"/>
      <c r="Z6" s="1184"/>
      <c r="AA6" s="1184"/>
      <c r="AB6" s="1185"/>
      <c r="AC6" s="1183"/>
      <c r="AD6" s="1184"/>
      <c r="AE6" s="1184"/>
      <c r="AF6" s="1184"/>
      <c r="AG6" s="1184"/>
      <c r="AH6" s="1184"/>
      <c r="AI6" s="1184"/>
      <c r="AJ6" s="1185"/>
      <c r="AK6" s="874" t="s">
        <v>496</v>
      </c>
      <c r="AN6" s="582" t="str">
        <f t="shared" si="0"/>
        <v>Группа потребителей</v>
      </c>
      <c r="AQ6" s="538">
        <v>0</v>
      </c>
    </row>
    <row r="7" spans="5:43" ht="23.25" hidden="1" customHeight="1">
      <c r="E7" s="1195"/>
      <c r="F7" s="1195"/>
      <c r="G7" s="1195"/>
      <c r="H7" s="1195"/>
      <c r="I7" s="1214"/>
      <c r="J7" s="1214"/>
      <c r="K7" s="1192" t="e">
        <f>J6&amp;".1"</f>
        <v>#N/A</v>
      </c>
      <c r="P7" s="1031"/>
      <c r="Q7" s="1031"/>
      <c r="R7" s="844">
        <v>1</v>
      </c>
      <c r="S7" s="832" t="e">
        <f>$K7</f>
        <v>#N/A</v>
      </c>
      <c r="T7" s="397"/>
      <c r="U7" s="833"/>
      <c r="V7" s="311"/>
      <c r="W7" s="311"/>
      <c r="X7" s="313"/>
      <c r="Y7" s="1197"/>
      <c r="Z7" s="1058" t="s">
        <v>61</v>
      </c>
      <c r="AA7" s="1197"/>
      <c r="AB7" s="1058" t="s">
        <v>61</v>
      </c>
      <c r="AC7" s="311"/>
      <c r="AD7" s="311"/>
      <c r="AE7" s="313"/>
      <c r="AF7" s="1197"/>
      <c r="AG7" s="1058" t="s">
        <v>61</v>
      </c>
      <c r="AH7" s="1215"/>
      <c r="AI7" s="1058" t="s">
        <v>61</v>
      </c>
      <c r="AJ7" s="398"/>
      <c r="AK7" s="1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7" t="e">
        <f ca="1">STRCHECKDATE(V8:AJ8)</f>
        <v>#NAME?</v>
      </c>
      <c r="AN7" s="582" t="str">
        <f t="shared" si="0"/>
        <v/>
      </c>
      <c r="AQ7" s="538">
        <v>0</v>
      </c>
    </row>
    <row r="8" spans="5:43" ht="14.25" hidden="1" customHeight="1">
      <c r="E8" s="1195"/>
      <c r="F8" s="1195"/>
      <c r="G8" s="1195"/>
      <c r="H8" s="1195"/>
      <c r="I8" s="1214"/>
      <c r="J8" s="1214"/>
      <c r="K8" s="1192"/>
      <c r="P8" s="1031"/>
      <c r="Q8" s="1031"/>
      <c r="R8" s="844"/>
      <c r="S8" s="127"/>
      <c r="T8" s="833"/>
      <c r="U8" s="833"/>
      <c r="V8" s="312"/>
      <c r="W8" s="312"/>
      <c r="X8" s="314" t="str">
        <f>Y7&amp;"-"&amp;AA7</f>
        <v>-</v>
      </c>
      <c r="Y8" s="1198"/>
      <c r="Z8" s="1058"/>
      <c r="AA8" s="1198"/>
      <c r="AB8" s="1058"/>
      <c r="AC8" s="312"/>
      <c r="AD8" s="312"/>
      <c r="AE8" s="314" t="str">
        <f>AF7&amp;"-"&amp;AH7</f>
        <v>-</v>
      </c>
      <c r="AF8" s="1198"/>
      <c r="AG8" s="1058"/>
      <c r="AH8" s="1216"/>
      <c r="AI8" s="1058"/>
      <c r="AJ8" s="387"/>
      <c r="AK8" s="1259"/>
      <c r="AN8" s="582" t="str">
        <f t="shared" si="0"/>
        <v/>
      </c>
      <c r="AQ8" s="538">
        <v>0</v>
      </c>
    </row>
    <row r="9" spans="5:43" ht="21" hidden="1" customHeight="1">
      <c r="E9" s="1195"/>
      <c r="F9" s="1195"/>
      <c r="G9" s="1195"/>
      <c r="H9" s="1195"/>
      <c r="I9" s="1214"/>
      <c r="J9" s="1192"/>
      <c r="P9" s="1031"/>
      <c r="Q9" s="1031"/>
      <c r="R9" s="842"/>
      <c r="S9" s="315"/>
      <c r="T9" s="318" t="s">
        <v>497</v>
      </c>
      <c r="U9" s="52"/>
      <c r="V9" s="52"/>
      <c r="W9" s="52"/>
      <c r="X9" s="52"/>
      <c r="Y9" s="52"/>
      <c r="Z9" s="52"/>
      <c r="AA9" s="52"/>
      <c r="AB9" s="52"/>
      <c r="AC9" s="52"/>
      <c r="AD9" s="52"/>
      <c r="AE9" s="52"/>
      <c r="AF9" s="52"/>
      <c r="AG9" s="52"/>
      <c r="AH9" s="52"/>
      <c r="AI9" s="52"/>
      <c r="AJ9" s="52"/>
      <c r="AK9" s="835" t="s">
        <v>498</v>
      </c>
      <c r="AN9" s="582" t="str">
        <f t="shared" si="0"/>
        <v>Добавить значение признака дифференциации</v>
      </c>
      <c r="AQ9" s="538">
        <v>0</v>
      </c>
    </row>
    <row r="10" spans="5:43" ht="21" hidden="1" customHeight="1">
      <c r="E10" s="1195"/>
      <c r="F10" s="1195"/>
      <c r="G10" s="1195"/>
      <c r="H10" s="1195"/>
      <c r="I10" s="1192"/>
      <c r="P10" s="1031"/>
      <c r="R10" s="842"/>
      <c r="S10" s="315"/>
      <c r="T10" s="321" t="s">
        <v>423</v>
      </c>
      <c r="U10" s="52"/>
      <c r="V10" s="52"/>
      <c r="W10" s="52"/>
      <c r="X10" s="52"/>
      <c r="Y10" s="52"/>
      <c r="Z10" s="52"/>
      <c r="AA10" s="52"/>
      <c r="AB10" s="319"/>
      <c r="AC10" s="52"/>
      <c r="AD10" s="52"/>
      <c r="AE10" s="52"/>
      <c r="AF10" s="52"/>
      <c r="AG10" s="52"/>
      <c r="AH10" s="52"/>
      <c r="AI10" s="319"/>
      <c r="AJ10" s="52"/>
      <c r="AK10" s="399"/>
      <c r="AN10" s="582" t="str">
        <f t="shared" si="0"/>
        <v>Добавить группу потребителей</v>
      </c>
      <c r="AQ10" s="538">
        <v>0</v>
      </c>
    </row>
    <row r="11" spans="5:43" ht="21" hidden="1" customHeight="1">
      <c r="E11" s="1195"/>
      <c r="F11" s="1195"/>
      <c r="G11" s="1195"/>
      <c r="H11" s="1194"/>
      <c r="R11" s="310"/>
      <c r="S11" s="315"/>
      <c r="T11" s="376" t="s">
        <v>499</v>
      </c>
      <c r="U11" s="52"/>
      <c r="V11" s="52"/>
      <c r="W11" s="52"/>
      <c r="X11" s="52"/>
      <c r="Y11" s="52"/>
      <c r="Z11" s="52"/>
      <c r="AA11" s="52"/>
      <c r="AB11" s="319"/>
      <c r="AC11" s="52"/>
      <c r="AD11" s="52"/>
      <c r="AE11" s="52"/>
      <c r="AF11" s="52"/>
      <c r="AG11" s="52"/>
      <c r="AH11" s="52"/>
      <c r="AI11" s="319"/>
      <c r="AJ11" s="52"/>
      <c r="AK11" s="320"/>
      <c r="AN11" s="582" t="str">
        <f t="shared" si="0"/>
        <v>Добавить наименование признака дифференциации</v>
      </c>
      <c r="AQ11" s="538">
        <v>0</v>
      </c>
    </row>
    <row r="12" spans="5:43" ht="14.25" hidden="1" customHeight="1">
      <c r="E12" s="1195"/>
      <c r="F12" s="1194"/>
      <c r="T12" s="326" t="s">
        <v>426</v>
      </c>
      <c r="AN12" s="582" t="str">
        <f t="shared" si="0"/>
        <v>Добавить централизованную систему для дифференциации</v>
      </c>
      <c r="AQ12" s="577">
        <v>0</v>
      </c>
    </row>
    <row r="13" spans="5:43" ht="14.25" hidden="1" customHeight="1">
      <c r="E13" s="1194"/>
      <c r="T13" s="326" t="s">
        <v>427</v>
      </c>
      <c r="AN13" s="582" t="str">
        <f t="shared" si="0"/>
        <v>Добавить территорию для дифференциации</v>
      </c>
      <c r="AQ13" s="577">
        <v>0</v>
      </c>
    </row>
    <row r="14" spans="5:43" ht="14.25" hidden="1" customHeight="1">
      <c r="AQ14" s="538">
        <v>0</v>
      </c>
    </row>
    <row r="15" spans="5:43" ht="14.25" hidden="1" customHeight="1">
      <c r="AC15" s="275"/>
      <c r="AD15" s="275"/>
      <c r="AE15" s="327"/>
      <c r="AF15" s="1199"/>
      <c r="AG15" s="1200" t="s">
        <v>61</v>
      </c>
      <c r="AH15" s="1199"/>
      <c r="AI15" s="1200" t="s">
        <v>61</v>
      </c>
      <c r="AQ15" s="538">
        <v>0</v>
      </c>
    </row>
    <row r="16" spans="5:43" ht="14.25" hidden="1" customHeight="1">
      <c r="AC16" s="275"/>
      <c r="AD16" s="275"/>
      <c r="AE16" s="314" t="str">
        <f>AF15&amp;"-"&amp;AH15</f>
        <v>-</v>
      </c>
      <c r="AF16" s="1200"/>
      <c r="AG16" s="1200"/>
      <c r="AH16" s="1200"/>
      <c r="AI16" s="1200"/>
      <c r="AQ16" s="538">
        <v>0</v>
      </c>
    </row>
    <row r="17" spans="15:43" ht="14.25" hidden="1" customHeight="1">
      <c r="AQ17" s="538">
        <v>0</v>
      </c>
    </row>
    <row r="18" spans="15:43" ht="22.5" hidden="1" customHeight="1">
      <c r="O18" s="328" t="s">
        <v>428</v>
      </c>
      <c r="Y18" s="328"/>
      <c r="AA18" s="328"/>
      <c r="AF18" s="328"/>
      <c r="AH18" s="328"/>
      <c r="AQ18" s="555">
        <v>0</v>
      </c>
    </row>
    <row r="19" spans="15:43" ht="14.25" hidden="1" customHeight="1">
      <c r="AQ19" s="555">
        <v>0</v>
      </c>
    </row>
    <row r="20" spans="15:43" ht="12" hidden="1" customHeight="1">
      <c r="O20" s="841" t="s">
        <v>429</v>
      </c>
      <c r="T20" s="555" t="s">
        <v>430</v>
      </c>
      <c r="Z20" s="598" t="s">
        <v>431</v>
      </c>
      <c r="AB20" s="598" t="s">
        <v>432</v>
      </c>
      <c r="AC20" s="555" t="s">
        <v>430</v>
      </c>
      <c r="AG20" s="598" t="s">
        <v>433</v>
      </c>
      <c r="AI20" s="598" t="s">
        <v>432</v>
      </c>
      <c r="AQ20" s="555">
        <v>0</v>
      </c>
    </row>
    <row r="21" spans="15:43" ht="14.25" hidden="1" customHeight="1">
      <c r="AQ21" s="538">
        <v>0</v>
      </c>
    </row>
    <row r="22" spans="15:43" ht="14.25" hidden="1" customHeight="1">
      <c r="AQ22" s="538">
        <v>0</v>
      </c>
    </row>
    <row r="23" spans="15:43" ht="14.65" customHeight="1">
      <c r="Q23" s="756"/>
      <c r="R23" s="756"/>
      <c r="S23" s="847"/>
      <c r="T23" s="556"/>
      <c r="U23" s="556"/>
      <c r="AQ23" s="538">
        <v>14</v>
      </c>
    </row>
    <row r="24" spans="15:43" ht="14.65" customHeight="1">
      <c r="Q24" s="756"/>
      <c r="R24" s="756"/>
      <c r="S24" s="11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178"/>
      <c r="U24" s="1178"/>
      <c r="V24" s="1178"/>
      <c r="W24" s="1178"/>
      <c r="X24" s="1178"/>
      <c r="Y24" s="1178"/>
      <c r="Z24" s="1178"/>
      <c r="AA24" s="1178"/>
      <c r="AB24" s="1178"/>
      <c r="AC24" s="1178"/>
      <c r="AD24" s="1178"/>
      <c r="AE24" s="1178"/>
      <c r="AF24" s="1178"/>
      <c r="AG24" s="1178"/>
      <c r="AH24" s="1178"/>
      <c r="AQ24" s="538">
        <v>14</v>
      </c>
    </row>
    <row r="25" spans="15:43" ht="14.65" customHeight="1">
      <c r="Q25" s="756"/>
      <c r="R25" s="756"/>
      <c r="S25" s="1127" t="str">
        <f>IF(org=0,"Не определено",org)</f>
        <v>АО "НИЖЕГОРОДСКИЙ ВОДОКАНАЛ"</v>
      </c>
      <c r="T25" s="1127"/>
      <c r="U25" s="1127"/>
      <c r="V25" s="1127"/>
      <c r="W25" s="1127"/>
      <c r="X25" s="1127"/>
      <c r="Y25" s="1127"/>
      <c r="Z25" s="1127"/>
      <c r="AA25" s="1127"/>
      <c r="AB25" s="1127"/>
      <c r="AC25" s="1127"/>
      <c r="AD25" s="1127"/>
      <c r="AE25" s="1127"/>
      <c r="AF25" s="1127"/>
      <c r="AG25" s="1127"/>
      <c r="AH25" s="1127"/>
      <c r="AQ25" s="538">
        <v>14</v>
      </c>
    </row>
    <row r="26" spans="15:43" ht="14.25" hidden="1" customHeight="1">
      <c r="Q26" s="756"/>
      <c r="R26" s="756"/>
      <c r="S26" s="847"/>
      <c r="T26" s="556"/>
      <c r="U26" s="556"/>
      <c r="V26" s="826"/>
      <c r="W26" s="826"/>
      <c r="X26" s="826"/>
      <c r="Y26" s="826"/>
      <c r="Z26" s="826"/>
      <c r="AA26" s="826"/>
      <c r="AB26" s="826"/>
      <c r="AC26" s="826"/>
      <c r="AD26" s="826"/>
      <c r="AE26" s="826"/>
      <c r="AF26" s="826"/>
      <c r="AG26" s="826"/>
      <c r="AH26" s="826"/>
      <c r="AI26" s="826"/>
      <c r="AQ26" s="538">
        <v>0</v>
      </c>
    </row>
    <row r="27" spans="15:43" ht="25.5" hidden="1" customHeight="1">
      <c r="S27" s="1186" t="s">
        <v>41</v>
      </c>
      <c r="T27" s="1186"/>
      <c r="U27" s="849"/>
      <c r="V27" s="1187" t="str">
        <f>IF(TITLE_NAME_OR_PR_CHANGE="",IF(TITLE_NAME_OR_PR="","",TITLE_NAME_OR_PR),TITLE_NAME_OR_PR_CHANGE)</f>
        <v/>
      </c>
      <c r="W27" s="1187"/>
      <c r="X27" s="1187"/>
      <c r="Y27" s="1187"/>
      <c r="Z27" s="1187"/>
      <c r="AA27" s="1187"/>
      <c r="AC27" s="1187" t="str">
        <f>IF(TITLE_NAME_OR_PR_CHANGE="",IF(TITLE_NAME_OR_PR="","",TITLE_NAME_OR_PR),TITLE_NAME_OR_PR_CHANGE)</f>
        <v/>
      </c>
      <c r="AD27" s="1187"/>
      <c r="AE27" s="1187"/>
      <c r="AF27" s="1187"/>
      <c r="AG27" s="1187"/>
      <c r="AH27" s="1187"/>
      <c r="AQ27" s="592">
        <v>0</v>
      </c>
    </row>
    <row r="28" spans="15:43" ht="18.75" hidden="1" customHeight="1">
      <c r="S28" s="1186" t="s">
        <v>434</v>
      </c>
      <c r="T28" s="1186"/>
      <c r="U28" s="849"/>
      <c r="V28" s="1196" t="str">
        <f>IF(TITLE_DATE_PR_CHANGE="",IF(TITLE_DATE_PR="","",TITLE_DATE_PR),TITLE_DATE_PR_CHANGE)</f>
        <v/>
      </c>
      <c r="W28" s="1196"/>
      <c r="X28" s="1196"/>
      <c r="Y28" s="1196"/>
      <c r="Z28" s="1196"/>
      <c r="AA28" s="1196"/>
      <c r="AC28" s="1196" t="str">
        <f>IF(TITLE_DATE_PR_CHANGE="",IF(TITLE_DATE_PR="","",TITLE_DATE_PR),TITLE_DATE_PR_CHANGE)</f>
        <v/>
      </c>
      <c r="AD28" s="1196"/>
      <c r="AE28" s="1196"/>
      <c r="AF28" s="1196"/>
      <c r="AG28" s="1196"/>
      <c r="AH28" s="1196"/>
      <c r="AQ28" s="592">
        <v>0</v>
      </c>
    </row>
    <row r="29" spans="15:43" ht="18.75" hidden="1" customHeight="1">
      <c r="S29" s="1186" t="s">
        <v>435</v>
      </c>
      <c r="T29" s="1186"/>
      <c r="U29" s="849"/>
      <c r="V29" s="1187" t="str">
        <f>IF(TITLE_NUMBER_PR_CHANGE="",IF(TITLE_NUMBER_PR="","",TITLE_NUMBER_PR),TITLE_NUMBER_PR_CHANGE)</f>
        <v/>
      </c>
      <c r="W29" s="1187"/>
      <c r="X29" s="1187"/>
      <c r="Y29" s="1187"/>
      <c r="Z29" s="1187"/>
      <c r="AA29" s="1187"/>
      <c r="AC29" s="1187" t="str">
        <f>IF(TITLE_NUMBER_PR_CHANGE="",IF(TITLE_NUMBER_PR="","",TITLE_NUMBER_PR),TITLE_NUMBER_PR_CHANGE)</f>
        <v/>
      </c>
      <c r="AD29" s="1187"/>
      <c r="AE29" s="1187"/>
      <c r="AF29" s="1187"/>
      <c r="AG29" s="1187"/>
      <c r="AH29" s="1187"/>
      <c r="AQ29" s="592">
        <v>0</v>
      </c>
    </row>
    <row r="30" spans="15:43" ht="18.75" hidden="1" customHeight="1">
      <c r="S30" s="1186" t="s">
        <v>42</v>
      </c>
      <c r="T30" s="1186"/>
      <c r="U30" s="849"/>
      <c r="V30" s="1187" t="str">
        <f>IF(TITLE_IST_PUB_CHANGE="",IF(TITLE_IST_PUB="","",TITLE_IST_PUB),TITLE_IST_PUB_CHANGE)</f>
        <v/>
      </c>
      <c r="W30" s="1187"/>
      <c r="X30" s="1187"/>
      <c r="Y30" s="1187"/>
      <c r="Z30" s="1187"/>
      <c r="AA30" s="1187"/>
      <c r="AC30" s="1187" t="str">
        <f>IF(TITLE_IST_PUB_CHANGE="",IF(TITLE_IST_PUB="","",TITLE_IST_PUB),TITLE_IST_PUB_CHANGE)</f>
        <v/>
      </c>
      <c r="AD30" s="1187"/>
      <c r="AE30" s="1187"/>
      <c r="AF30" s="1187"/>
      <c r="AG30" s="1187"/>
      <c r="AH30" s="1187"/>
      <c r="AQ30" s="592">
        <v>0</v>
      </c>
    </row>
    <row r="31" spans="15:43" ht="14.25" hidden="1" customHeight="1">
      <c r="Q31" s="756"/>
      <c r="R31" s="756"/>
      <c r="S31" s="847"/>
      <c r="T31" s="556"/>
      <c r="U31" s="556"/>
      <c r="V31" s="826"/>
      <c r="W31" s="826"/>
      <c r="X31" s="826"/>
      <c r="Y31" s="826"/>
      <c r="Z31" s="826"/>
      <c r="AA31" s="826"/>
      <c r="AB31" s="826"/>
      <c r="AC31" s="826"/>
      <c r="AD31" s="826"/>
      <c r="AE31" s="826"/>
      <c r="AF31" s="826"/>
      <c r="AG31" s="826"/>
      <c r="AH31" s="826"/>
      <c r="AI31" s="826"/>
      <c r="AQ31" s="538">
        <v>0</v>
      </c>
    </row>
    <row r="32" spans="15:43" ht="18.75" hidden="1" customHeight="1">
      <c r="S32" s="1186" t="s">
        <v>436</v>
      </c>
      <c r="T32" s="1186"/>
      <c r="U32" s="849"/>
      <c r="V32" s="1196" t="str">
        <f>IF(TITLE_DATE_PR_CHANGE="",IF(TITLE_DATE_PR="","",TITLE_DATE_PR),TITLE_DATE_PR_CHANGE)</f>
        <v/>
      </c>
      <c r="W32" s="1196"/>
      <c r="X32" s="1196"/>
      <c r="Y32" s="1196"/>
      <c r="Z32" s="1196"/>
      <c r="AA32" s="1196"/>
      <c r="AC32" s="1196" t="str">
        <f>IF(TITLE_DATE_PR_CHANGE="",IF(TITLE_DATE_PR="","",TITLE_DATE_PR),TITLE_DATE_PR_CHANGE)</f>
        <v/>
      </c>
      <c r="AD32" s="1196"/>
      <c r="AE32" s="1196"/>
      <c r="AF32" s="1196"/>
      <c r="AG32" s="1196"/>
      <c r="AH32" s="1196"/>
      <c r="AQ32" s="592">
        <v>0</v>
      </c>
    </row>
    <row r="33" spans="1:43" ht="18.75" hidden="1" customHeight="1">
      <c r="S33" s="1186" t="s">
        <v>437</v>
      </c>
      <c r="T33" s="1186"/>
      <c r="U33" s="849"/>
      <c r="V33" s="1187" t="str">
        <f>IF(TITLE_NUMBER_PR_CHANGE="",IF(TITLE_NUMBER_PR="","",TITLE_NUMBER_PR),TITLE_NUMBER_PR_CHANGE)</f>
        <v/>
      </c>
      <c r="W33" s="1187"/>
      <c r="X33" s="1187"/>
      <c r="Y33" s="1187"/>
      <c r="Z33" s="1187"/>
      <c r="AA33" s="1187"/>
      <c r="AC33" s="1187" t="str">
        <f>IF(TITLE_NUMBER_PR_CHANGE="",IF(TITLE_NUMBER_PR="","",TITLE_NUMBER_PR),TITLE_NUMBER_PR_CHANGE)</f>
        <v/>
      </c>
      <c r="AD33" s="1187"/>
      <c r="AE33" s="1187"/>
      <c r="AF33" s="1187"/>
      <c r="AG33" s="1187"/>
      <c r="AH33" s="1187"/>
      <c r="AQ33" s="592">
        <v>0</v>
      </c>
    </row>
    <row r="34" spans="1:43" ht="1.1499999999999999" customHeight="1">
      <c r="AB34" s="577" t="s">
        <v>438</v>
      </c>
      <c r="AI34" s="577" t="s">
        <v>438</v>
      </c>
      <c r="AQ34" s="592">
        <v>1</v>
      </c>
    </row>
    <row r="35" spans="1:43" ht="14.65" customHeight="1">
      <c r="Q35" s="756"/>
      <c r="R35" s="756"/>
      <c r="S35" s="847"/>
      <c r="T35" s="556"/>
      <c r="U35" s="850"/>
      <c r="V35" s="1188"/>
      <c r="W35" s="1188"/>
      <c r="X35" s="1188"/>
      <c r="Y35" s="1188"/>
      <c r="Z35" s="1188"/>
      <c r="AA35" s="1188"/>
      <c r="AB35" s="1188"/>
      <c r="AC35" s="1188"/>
      <c r="AD35" s="1188"/>
      <c r="AE35" s="1188"/>
      <c r="AF35" s="1188"/>
      <c r="AG35" s="1188"/>
      <c r="AH35" s="1188"/>
      <c r="AI35" s="1188"/>
      <c r="AQ35" s="538">
        <v>14</v>
      </c>
    </row>
    <row r="36" spans="1:43" ht="14.65" customHeight="1">
      <c r="Q36" s="756"/>
      <c r="R36" s="756"/>
      <c r="S36" s="1066" t="s">
        <v>311</v>
      </c>
      <c r="T36" s="1066"/>
      <c r="U36" s="1066"/>
      <c r="V36" s="1066"/>
      <c r="W36" s="1066"/>
      <c r="X36" s="1066"/>
      <c r="Y36" s="1066"/>
      <c r="Z36" s="1066"/>
      <c r="AA36" s="1066"/>
      <c r="AB36" s="1066"/>
      <c r="AC36" s="1066"/>
      <c r="AD36" s="1066"/>
      <c r="AE36" s="1066"/>
      <c r="AF36" s="1066"/>
      <c r="AG36" s="1066"/>
      <c r="AH36" s="1066"/>
      <c r="AI36" s="1066"/>
      <c r="AJ36" s="1066"/>
      <c r="AK36" s="1066" t="s">
        <v>312</v>
      </c>
      <c r="AQ36" s="538">
        <v>14</v>
      </c>
    </row>
    <row r="37" spans="1:43" ht="14.65" customHeight="1">
      <c r="Q37" s="756"/>
      <c r="R37" s="756"/>
      <c r="S37" s="1202" t="s">
        <v>87</v>
      </c>
      <c r="T37" s="1154" t="s">
        <v>439</v>
      </c>
      <c r="U37" s="817"/>
      <c r="V37" s="1203" t="s">
        <v>440</v>
      </c>
      <c r="W37" s="1204"/>
      <c r="X37" s="1204"/>
      <c r="Y37" s="1204"/>
      <c r="Z37" s="1204"/>
      <c r="AA37" s="1205"/>
      <c r="AB37" s="1206" t="s">
        <v>441</v>
      </c>
      <c r="AC37" s="1203" t="s">
        <v>440</v>
      </c>
      <c r="AD37" s="1204"/>
      <c r="AE37" s="1204"/>
      <c r="AF37" s="1204"/>
      <c r="AG37" s="1204"/>
      <c r="AH37" s="1205"/>
      <c r="AI37" s="1206" t="s">
        <v>442</v>
      </c>
      <c r="AJ37" s="1209" t="s">
        <v>443</v>
      </c>
      <c r="AK37" s="1066"/>
      <c r="AQ37" s="538">
        <v>14</v>
      </c>
    </row>
    <row r="38" spans="1:43" ht="35.65" customHeight="1">
      <c r="Q38" s="756"/>
      <c r="R38" s="756"/>
      <c r="S38" s="1202"/>
      <c r="T38" s="1154"/>
      <c r="U38" s="822"/>
      <c r="V38" s="617" t="s">
        <v>500</v>
      </c>
      <c r="W38" s="1048" t="s">
        <v>446</v>
      </c>
      <c r="X38" s="1047"/>
      <c r="Y38" s="1048" t="s">
        <v>447</v>
      </c>
      <c r="Z38" s="1053"/>
      <c r="AA38" s="1047"/>
      <c r="AB38" s="1207"/>
      <c r="AC38" s="617" t="s">
        <v>500</v>
      </c>
      <c r="AD38" s="1048" t="s">
        <v>446</v>
      </c>
      <c r="AE38" s="1047"/>
      <c r="AF38" s="1048" t="s">
        <v>447</v>
      </c>
      <c r="AG38" s="1053"/>
      <c r="AH38" s="1047"/>
      <c r="AI38" s="1207"/>
      <c r="AJ38" s="1210"/>
      <c r="AK38" s="1066"/>
      <c r="AQ38" s="538">
        <v>34</v>
      </c>
    </row>
    <row r="39" spans="1:43" ht="35.65" customHeight="1">
      <c r="B39" s="598" t="s">
        <v>148</v>
      </c>
      <c r="C39" s="598" t="s">
        <v>149</v>
      </c>
      <c r="D39" s="598" t="s">
        <v>150</v>
      </c>
      <c r="E39" s="841" t="s">
        <v>448</v>
      </c>
      <c r="F39" s="841" t="s">
        <v>449</v>
      </c>
      <c r="G39" s="841" t="s">
        <v>450</v>
      </c>
      <c r="I39" s="841" t="s">
        <v>501</v>
      </c>
      <c r="J39" s="841" t="s">
        <v>453</v>
      </c>
      <c r="K39" s="841" t="s">
        <v>502</v>
      </c>
      <c r="L39" s="841" t="s">
        <v>429</v>
      </c>
      <c r="Q39" s="756"/>
      <c r="R39" s="756"/>
      <c r="S39" s="1202"/>
      <c r="T39" s="1154"/>
      <c r="U39" s="852"/>
      <c r="V39" s="617" t="s">
        <v>503</v>
      </c>
      <c r="W39" s="602" t="s">
        <v>504</v>
      </c>
      <c r="X39" s="602" t="s">
        <v>505</v>
      </c>
      <c r="Y39" s="602" t="s">
        <v>457</v>
      </c>
      <c r="Z39" s="1162" t="s">
        <v>458</v>
      </c>
      <c r="AA39" s="1164"/>
      <c r="AB39" s="1208"/>
      <c r="AC39" s="617" t="s">
        <v>503</v>
      </c>
      <c r="AD39" s="602" t="s">
        <v>504</v>
      </c>
      <c r="AE39" s="602" t="s">
        <v>505</v>
      </c>
      <c r="AF39" s="602" t="s">
        <v>457</v>
      </c>
      <c r="AG39" s="1162" t="s">
        <v>458</v>
      </c>
      <c r="AH39" s="1164"/>
      <c r="AI39" s="1208"/>
      <c r="AJ39" s="1211"/>
      <c r="AK39" s="1066"/>
      <c r="AQ39" s="538">
        <v>34</v>
      </c>
    </row>
    <row r="40" spans="1:43" ht="0" hidden="1" customHeight="1">
      <c r="Q40" s="853"/>
      <c r="R40" s="854">
        <v>1</v>
      </c>
      <c r="S40" s="329" t="s">
        <v>114</v>
      </c>
      <c r="T40" s="330" t="s">
        <v>102</v>
      </c>
      <c r="U40" s="855" t="str">
        <f ca="1">OFFSET(U40,0,-1)</f>
        <v>2</v>
      </c>
      <c r="V40" s="856">
        <f ca="1">OFFSET(V40,0,-1)+1</f>
        <v>3</v>
      </c>
      <c r="W40" s="856">
        <f ca="1">OFFSET(W40,0,-1)+1</f>
        <v>4</v>
      </c>
      <c r="X40" s="856">
        <f ca="1">OFFSET(X40,0,-1)+1</f>
        <v>5</v>
      </c>
      <c r="Y40" s="856">
        <f ca="1">OFFSET(Y40,0,-1)+1</f>
        <v>6</v>
      </c>
      <c r="Z40" s="1201">
        <f ca="1">OFFSET(Z40,0,-1)+1</f>
        <v>7</v>
      </c>
      <c r="AA40" s="1201"/>
      <c r="AB40" s="856">
        <f ca="1">OFFSET(AB40,0,-2)+1</f>
        <v>8</v>
      </c>
      <c r="AC40" s="856">
        <f ca="1">OFFSET(AC40,0,-1)+1</f>
        <v>9</v>
      </c>
      <c r="AD40" s="856">
        <f ca="1">OFFSET(AD40,0,-1)+1</f>
        <v>10</v>
      </c>
      <c r="AE40" s="856">
        <f ca="1">OFFSET(AE40,0,-1)+1</f>
        <v>11</v>
      </c>
      <c r="AF40" s="856">
        <f ca="1">OFFSET(AF40,0,-1)+1</f>
        <v>12</v>
      </c>
      <c r="AG40" s="1201">
        <f ca="1">OFFSET(AG40,0,-1)+1</f>
        <v>13</v>
      </c>
      <c r="AH40" s="1201"/>
      <c r="AI40" s="856">
        <f ca="1">OFFSET(AI40,0,-2)+1</f>
        <v>14</v>
      </c>
      <c r="AJ40" s="855">
        <f ca="1">OFFSET(AJ40,0,-1)</f>
        <v>14</v>
      </c>
      <c r="AK40" s="856">
        <f ca="1">OFFSET(AK40,0,-1)+1</f>
        <v>15</v>
      </c>
      <c r="AQ40" s="681">
        <v>0</v>
      </c>
    </row>
    <row r="41" spans="1:43" ht="24" customHeight="1">
      <c r="A41" s="857" t="s">
        <v>242</v>
      </c>
      <c r="E41" s="1194">
        <v>1</v>
      </c>
      <c r="R41" s="310"/>
      <c r="S41" s="832">
        <f>INDEX(PT_DIFFERENTIATION_NUM_NTAR,MATCH(A41,PT_DIFFERENTIATION_NTAR_ID,0))</f>
        <v>0</v>
      </c>
      <c r="T41" s="795" t="s">
        <v>136</v>
      </c>
      <c r="U41" s="833"/>
      <c r="V41" s="1180"/>
      <c r="W41" s="1181"/>
      <c r="X41" s="1181"/>
      <c r="Y41" s="1181"/>
      <c r="Z41" s="1181"/>
      <c r="AA41" s="1181"/>
      <c r="AB41" s="1182"/>
      <c r="AC41" s="1180" t="str">
        <f>INDEX(PT_DIFFERENTIATION_NTAR,MATCH(A41,PT_DIFFERENTIATION_NTAR_ID,0))</f>
        <v/>
      </c>
      <c r="AD41" s="1181"/>
      <c r="AE41" s="1181"/>
      <c r="AF41" s="1181"/>
      <c r="AG41" s="1181"/>
      <c r="AH41" s="1181"/>
      <c r="AI41" s="1181"/>
      <c r="AJ41" s="1182"/>
      <c r="AK41"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41" s="582" t="str">
        <f t="shared" ref="AN41:AN53" si="1">IF(T41="","",T41)</f>
        <v>Наименование тарифа</v>
      </c>
      <c r="AQ41" s="538">
        <v>23</v>
      </c>
    </row>
    <row r="42" spans="1:43" ht="24" customHeight="1">
      <c r="A42" s="857" t="s">
        <v>242</v>
      </c>
      <c r="B42" s="857" t="s">
        <v>243</v>
      </c>
      <c r="E42" s="1195"/>
      <c r="F42" s="1194">
        <v>1</v>
      </c>
      <c r="Q42" s="836"/>
      <c r="R42" s="837"/>
      <c r="S42" s="832" t="str">
        <f>INDEX(PT_DIFFERENTIATION_NUM_TER,MATCH(B42,PT_DIFFERENTIATION_TER_ID,0))</f>
        <v>.</v>
      </c>
      <c r="T42" s="838" t="s">
        <v>408</v>
      </c>
      <c r="U42" s="833"/>
      <c r="V42" s="1180"/>
      <c r="W42" s="1181"/>
      <c r="X42" s="1181"/>
      <c r="Y42" s="1181"/>
      <c r="Z42" s="1181"/>
      <c r="AA42" s="1181"/>
      <c r="AB42" s="1182"/>
      <c r="AC42" s="1180" t="str">
        <f>INDEX(PT_DIFFERENTIATION_TER,MATCH(B42,PT_DIFFERENTIATION_TER_ID,0))</f>
        <v/>
      </c>
      <c r="AD42" s="1181"/>
      <c r="AE42" s="1181"/>
      <c r="AF42" s="1181"/>
      <c r="AG42" s="1181"/>
      <c r="AH42" s="1181"/>
      <c r="AI42" s="1181"/>
      <c r="AJ42" s="1182"/>
      <c r="AK42" s="835" t="s">
        <v>409</v>
      </c>
      <c r="AN42" s="582" t="str">
        <f t="shared" si="1"/>
        <v>Территория действия тарифа</v>
      </c>
      <c r="AQ42" s="538">
        <v>23</v>
      </c>
    </row>
    <row r="43" spans="1:43" ht="24" customHeight="1">
      <c r="A43" s="857" t="s">
        <v>242</v>
      </c>
      <c r="B43" s="857" t="s">
        <v>243</v>
      </c>
      <c r="C43" s="857" t="s">
        <v>244</v>
      </c>
      <c r="E43" s="1195"/>
      <c r="F43" s="1195"/>
      <c r="G43" s="1194">
        <v>1</v>
      </c>
      <c r="Q43" s="836"/>
      <c r="R43" s="837"/>
      <c r="S43" s="832" t="str">
        <f>INDEX(PT_DIFFERENTIATION_NUM_CS,MATCH(C43,PT_DIFFERENTIATION_CS_ID,0))</f>
        <v>..</v>
      </c>
      <c r="T43" s="839" t="s">
        <v>492</v>
      </c>
      <c r="U43" s="833"/>
      <c r="V43" s="1180"/>
      <c r="W43" s="1181"/>
      <c r="X43" s="1181"/>
      <c r="Y43" s="1181"/>
      <c r="Z43" s="1181"/>
      <c r="AA43" s="1181"/>
      <c r="AB43" s="1182"/>
      <c r="AC43" s="1180" t="str">
        <f>INDEX(PT_DIFFERENTIATION_CS,MATCH(C43,PT_DIFFERENTIATION_CS_ID,0))</f>
        <v/>
      </c>
      <c r="AD43" s="1181"/>
      <c r="AE43" s="1181"/>
      <c r="AF43" s="1181"/>
      <c r="AG43" s="1181"/>
      <c r="AH43" s="1181"/>
      <c r="AI43" s="1181"/>
      <c r="AJ43" s="1182"/>
      <c r="AK43" s="835" t="s">
        <v>493</v>
      </c>
      <c r="AN43" s="582" t="str">
        <f t="shared" si="1"/>
        <v>Наименование централизованной системы холодного водоснабжения</v>
      </c>
      <c r="AQ43" s="538">
        <v>23</v>
      </c>
    </row>
    <row r="44" spans="1:43" ht="24" customHeight="1">
      <c r="A44" s="857" t="s">
        <v>242</v>
      </c>
      <c r="B44" s="857" t="s">
        <v>243</v>
      </c>
      <c r="C44" s="857" t="s">
        <v>244</v>
      </c>
      <c r="D44" s="857" t="s">
        <v>507</v>
      </c>
      <c r="E44" s="1195"/>
      <c r="F44" s="1195"/>
      <c r="G44" s="1195"/>
      <c r="H44" s="1195"/>
      <c r="I44" s="1192" t="str">
        <f>S43&amp;".1"</f>
        <v>...1</v>
      </c>
      <c r="P44" s="1193">
        <v>1</v>
      </c>
      <c r="R44" s="842"/>
      <c r="S44" s="832" t="str">
        <f>$I44</f>
        <v>...1</v>
      </c>
      <c r="T44" s="843" t="s">
        <v>494</v>
      </c>
      <c r="U44" s="833"/>
      <c r="V44" s="1260"/>
      <c r="W44" s="1261"/>
      <c r="X44" s="1261"/>
      <c r="Y44" s="1261"/>
      <c r="Z44" s="1261"/>
      <c r="AA44" s="1261"/>
      <c r="AB44" s="1262"/>
      <c r="AC44" s="1263"/>
      <c r="AD44" s="1264"/>
      <c r="AE44" s="1264"/>
      <c r="AF44" s="1264"/>
      <c r="AG44" s="1264"/>
      <c r="AH44" s="1264"/>
      <c r="AI44" s="1264"/>
      <c r="AJ44" s="1265"/>
      <c r="AK44" s="835" t="s">
        <v>495</v>
      </c>
      <c r="AN44" s="582" t="str">
        <f t="shared" si="1"/>
        <v>Наименование признака дифференциации</v>
      </c>
      <c r="AQ44" s="538">
        <v>23</v>
      </c>
    </row>
    <row r="45" spans="1:43" ht="24" customHeight="1">
      <c r="A45" s="857" t="s">
        <v>242</v>
      </c>
      <c r="B45" s="857" t="s">
        <v>243</v>
      </c>
      <c r="C45" s="857" t="s">
        <v>244</v>
      </c>
      <c r="D45" s="857" t="s">
        <v>507</v>
      </c>
      <c r="E45" s="1195"/>
      <c r="F45" s="1195"/>
      <c r="G45" s="1195"/>
      <c r="H45" s="1195"/>
      <c r="I45" s="1214"/>
      <c r="J45" s="1192" t="str">
        <f>I44&amp;".1"</f>
        <v>...1.1</v>
      </c>
      <c r="L45" s="841" t="s">
        <v>417</v>
      </c>
      <c r="P45" s="1031"/>
      <c r="Q45" s="1193">
        <v>1</v>
      </c>
      <c r="R45" s="844"/>
      <c r="S45" s="832" t="str">
        <f>$J45</f>
        <v>...1.1</v>
      </c>
      <c r="T45" s="845" t="s">
        <v>418</v>
      </c>
      <c r="U45" s="833"/>
      <c r="V45" s="1183"/>
      <c r="W45" s="1184"/>
      <c r="X45" s="1184"/>
      <c r="Y45" s="1184"/>
      <c r="Z45" s="1184"/>
      <c r="AA45" s="1184"/>
      <c r="AB45" s="1185"/>
      <c r="AC45" s="1183"/>
      <c r="AD45" s="1184"/>
      <c r="AE45" s="1184"/>
      <c r="AF45" s="1184"/>
      <c r="AG45" s="1184"/>
      <c r="AH45" s="1184"/>
      <c r="AI45" s="1184"/>
      <c r="AJ45" s="1185"/>
      <c r="AK45" s="874" t="s">
        <v>496</v>
      </c>
      <c r="AN45" s="582" t="str">
        <f t="shared" si="1"/>
        <v>Группа потребителей</v>
      </c>
      <c r="AQ45" s="538">
        <v>23</v>
      </c>
    </row>
    <row r="46" spans="1:43" ht="24" customHeight="1">
      <c r="A46" s="857" t="s">
        <v>242</v>
      </c>
      <c r="B46" s="857" t="s">
        <v>243</v>
      </c>
      <c r="C46" s="857" t="s">
        <v>244</v>
      </c>
      <c r="D46" s="857" t="s">
        <v>507</v>
      </c>
      <c r="E46" s="1195"/>
      <c r="F46" s="1195"/>
      <c r="G46" s="1195"/>
      <c r="H46" s="1195"/>
      <c r="I46" s="1214"/>
      <c r="J46" s="1214"/>
      <c r="K46" s="1192" t="str">
        <f>J45&amp;".1"</f>
        <v>...1.1.1</v>
      </c>
      <c r="P46" s="1031"/>
      <c r="Q46" s="1031"/>
      <c r="R46" s="844">
        <v>1</v>
      </c>
      <c r="S46" s="832" t="str">
        <f>$K46</f>
        <v>...1.1.1</v>
      </c>
      <c r="T46" s="397"/>
      <c r="U46" s="833"/>
      <c r="V46" s="311"/>
      <c r="W46" s="311"/>
      <c r="X46" s="313"/>
      <c r="Y46" s="1197"/>
      <c r="Z46" s="1058" t="s">
        <v>61</v>
      </c>
      <c r="AA46" s="1197"/>
      <c r="AB46" s="1058" t="s">
        <v>61</v>
      </c>
      <c r="AC46" s="311"/>
      <c r="AD46" s="311"/>
      <c r="AE46" s="313"/>
      <c r="AF46" s="1197"/>
      <c r="AG46" s="1058" t="s">
        <v>61</v>
      </c>
      <c r="AH46" s="1215"/>
      <c r="AI46" s="1058" t="s">
        <v>61</v>
      </c>
      <c r="AJ46" s="398"/>
      <c r="AK46" s="1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7" t="e">
        <f ca="1">STRCHECKDATE(V47:AJ47)</f>
        <v>#NAME?</v>
      </c>
      <c r="AN46" s="582" t="str">
        <f t="shared" si="1"/>
        <v/>
      </c>
      <c r="AQ46" s="538">
        <v>23</v>
      </c>
    </row>
    <row r="47" spans="1:43" ht="0" hidden="1" customHeight="1">
      <c r="A47" s="857" t="s">
        <v>242</v>
      </c>
      <c r="B47" s="857" t="s">
        <v>243</v>
      </c>
      <c r="C47" s="857" t="s">
        <v>244</v>
      </c>
      <c r="D47" s="857" t="s">
        <v>507</v>
      </c>
      <c r="E47" s="1195"/>
      <c r="F47" s="1195"/>
      <c r="G47" s="1195"/>
      <c r="H47" s="1195"/>
      <c r="I47" s="1214"/>
      <c r="J47" s="1214"/>
      <c r="K47" s="1192"/>
      <c r="P47" s="1031"/>
      <c r="Q47" s="1031"/>
      <c r="R47" s="844"/>
      <c r="S47" s="127"/>
      <c r="T47" s="833"/>
      <c r="U47" s="833"/>
      <c r="V47" s="312"/>
      <c r="W47" s="312"/>
      <c r="X47" s="314" t="str">
        <f>Y46&amp;"-"&amp;AA46</f>
        <v>-</v>
      </c>
      <c r="Y47" s="1198"/>
      <c r="Z47" s="1058"/>
      <c r="AA47" s="1198"/>
      <c r="AB47" s="1058"/>
      <c r="AC47" s="312"/>
      <c r="AD47" s="312"/>
      <c r="AE47" s="314" t="str">
        <f>AF46&amp;"-"&amp;AH46</f>
        <v>-</v>
      </c>
      <c r="AF47" s="1198"/>
      <c r="AG47" s="1058"/>
      <c r="AH47" s="1216"/>
      <c r="AI47" s="1058"/>
      <c r="AJ47" s="387"/>
      <c r="AK47" s="1259"/>
      <c r="AN47" s="582" t="str">
        <f t="shared" si="1"/>
        <v/>
      </c>
      <c r="AQ47" s="538">
        <v>0</v>
      </c>
    </row>
    <row r="48" spans="1:43" ht="21" customHeight="1">
      <c r="A48" s="857" t="s">
        <v>242</v>
      </c>
      <c r="B48" s="857" t="s">
        <v>243</v>
      </c>
      <c r="C48" s="857" t="s">
        <v>244</v>
      </c>
      <c r="D48" s="857" t="s">
        <v>507</v>
      </c>
      <c r="E48" s="1195"/>
      <c r="F48" s="1195"/>
      <c r="G48" s="1195"/>
      <c r="H48" s="1195"/>
      <c r="I48" s="1214"/>
      <c r="J48" s="1192"/>
      <c r="P48" s="1031"/>
      <c r="Q48" s="1031"/>
      <c r="R48" s="842"/>
      <c r="S48" s="315"/>
      <c r="T48" s="318" t="s">
        <v>497</v>
      </c>
      <c r="U48" s="52"/>
      <c r="V48" s="52"/>
      <c r="W48" s="52"/>
      <c r="X48" s="52"/>
      <c r="Y48" s="52"/>
      <c r="Z48" s="52"/>
      <c r="AA48" s="52"/>
      <c r="AB48" s="52"/>
      <c r="AC48" s="52"/>
      <c r="AD48" s="52"/>
      <c r="AE48" s="52"/>
      <c r="AF48" s="52"/>
      <c r="AG48" s="52"/>
      <c r="AH48" s="52"/>
      <c r="AI48" s="52"/>
      <c r="AJ48" s="52"/>
      <c r="AK48" s="835" t="s">
        <v>498</v>
      </c>
      <c r="AN48" s="582" t="str">
        <f t="shared" si="1"/>
        <v>Добавить значение признака дифференциации</v>
      </c>
      <c r="AQ48" s="538">
        <v>20</v>
      </c>
    </row>
    <row r="49" spans="1:43" ht="21.95" customHeight="1">
      <c r="A49" s="857" t="s">
        <v>242</v>
      </c>
      <c r="B49" s="857" t="s">
        <v>243</v>
      </c>
      <c r="C49" s="857" t="s">
        <v>244</v>
      </c>
      <c r="D49" s="857" t="s">
        <v>507</v>
      </c>
      <c r="E49" s="1195"/>
      <c r="F49" s="1195"/>
      <c r="G49" s="1195"/>
      <c r="H49" s="1195"/>
      <c r="I49" s="1192"/>
      <c r="P49" s="1031"/>
      <c r="R49" s="842"/>
      <c r="S49" s="315"/>
      <c r="T49" s="321" t="s">
        <v>423</v>
      </c>
      <c r="U49" s="52"/>
      <c r="V49" s="52"/>
      <c r="W49" s="52"/>
      <c r="X49" s="52"/>
      <c r="Y49" s="52"/>
      <c r="Z49" s="52"/>
      <c r="AA49" s="52"/>
      <c r="AB49" s="319"/>
      <c r="AC49" s="52"/>
      <c r="AD49" s="52"/>
      <c r="AE49" s="52"/>
      <c r="AF49" s="52"/>
      <c r="AG49" s="52"/>
      <c r="AH49" s="52"/>
      <c r="AI49" s="319"/>
      <c r="AJ49" s="52"/>
      <c r="AK49" s="399"/>
      <c r="AN49" s="582" t="str">
        <f t="shared" si="1"/>
        <v>Добавить группу потребителей</v>
      </c>
      <c r="AQ49" s="538">
        <v>21</v>
      </c>
    </row>
    <row r="50" spans="1:43" ht="21.95" customHeight="1">
      <c r="A50" s="857" t="s">
        <v>242</v>
      </c>
      <c r="B50" s="857" t="s">
        <v>243</v>
      </c>
      <c r="C50" s="857" t="s">
        <v>244</v>
      </c>
      <c r="D50" s="857" t="s">
        <v>507</v>
      </c>
      <c r="E50" s="1195"/>
      <c r="F50" s="1195"/>
      <c r="G50" s="1195"/>
      <c r="H50" s="1194"/>
      <c r="R50" s="310"/>
      <c r="S50" s="315"/>
      <c r="T50" s="376" t="s">
        <v>499</v>
      </c>
      <c r="U50" s="52"/>
      <c r="V50" s="52"/>
      <c r="W50" s="52"/>
      <c r="X50" s="52"/>
      <c r="Y50" s="52"/>
      <c r="Z50" s="52"/>
      <c r="AA50" s="52"/>
      <c r="AB50" s="319"/>
      <c r="AC50" s="52"/>
      <c r="AD50" s="52"/>
      <c r="AE50" s="52"/>
      <c r="AF50" s="52"/>
      <c r="AG50" s="52"/>
      <c r="AH50" s="52"/>
      <c r="AI50" s="319"/>
      <c r="AJ50" s="52"/>
      <c r="AK50" s="320"/>
      <c r="AN50" s="582" t="str">
        <f t="shared" si="1"/>
        <v>Добавить наименование признака дифференциации</v>
      </c>
      <c r="AQ50" s="538">
        <v>21</v>
      </c>
    </row>
    <row r="51" spans="1:43" ht="0" hidden="1" customHeight="1">
      <c r="A51" s="574" t="s">
        <v>242</v>
      </c>
      <c r="B51" s="574" t="s">
        <v>243</v>
      </c>
      <c r="E51" s="1195"/>
      <c r="F51" s="1194"/>
      <c r="T51" s="326" t="s">
        <v>426</v>
      </c>
      <c r="AN51" s="582" t="str">
        <f t="shared" si="1"/>
        <v>Добавить централизованную систему для дифференциации</v>
      </c>
      <c r="AQ51" s="577">
        <v>0</v>
      </c>
    </row>
    <row r="52" spans="1:43" ht="0" hidden="1" customHeight="1">
      <c r="A52" s="574" t="s">
        <v>242</v>
      </c>
      <c r="E52" s="1194"/>
      <c r="T52" s="326" t="s">
        <v>427</v>
      </c>
      <c r="AN52" s="582" t="str">
        <f t="shared" si="1"/>
        <v>Добавить территорию для дифференциации</v>
      </c>
      <c r="AQ52" s="577">
        <v>0</v>
      </c>
    </row>
    <row r="53" spans="1:43" ht="0" hidden="1" customHeight="1">
      <c r="T53" s="326" t="s">
        <v>459</v>
      </c>
      <c r="AN53" s="582" t="str">
        <f t="shared" si="1"/>
        <v>Добавить наименование тарифа</v>
      </c>
      <c r="AQ53" s="577">
        <v>0</v>
      </c>
    </row>
    <row r="54" spans="1:43" ht="11.45" customHeight="1">
      <c r="AQ54" s="538">
        <v>11</v>
      </c>
    </row>
    <row r="55" spans="1:43" ht="14.65" customHeight="1">
      <c r="T55" s="1031"/>
      <c r="U55" s="1031"/>
      <c r="V55" s="1031"/>
      <c r="W55" s="1031"/>
      <c r="X55" s="1031"/>
      <c r="Y55" s="1031"/>
      <c r="Z55" s="1031"/>
      <c r="AA55" s="1031"/>
      <c r="AB55" s="1031"/>
      <c r="AC55" s="1031"/>
      <c r="AD55" s="1031"/>
      <c r="AE55" s="1031"/>
      <c r="AF55" s="1031"/>
      <c r="AG55" s="1031"/>
      <c r="AH55" s="1031"/>
      <c r="AI55" s="1031"/>
      <c r="AJ55" s="1031"/>
      <c r="AK55" s="1031"/>
      <c r="AQ55" s="538">
        <v>14</v>
      </c>
    </row>
    <row r="56" spans="1:43" ht="14.65" customHeight="1">
      <c r="AQ56" s="538">
        <v>14</v>
      </c>
    </row>
    <row r="57" spans="1:43" ht="14.65" customHeight="1">
      <c r="T57" s="1031"/>
      <c r="U57" s="1031"/>
      <c r="V57" s="1031"/>
      <c r="W57" s="1031"/>
      <c r="X57" s="1031"/>
      <c r="Y57" s="1031"/>
      <c r="Z57" s="1031"/>
      <c r="AA57" s="1031"/>
      <c r="AB57" s="1031"/>
      <c r="AC57" s="1031"/>
      <c r="AD57" s="1031"/>
      <c r="AE57" s="1031"/>
      <c r="AF57" s="1031"/>
      <c r="AG57" s="1031"/>
      <c r="AH57" s="1031"/>
      <c r="AI57" s="1031"/>
      <c r="AJ57" s="1031"/>
      <c r="AK57" s="1031"/>
      <c r="AQ57" s="538">
        <v>14</v>
      </c>
    </row>
    <row r="58" spans="1:43" ht="22.5" hidden="1" customHeight="1">
      <c r="A58" s="555" t="s">
        <v>81</v>
      </c>
      <c r="B58" s="555">
        <v>0</v>
      </c>
      <c r="C58" s="555">
        <v>0</v>
      </c>
      <c r="D58" s="555">
        <v>0</v>
      </c>
      <c r="E58" s="555">
        <v>0</v>
      </c>
      <c r="F58" s="555">
        <v>0</v>
      </c>
      <c r="G58" s="555">
        <v>0</v>
      </c>
      <c r="H58" s="555">
        <v>0</v>
      </c>
      <c r="I58" s="555">
        <v>0</v>
      </c>
      <c r="J58" s="555">
        <v>0</v>
      </c>
      <c r="K58" s="555">
        <v>0</v>
      </c>
      <c r="L58" s="667">
        <v>0</v>
      </c>
      <c r="M58" s="12">
        <v>0</v>
      </c>
      <c r="N58" s="12">
        <v>0</v>
      </c>
      <c r="O58" s="12">
        <v>0</v>
      </c>
      <c r="P58" s="300">
        <v>3</v>
      </c>
      <c r="Q58" s="821">
        <v>3</v>
      </c>
      <c r="R58" s="821">
        <v>3</v>
      </c>
      <c r="S58" s="553">
        <v>12</v>
      </c>
      <c r="T58" s="538">
        <v>35</v>
      </c>
      <c r="U58" s="538">
        <v>0</v>
      </c>
      <c r="V58" s="538">
        <v>0</v>
      </c>
      <c r="W58" s="538">
        <v>0</v>
      </c>
      <c r="X58" s="538">
        <v>0</v>
      </c>
      <c r="Y58" s="538">
        <v>0</v>
      </c>
      <c r="Z58" s="538">
        <v>0</v>
      </c>
      <c r="AA58" s="538">
        <v>0</v>
      </c>
      <c r="AB58" s="538">
        <v>0</v>
      </c>
      <c r="AC58" s="538">
        <v>24</v>
      </c>
      <c r="AD58" s="538">
        <v>24</v>
      </c>
      <c r="AE58" s="538">
        <v>24</v>
      </c>
      <c r="AF58" s="538">
        <v>11</v>
      </c>
      <c r="AG58" s="538">
        <v>3</v>
      </c>
      <c r="AH58" s="538">
        <v>11</v>
      </c>
      <c r="AI58" s="538">
        <v>0</v>
      </c>
      <c r="AJ58" s="538">
        <v>4</v>
      </c>
      <c r="AK58" s="538">
        <v>115</v>
      </c>
      <c r="AL58" s="577">
        <v>10</v>
      </c>
      <c r="AM58" s="577">
        <v>10</v>
      </c>
      <c r="AN58" s="577">
        <v>10</v>
      </c>
      <c r="AO58" s="577">
        <v>10</v>
      </c>
      <c r="AP58" s="577">
        <v>10</v>
      </c>
      <c r="AQ58" s="538">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4.140625" style="1029" hidden="1" customWidth="1"/>
    <col min="10" max="10" width="9.85546875" style="1029" hidden="1" customWidth="1"/>
    <col min="11" max="11" width="14.7109375" style="1029" hidden="1" customWidth="1"/>
    <col min="12" max="12" width="19.140625" style="1029" hidden="1" customWidth="1"/>
    <col min="13" max="14" width="12.28515625" style="1029" hidden="1" customWidth="1"/>
    <col min="15" max="15" width="23.42578125" style="1029" hidden="1" customWidth="1"/>
    <col min="16" max="18" width="3" style="1029" customWidth="1"/>
    <col min="19" max="19" width="12" style="1029" customWidth="1"/>
    <col min="20" max="20" width="35" style="1029" customWidth="1"/>
    <col min="21" max="21" width="0.140625" style="1029" customWidth="1"/>
    <col min="22" max="24" width="24.7109375" style="1029" hidden="1" customWidth="1"/>
    <col min="25" max="25" width="11.7109375" style="1029" hidden="1" customWidth="1"/>
    <col min="26" max="26" width="3.7109375" style="1029" hidden="1" customWidth="1"/>
    <col min="27" max="27" width="11.7109375" style="1029" hidden="1" customWidth="1"/>
    <col min="28" max="28" width="8.5703125" style="1029" hidden="1" customWidth="1"/>
    <col min="29" max="29" width="24.7109375" style="1029" customWidth="1"/>
    <col min="30" max="31" width="24" style="1029" customWidth="1"/>
    <col min="32" max="32" width="11" style="1029" customWidth="1"/>
    <col min="33" max="33" width="3.7109375" style="1029" customWidth="1"/>
    <col min="34" max="34" width="11" style="1029" customWidth="1"/>
    <col min="35" max="35" width="8.5703125" style="1029" hidden="1" customWidth="1"/>
    <col min="36" max="36" width="4" style="1029" customWidth="1"/>
    <col min="37" max="37" width="115" style="1029" customWidth="1"/>
    <col min="38" max="42" width="10" style="1029" customWidth="1"/>
    <col min="43" max="43" width="10.5703125" style="1029" hidden="1"/>
  </cols>
  <sheetData>
    <row r="1" spans="5:43" ht="22.5" hidden="1" customHeight="1">
      <c r="AQ1" s="538" t="s">
        <v>14</v>
      </c>
    </row>
    <row r="2" spans="5:43" ht="23.25" hidden="1" customHeight="1">
      <c r="E2" s="1194">
        <v>1</v>
      </c>
      <c r="R2" s="310"/>
      <c r="S2" s="832" t="e">
        <f>INDEX(PT_DIFFERENTIATION_NUM_NTAR,MATCH(A2,PT_DIFFERENTIATION_NTAR_ID,0))</f>
        <v>#N/A</v>
      </c>
      <c r="T2" s="795" t="s">
        <v>136</v>
      </c>
      <c r="U2" s="833"/>
      <c r="V2" s="1180"/>
      <c r="W2" s="1181"/>
      <c r="X2" s="1181"/>
      <c r="Y2" s="1181"/>
      <c r="Z2" s="1181"/>
      <c r="AA2" s="1181"/>
      <c r="AB2" s="1182"/>
      <c r="AC2" s="1180" t="e">
        <f>INDEX(PT_DIFFERENTIATION_NTAR,MATCH(A2,PT_DIFFERENTIATION_NTAR_ID,0))</f>
        <v>#N/A</v>
      </c>
      <c r="AD2" s="1181"/>
      <c r="AE2" s="1181"/>
      <c r="AF2" s="1181"/>
      <c r="AG2" s="1181"/>
      <c r="AH2" s="1181"/>
      <c r="AI2" s="1181"/>
      <c r="AJ2" s="1182"/>
      <c r="AK2"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2" s="582" t="str">
        <f t="shared" ref="AN2:AN13" si="0">IF(T2="","",T2)</f>
        <v>Наименование тарифа</v>
      </c>
      <c r="AQ2" s="538">
        <v>0</v>
      </c>
    </row>
    <row r="3" spans="5:43" ht="23.25" hidden="1" customHeight="1">
      <c r="E3" s="1195"/>
      <c r="F3" s="1194">
        <v>1</v>
      </c>
      <c r="Q3" s="836"/>
      <c r="R3" s="837"/>
      <c r="S3" s="832" t="e">
        <f>INDEX(PT_DIFFERENTIATION_NUM_TER,MATCH(B3,PT_DIFFERENTIATION_TER_ID,0))</f>
        <v>#N/A</v>
      </c>
      <c r="T3" s="838" t="s">
        <v>408</v>
      </c>
      <c r="U3" s="833"/>
      <c r="V3" s="1180"/>
      <c r="W3" s="1181"/>
      <c r="X3" s="1181"/>
      <c r="Y3" s="1181"/>
      <c r="Z3" s="1181"/>
      <c r="AA3" s="1181"/>
      <c r="AB3" s="1182"/>
      <c r="AC3" s="1180" t="e">
        <f>INDEX(PT_DIFFERENTIATION_TER,MATCH(B3,PT_DIFFERENTIATION_TER_ID,0))</f>
        <v>#N/A</v>
      </c>
      <c r="AD3" s="1181"/>
      <c r="AE3" s="1181"/>
      <c r="AF3" s="1181"/>
      <c r="AG3" s="1181"/>
      <c r="AH3" s="1181"/>
      <c r="AI3" s="1181"/>
      <c r="AJ3" s="1182"/>
      <c r="AK3" s="835" t="s">
        <v>409</v>
      </c>
      <c r="AN3" s="582" t="str">
        <f t="shared" si="0"/>
        <v>Территория действия тарифа</v>
      </c>
      <c r="AQ3" s="538">
        <v>0</v>
      </c>
    </row>
    <row r="4" spans="5:43" ht="23.25" hidden="1" customHeight="1">
      <c r="E4" s="1195"/>
      <c r="F4" s="1195"/>
      <c r="G4" s="1194">
        <v>1</v>
      </c>
      <c r="Q4" s="836"/>
      <c r="R4" s="837"/>
      <c r="S4" s="832" t="e">
        <f>INDEX(PT_DIFFERENTIATION_NUM_CS,MATCH(C4,PT_DIFFERENTIATION_CS_ID,0))</f>
        <v>#N/A</v>
      </c>
      <c r="T4" s="839" t="s">
        <v>492</v>
      </c>
      <c r="U4" s="833"/>
      <c r="V4" s="1180"/>
      <c r="W4" s="1181"/>
      <c r="X4" s="1181"/>
      <c r="Y4" s="1181"/>
      <c r="Z4" s="1181"/>
      <c r="AA4" s="1181"/>
      <c r="AB4" s="1182"/>
      <c r="AC4" s="1180" t="e">
        <f>INDEX(PT_DIFFERENTIATION_CS,MATCH(C4,PT_DIFFERENTIATION_CS_ID,0))</f>
        <v>#N/A</v>
      </c>
      <c r="AD4" s="1181"/>
      <c r="AE4" s="1181"/>
      <c r="AF4" s="1181"/>
      <c r="AG4" s="1181"/>
      <c r="AH4" s="1181"/>
      <c r="AI4" s="1181"/>
      <c r="AJ4" s="1182"/>
      <c r="AK4" s="835" t="s">
        <v>493</v>
      </c>
      <c r="AN4" s="582" t="str">
        <f t="shared" si="0"/>
        <v>Наименование централизованной системы холодного водоснабжения</v>
      </c>
      <c r="AQ4" s="538">
        <v>0</v>
      </c>
    </row>
    <row r="5" spans="5:43" ht="23.25" hidden="1" customHeight="1">
      <c r="E5" s="1195"/>
      <c r="F5" s="1195"/>
      <c r="G5" s="1195"/>
      <c r="H5" s="1195"/>
      <c r="I5" s="1192" t="e">
        <f>S4&amp;".1"</f>
        <v>#N/A</v>
      </c>
      <c r="P5" s="1193">
        <v>1</v>
      </c>
      <c r="R5" s="842"/>
      <c r="S5" s="832" t="e">
        <f>$I5</f>
        <v>#N/A</v>
      </c>
      <c r="T5" s="843" t="s">
        <v>494</v>
      </c>
      <c r="U5" s="833"/>
      <c r="V5" s="1260"/>
      <c r="W5" s="1261"/>
      <c r="X5" s="1261"/>
      <c r="Y5" s="1261"/>
      <c r="Z5" s="1261"/>
      <c r="AA5" s="1261"/>
      <c r="AB5" s="1262"/>
      <c r="AC5" s="1263"/>
      <c r="AD5" s="1264"/>
      <c r="AE5" s="1264"/>
      <c r="AF5" s="1264"/>
      <c r="AG5" s="1264"/>
      <c r="AH5" s="1264"/>
      <c r="AI5" s="1264"/>
      <c r="AJ5" s="1265"/>
      <c r="AK5" s="835" t="s">
        <v>495</v>
      </c>
      <c r="AN5" s="582" t="str">
        <f t="shared" si="0"/>
        <v>Наименование признака дифференциации</v>
      </c>
      <c r="AQ5" s="538">
        <v>0</v>
      </c>
    </row>
    <row r="6" spans="5:43" ht="23.25" hidden="1" customHeight="1">
      <c r="E6" s="1195"/>
      <c r="F6" s="1195"/>
      <c r="G6" s="1195"/>
      <c r="H6" s="1195"/>
      <c r="I6" s="1214"/>
      <c r="J6" s="1192" t="e">
        <f>I5&amp;".1"</f>
        <v>#N/A</v>
      </c>
      <c r="L6" s="841" t="s">
        <v>417</v>
      </c>
      <c r="P6" s="1031"/>
      <c r="Q6" s="1193">
        <v>1</v>
      </c>
      <c r="R6" s="844"/>
      <c r="S6" s="832" t="e">
        <f>$J6</f>
        <v>#N/A</v>
      </c>
      <c r="T6" s="845" t="s">
        <v>418</v>
      </c>
      <c r="U6" s="833"/>
      <c r="V6" s="1183"/>
      <c r="W6" s="1184"/>
      <c r="X6" s="1184"/>
      <c r="Y6" s="1184"/>
      <c r="Z6" s="1184"/>
      <c r="AA6" s="1184"/>
      <c r="AB6" s="1185"/>
      <c r="AC6" s="1183"/>
      <c r="AD6" s="1184"/>
      <c r="AE6" s="1184"/>
      <c r="AF6" s="1184"/>
      <c r="AG6" s="1184"/>
      <c r="AH6" s="1184"/>
      <c r="AI6" s="1184"/>
      <c r="AJ6" s="1185"/>
      <c r="AK6" s="874" t="s">
        <v>496</v>
      </c>
      <c r="AN6" s="582" t="str">
        <f t="shared" si="0"/>
        <v>Группа потребителей</v>
      </c>
      <c r="AQ6" s="538">
        <v>0</v>
      </c>
    </row>
    <row r="7" spans="5:43" ht="23.25" hidden="1" customHeight="1">
      <c r="E7" s="1195"/>
      <c r="F7" s="1195"/>
      <c r="G7" s="1195"/>
      <c r="H7" s="1195"/>
      <c r="I7" s="1214"/>
      <c r="J7" s="1214"/>
      <c r="K7" s="1192" t="e">
        <f>J6&amp;".1"</f>
        <v>#N/A</v>
      </c>
      <c r="P7" s="1031"/>
      <c r="Q7" s="1031"/>
      <c r="R7" s="844">
        <v>1</v>
      </c>
      <c r="S7" s="832" t="e">
        <f>$K7</f>
        <v>#N/A</v>
      </c>
      <c r="T7" s="397"/>
      <c r="U7" s="833"/>
      <c r="V7" s="311"/>
      <c r="W7" s="311"/>
      <c r="X7" s="313"/>
      <c r="Y7" s="1197"/>
      <c r="Z7" s="1058" t="s">
        <v>61</v>
      </c>
      <c r="AA7" s="1197"/>
      <c r="AB7" s="1058" t="s">
        <v>61</v>
      </c>
      <c r="AC7" s="311"/>
      <c r="AD7" s="311"/>
      <c r="AE7" s="313"/>
      <c r="AF7" s="1197"/>
      <c r="AG7" s="1058" t="s">
        <v>61</v>
      </c>
      <c r="AH7" s="1215"/>
      <c r="AI7" s="1058" t="s">
        <v>61</v>
      </c>
      <c r="AJ7" s="398"/>
      <c r="AK7" s="1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7" t="e">
        <f ca="1">STRCHECKDATE(V8:AJ8)</f>
        <v>#NAME?</v>
      </c>
      <c r="AN7" s="582" t="str">
        <f t="shared" si="0"/>
        <v/>
      </c>
      <c r="AQ7" s="538">
        <v>0</v>
      </c>
    </row>
    <row r="8" spans="5:43" ht="14.25" hidden="1" customHeight="1">
      <c r="E8" s="1195"/>
      <c r="F8" s="1195"/>
      <c r="G8" s="1195"/>
      <c r="H8" s="1195"/>
      <c r="I8" s="1214"/>
      <c r="J8" s="1214"/>
      <c r="K8" s="1192"/>
      <c r="P8" s="1031"/>
      <c r="Q8" s="1031"/>
      <c r="R8" s="844"/>
      <c r="S8" s="127"/>
      <c r="T8" s="833"/>
      <c r="U8" s="833"/>
      <c r="V8" s="312"/>
      <c r="W8" s="312"/>
      <c r="X8" s="314" t="str">
        <f>Y7&amp;"-"&amp;AA7</f>
        <v>-</v>
      </c>
      <c r="Y8" s="1198"/>
      <c r="Z8" s="1058"/>
      <c r="AA8" s="1198"/>
      <c r="AB8" s="1058"/>
      <c r="AC8" s="312"/>
      <c r="AD8" s="312"/>
      <c r="AE8" s="314" t="str">
        <f>AF7&amp;"-"&amp;AH7</f>
        <v>-</v>
      </c>
      <c r="AF8" s="1198"/>
      <c r="AG8" s="1058"/>
      <c r="AH8" s="1216"/>
      <c r="AI8" s="1058"/>
      <c r="AJ8" s="387"/>
      <c r="AK8" s="1259"/>
      <c r="AN8" s="582" t="str">
        <f t="shared" si="0"/>
        <v/>
      </c>
      <c r="AQ8" s="538">
        <v>0</v>
      </c>
    </row>
    <row r="9" spans="5:43" ht="21" hidden="1" customHeight="1">
      <c r="E9" s="1195"/>
      <c r="F9" s="1195"/>
      <c r="G9" s="1195"/>
      <c r="H9" s="1195"/>
      <c r="I9" s="1214"/>
      <c r="J9" s="1192"/>
      <c r="P9" s="1031"/>
      <c r="Q9" s="1031"/>
      <c r="R9" s="842"/>
      <c r="S9" s="315"/>
      <c r="T9" s="318" t="s">
        <v>497</v>
      </c>
      <c r="U9" s="52"/>
      <c r="V9" s="52"/>
      <c r="W9" s="52"/>
      <c r="X9" s="52"/>
      <c r="Y9" s="52"/>
      <c r="Z9" s="52"/>
      <c r="AA9" s="52"/>
      <c r="AB9" s="52"/>
      <c r="AC9" s="52"/>
      <c r="AD9" s="52"/>
      <c r="AE9" s="52"/>
      <c r="AF9" s="52"/>
      <c r="AG9" s="52"/>
      <c r="AH9" s="52"/>
      <c r="AI9" s="52"/>
      <c r="AJ9" s="52"/>
      <c r="AK9" s="835" t="s">
        <v>498</v>
      </c>
      <c r="AN9" s="582" t="str">
        <f t="shared" si="0"/>
        <v>Добавить значение признака дифференциации</v>
      </c>
      <c r="AQ9" s="538">
        <v>0</v>
      </c>
    </row>
    <row r="10" spans="5:43" ht="21" hidden="1" customHeight="1">
      <c r="E10" s="1195"/>
      <c r="F10" s="1195"/>
      <c r="G10" s="1195"/>
      <c r="H10" s="1195"/>
      <c r="I10" s="1192"/>
      <c r="P10" s="1031"/>
      <c r="R10" s="842"/>
      <c r="S10" s="315"/>
      <c r="T10" s="321" t="s">
        <v>423</v>
      </c>
      <c r="U10" s="52"/>
      <c r="V10" s="52"/>
      <c r="W10" s="52"/>
      <c r="X10" s="52"/>
      <c r="Y10" s="52"/>
      <c r="Z10" s="52"/>
      <c r="AA10" s="52"/>
      <c r="AB10" s="319"/>
      <c r="AC10" s="52"/>
      <c r="AD10" s="52"/>
      <c r="AE10" s="52"/>
      <c r="AF10" s="52"/>
      <c r="AG10" s="52"/>
      <c r="AH10" s="52"/>
      <c r="AI10" s="319"/>
      <c r="AJ10" s="52"/>
      <c r="AK10" s="399"/>
      <c r="AN10" s="582" t="str">
        <f t="shared" si="0"/>
        <v>Добавить группу потребителей</v>
      </c>
      <c r="AQ10" s="538">
        <v>0</v>
      </c>
    </row>
    <row r="11" spans="5:43" ht="21" hidden="1" customHeight="1">
      <c r="E11" s="1195"/>
      <c r="F11" s="1195"/>
      <c r="G11" s="1195"/>
      <c r="H11" s="1194"/>
      <c r="R11" s="310"/>
      <c r="S11" s="315"/>
      <c r="T11" s="376" t="s">
        <v>499</v>
      </c>
      <c r="U11" s="52"/>
      <c r="V11" s="52"/>
      <c r="W11" s="52"/>
      <c r="X11" s="52"/>
      <c r="Y11" s="52"/>
      <c r="Z11" s="52"/>
      <c r="AA11" s="52"/>
      <c r="AB11" s="319"/>
      <c r="AC11" s="52"/>
      <c r="AD11" s="52"/>
      <c r="AE11" s="52"/>
      <c r="AF11" s="52"/>
      <c r="AG11" s="52"/>
      <c r="AH11" s="52"/>
      <c r="AI11" s="319"/>
      <c r="AJ11" s="52"/>
      <c r="AK11" s="320"/>
      <c r="AN11" s="582" t="str">
        <f t="shared" si="0"/>
        <v>Добавить наименование признака дифференциации</v>
      </c>
      <c r="AQ11" s="538">
        <v>0</v>
      </c>
    </row>
    <row r="12" spans="5:43" ht="14.25" hidden="1" customHeight="1">
      <c r="E12" s="1195"/>
      <c r="F12" s="1194"/>
      <c r="T12" s="326" t="s">
        <v>426</v>
      </c>
      <c r="AN12" s="582" t="str">
        <f t="shared" si="0"/>
        <v>Добавить централизованную систему для дифференциации</v>
      </c>
      <c r="AQ12" s="577">
        <v>0</v>
      </c>
    </row>
    <row r="13" spans="5:43" ht="14.25" hidden="1" customHeight="1">
      <c r="E13" s="1194"/>
      <c r="T13" s="326" t="s">
        <v>427</v>
      </c>
      <c r="AN13" s="582" t="str">
        <f t="shared" si="0"/>
        <v>Добавить территорию для дифференциации</v>
      </c>
      <c r="AQ13" s="577">
        <v>0</v>
      </c>
    </row>
    <row r="14" spans="5:43" ht="14.25" hidden="1" customHeight="1">
      <c r="AQ14" s="538">
        <v>0</v>
      </c>
    </row>
    <row r="15" spans="5:43" ht="14.25" hidden="1" customHeight="1">
      <c r="AC15" s="275"/>
      <c r="AD15" s="275"/>
      <c r="AE15" s="327"/>
      <c r="AF15" s="1199"/>
      <c r="AG15" s="1200" t="s">
        <v>61</v>
      </c>
      <c r="AH15" s="1199"/>
      <c r="AI15" s="1200" t="s">
        <v>61</v>
      </c>
      <c r="AQ15" s="538">
        <v>0</v>
      </c>
    </row>
    <row r="16" spans="5:43" ht="14.25" hidden="1" customHeight="1">
      <c r="AC16" s="275"/>
      <c r="AD16" s="275"/>
      <c r="AE16" s="314" t="str">
        <f>AF15&amp;"-"&amp;AH15</f>
        <v>-</v>
      </c>
      <c r="AF16" s="1200"/>
      <c r="AG16" s="1200"/>
      <c r="AH16" s="1200"/>
      <c r="AI16" s="1200"/>
      <c r="AQ16" s="538">
        <v>0</v>
      </c>
    </row>
    <row r="17" spans="15:43" ht="14.25" hidden="1" customHeight="1">
      <c r="AQ17" s="538">
        <v>0</v>
      </c>
    </row>
    <row r="18" spans="15:43" ht="22.5" hidden="1" customHeight="1">
      <c r="O18" s="328" t="s">
        <v>428</v>
      </c>
      <c r="Y18" s="328"/>
      <c r="AA18" s="328"/>
      <c r="AF18" s="328"/>
      <c r="AH18" s="328"/>
      <c r="AQ18" s="555">
        <v>0</v>
      </c>
    </row>
    <row r="19" spans="15:43" ht="14.25" hidden="1" customHeight="1">
      <c r="AQ19" s="555">
        <v>0</v>
      </c>
    </row>
    <row r="20" spans="15:43" ht="12" hidden="1" customHeight="1">
      <c r="O20" s="841" t="s">
        <v>429</v>
      </c>
      <c r="T20" s="555" t="s">
        <v>430</v>
      </c>
      <c r="Z20" s="598" t="s">
        <v>431</v>
      </c>
      <c r="AB20" s="598" t="s">
        <v>432</v>
      </c>
      <c r="AC20" s="555" t="s">
        <v>430</v>
      </c>
      <c r="AG20" s="598" t="s">
        <v>433</v>
      </c>
      <c r="AI20" s="598" t="s">
        <v>432</v>
      </c>
      <c r="AQ20" s="555">
        <v>0</v>
      </c>
    </row>
    <row r="21" spans="15:43" ht="14.25" hidden="1" customHeight="1">
      <c r="AQ21" s="538">
        <v>0</v>
      </c>
    </row>
    <row r="22" spans="15:43" ht="14.25" hidden="1" customHeight="1">
      <c r="AQ22" s="538">
        <v>0</v>
      </c>
    </row>
    <row r="23" spans="15:43" ht="14.65" customHeight="1">
      <c r="Q23" s="756"/>
      <c r="R23" s="756"/>
      <c r="S23" s="847"/>
      <c r="T23" s="556"/>
      <c r="U23" s="556"/>
      <c r="AQ23" s="538">
        <v>14</v>
      </c>
    </row>
    <row r="24" spans="15:43" ht="14.65" customHeight="1">
      <c r="Q24" s="756"/>
      <c r="R24" s="756"/>
      <c r="S24" s="11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178"/>
      <c r="U24" s="1178"/>
      <c r="V24" s="1178"/>
      <c r="W24" s="1178"/>
      <c r="X24" s="1178"/>
      <c r="Y24" s="1178"/>
      <c r="Z24" s="1178"/>
      <c r="AA24" s="1178"/>
      <c r="AB24" s="1178"/>
      <c r="AC24" s="1178"/>
      <c r="AD24" s="1178"/>
      <c r="AE24" s="1178"/>
      <c r="AF24" s="1178"/>
      <c r="AG24" s="1178"/>
      <c r="AH24" s="1178"/>
      <c r="AQ24" s="538">
        <v>14</v>
      </c>
    </row>
    <row r="25" spans="15:43" ht="14.65" customHeight="1">
      <c r="Q25" s="756"/>
      <c r="R25" s="756"/>
      <c r="S25" s="1127" t="str">
        <f>IF(org=0,"Не определено",org)</f>
        <v>АО "НИЖЕГОРОДСКИЙ ВОДОКАНАЛ"</v>
      </c>
      <c r="T25" s="1127"/>
      <c r="U25" s="1127"/>
      <c r="V25" s="1127"/>
      <c r="W25" s="1127"/>
      <c r="X25" s="1127"/>
      <c r="Y25" s="1127"/>
      <c r="Z25" s="1127"/>
      <c r="AA25" s="1127"/>
      <c r="AB25" s="1127"/>
      <c r="AC25" s="1127"/>
      <c r="AD25" s="1127"/>
      <c r="AE25" s="1127"/>
      <c r="AF25" s="1127"/>
      <c r="AG25" s="1127"/>
      <c r="AH25" s="1127"/>
      <c r="AQ25" s="538">
        <v>14</v>
      </c>
    </row>
    <row r="26" spans="15:43" ht="14.25" hidden="1" customHeight="1">
      <c r="Q26" s="756"/>
      <c r="R26" s="756"/>
      <c r="S26" s="847"/>
      <c r="T26" s="556"/>
      <c r="U26" s="556"/>
      <c r="V26" s="826"/>
      <c r="W26" s="826"/>
      <c r="X26" s="826"/>
      <c r="Y26" s="826"/>
      <c r="Z26" s="826"/>
      <c r="AA26" s="826"/>
      <c r="AB26" s="826"/>
      <c r="AC26" s="826"/>
      <c r="AD26" s="826"/>
      <c r="AE26" s="826"/>
      <c r="AF26" s="826"/>
      <c r="AG26" s="826"/>
      <c r="AH26" s="826"/>
      <c r="AI26" s="826"/>
      <c r="AQ26" s="538">
        <v>0</v>
      </c>
    </row>
    <row r="27" spans="15:43" ht="25.5" hidden="1" customHeight="1">
      <c r="S27" s="1186" t="s">
        <v>41</v>
      </c>
      <c r="T27" s="1186"/>
      <c r="U27" s="849"/>
      <c r="V27" s="1187" t="str">
        <f>IF(TITLE_NAME_OR_PR_CHANGE="",IF(TITLE_NAME_OR_PR="","",TITLE_NAME_OR_PR),TITLE_NAME_OR_PR_CHANGE)</f>
        <v/>
      </c>
      <c r="W27" s="1187"/>
      <c r="X27" s="1187"/>
      <c r="Y27" s="1187"/>
      <c r="Z27" s="1187"/>
      <c r="AA27" s="1187"/>
      <c r="AC27" s="1187" t="str">
        <f>IF(TITLE_NAME_OR_PR_CHANGE="",IF(TITLE_NAME_OR_PR="","",TITLE_NAME_OR_PR),TITLE_NAME_OR_PR_CHANGE)</f>
        <v/>
      </c>
      <c r="AD27" s="1187"/>
      <c r="AE27" s="1187"/>
      <c r="AF27" s="1187"/>
      <c r="AG27" s="1187"/>
      <c r="AH27" s="1187"/>
      <c r="AQ27" s="592">
        <v>0</v>
      </c>
    </row>
    <row r="28" spans="15:43" ht="18.75" hidden="1" customHeight="1">
      <c r="S28" s="1186" t="s">
        <v>434</v>
      </c>
      <c r="T28" s="1186"/>
      <c r="U28" s="849"/>
      <c r="V28" s="1196" t="str">
        <f>IF(TITLE_DATE_PR_CHANGE="",IF(TITLE_DATE_PR="","",TITLE_DATE_PR),TITLE_DATE_PR_CHANGE)</f>
        <v/>
      </c>
      <c r="W28" s="1196"/>
      <c r="X28" s="1196"/>
      <c r="Y28" s="1196"/>
      <c r="Z28" s="1196"/>
      <c r="AA28" s="1196"/>
      <c r="AC28" s="1196" t="str">
        <f>IF(TITLE_DATE_PR_CHANGE="",IF(TITLE_DATE_PR="","",TITLE_DATE_PR),TITLE_DATE_PR_CHANGE)</f>
        <v/>
      </c>
      <c r="AD28" s="1196"/>
      <c r="AE28" s="1196"/>
      <c r="AF28" s="1196"/>
      <c r="AG28" s="1196"/>
      <c r="AH28" s="1196"/>
      <c r="AQ28" s="592">
        <v>0</v>
      </c>
    </row>
    <row r="29" spans="15:43" ht="18.75" hidden="1" customHeight="1">
      <c r="S29" s="1186" t="s">
        <v>435</v>
      </c>
      <c r="T29" s="1186"/>
      <c r="U29" s="849"/>
      <c r="V29" s="1187" t="str">
        <f>IF(TITLE_NUMBER_PR_CHANGE="",IF(TITLE_NUMBER_PR="","",TITLE_NUMBER_PR),TITLE_NUMBER_PR_CHANGE)</f>
        <v/>
      </c>
      <c r="W29" s="1187"/>
      <c r="X29" s="1187"/>
      <c r="Y29" s="1187"/>
      <c r="Z29" s="1187"/>
      <c r="AA29" s="1187"/>
      <c r="AC29" s="1187" t="str">
        <f>IF(TITLE_NUMBER_PR_CHANGE="",IF(TITLE_NUMBER_PR="","",TITLE_NUMBER_PR),TITLE_NUMBER_PR_CHANGE)</f>
        <v/>
      </c>
      <c r="AD29" s="1187"/>
      <c r="AE29" s="1187"/>
      <c r="AF29" s="1187"/>
      <c r="AG29" s="1187"/>
      <c r="AH29" s="1187"/>
      <c r="AQ29" s="592">
        <v>0</v>
      </c>
    </row>
    <row r="30" spans="15:43" ht="18.75" hidden="1" customHeight="1">
      <c r="S30" s="1186" t="s">
        <v>42</v>
      </c>
      <c r="T30" s="1186"/>
      <c r="U30" s="849"/>
      <c r="V30" s="1187" t="str">
        <f>IF(TITLE_IST_PUB_CHANGE="",IF(TITLE_IST_PUB="","",TITLE_IST_PUB),TITLE_IST_PUB_CHANGE)</f>
        <v/>
      </c>
      <c r="W30" s="1187"/>
      <c r="X30" s="1187"/>
      <c r="Y30" s="1187"/>
      <c r="Z30" s="1187"/>
      <c r="AA30" s="1187"/>
      <c r="AC30" s="1187" t="str">
        <f>IF(TITLE_IST_PUB_CHANGE="",IF(TITLE_IST_PUB="","",TITLE_IST_PUB),TITLE_IST_PUB_CHANGE)</f>
        <v/>
      </c>
      <c r="AD30" s="1187"/>
      <c r="AE30" s="1187"/>
      <c r="AF30" s="1187"/>
      <c r="AG30" s="1187"/>
      <c r="AH30" s="1187"/>
      <c r="AQ30" s="592">
        <v>0</v>
      </c>
    </row>
    <row r="31" spans="15:43" ht="14.25" hidden="1" customHeight="1">
      <c r="Q31" s="756"/>
      <c r="R31" s="756"/>
      <c r="S31" s="847"/>
      <c r="T31" s="556"/>
      <c r="U31" s="556"/>
      <c r="V31" s="826"/>
      <c r="W31" s="826"/>
      <c r="X31" s="826"/>
      <c r="Y31" s="826"/>
      <c r="Z31" s="826"/>
      <c r="AA31" s="826"/>
      <c r="AB31" s="826"/>
      <c r="AC31" s="826"/>
      <c r="AD31" s="826"/>
      <c r="AE31" s="826"/>
      <c r="AF31" s="826"/>
      <c r="AG31" s="826"/>
      <c r="AH31" s="826"/>
      <c r="AI31" s="826"/>
      <c r="AQ31" s="538">
        <v>0</v>
      </c>
    </row>
    <row r="32" spans="15:43" ht="18.75" hidden="1" customHeight="1">
      <c r="S32" s="1186" t="s">
        <v>436</v>
      </c>
      <c r="T32" s="1186"/>
      <c r="U32" s="849"/>
      <c r="V32" s="1196" t="str">
        <f>IF(TITLE_DATE_PR_CHANGE="",IF(TITLE_DATE_PR="","",TITLE_DATE_PR),TITLE_DATE_PR_CHANGE)</f>
        <v/>
      </c>
      <c r="W32" s="1196"/>
      <c r="X32" s="1196"/>
      <c r="Y32" s="1196"/>
      <c r="Z32" s="1196"/>
      <c r="AA32" s="1196"/>
      <c r="AC32" s="1196" t="str">
        <f>IF(TITLE_DATE_PR_CHANGE="",IF(TITLE_DATE_PR="","",TITLE_DATE_PR),TITLE_DATE_PR_CHANGE)</f>
        <v/>
      </c>
      <c r="AD32" s="1196"/>
      <c r="AE32" s="1196"/>
      <c r="AF32" s="1196"/>
      <c r="AG32" s="1196"/>
      <c r="AH32" s="1196"/>
      <c r="AQ32" s="592">
        <v>0</v>
      </c>
    </row>
    <row r="33" spans="1:43" ht="18.75" hidden="1" customHeight="1">
      <c r="S33" s="1186" t="s">
        <v>437</v>
      </c>
      <c r="T33" s="1186"/>
      <c r="U33" s="849"/>
      <c r="V33" s="1187" t="str">
        <f>IF(TITLE_NUMBER_PR_CHANGE="",IF(TITLE_NUMBER_PR="","",TITLE_NUMBER_PR),TITLE_NUMBER_PR_CHANGE)</f>
        <v/>
      </c>
      <c r="W33" s="1187"/>
      <c r="X33" s="1187"/>
      <c r="Y33" s="1187"/>
      <c r="Z33" s="1187"/>
      <c r="AA33" s="1187"/>
      <c r="AC33" s="1187" t="str">
        <f>IF(TITLE_NUMBER_PR_CHANGE="",IF(TITLE_NUMBER_PR="","",TITLE_NUMBER_PR),TITLE_NUMBER_PR_CHANGE)</f>
        <v/>
      </c>
      <c r="AD33" s="1187"/>
      <c r="AE33" s="1187"/>
      <c r="AF33" s="1187"/>
      <c r="AG33" s="1187"/>
      <c r="AH33" s="1187"/>
      <c r="AQ33" s="592">
        <v>0</v>
      </c>
    </row>
    <row r="34" spans="1:43" ht="1.1499999999999999" customHeight="1">
      <c r="AB34" s="577" t="s">
        <v>438</v>
      </c>
      <c r="AI34" s="577" t="s">
        <v>438</v>
      </c>
      <c r="AQ34" s="592">
        <v>1</v>
      </c>
    </row>
    <row r="35" spans="1:43" ht="14.65" customHeight="1">
      <c r="Q35" s="756"/>
      <c r="R35" s="756"/>
      <c r="S35" s="847"/>
      <c r="T35" s="556"/>
      <c r="U35" s="850"/>
      <c r="V35" s="1188"/>
      <c r="W35" s="1188"/>
      <c r="X35" s="1188"/>
      <c r="Y35" s="1188"/>
      <c r="Z35" s="1188"/>
      <c r="AA35" s="1188"/>
      <c r="AB35" s="1188"/>
      <c r="AC35" s="1188"/>
      <c r="AD35" s="1188"/>
      <c r="AE35" s="1188"/>
      <c r="AF35" s="1188"/>
      <c r="AG35" s="1188"/>
      <c r="AH35" s="1188"/>
      <c r="AI35" s="1188"/>
      <c r="AQ35" s="538">
        <v>14</v>
      </c>
    </row>
    <row r="36" spans="1:43" ht="14.65" customHeight="1">
      <c r="Q36" s="756"/>
      <c r="R36" s="756"/>
      <c r="S36" s="1066" t="s">
        <v>311</v>
      </c>
      <c r="T36" s="1066"/>
      <c r="U36" s="1066"/>
      <c r="V36" s="1066"/>
      <c r="W36" s="1066"/>
      <c r="X36" s="1066"/>
      <c r="Y36" s="1066"/>
      <c r="Z36" s="1066"/>
      <c r="AA36" s="1066"/>
      <c r="AB36" s="1066"/>
      <c r="AC36" s="1066"/>
      <c r="AD36" s="1066"/>
      <c r="AE36" s="1066"/>
      <c r="AF36" s="1066"/>
      <c r="AG36" s="1066"/>
      <c r="AH36" s="1066"/>
      <c r="AI36" s="1066"/>
      <c r="AJ36" s="1066"/>
      <c r="AK36" s="1066" t="s">
        <v>312</v>
      </c>
      <c r="AQ36" s="538">
        <v>14</v>
      </c>
    </row>
    <row r="37" spans="1:43" ht="14.65" customHeight="1">
      <c r="Q37" s="756"/>
      <c r="R37" s="756"/>
      <c r="S37" s="1202" t="s">
        <v>87</v>
      </c>
      <c r="T37" s="1154" t="s">
        <v>439</v>
      </c>
      <c r="U37" s="817"/>
      <c r="V37" s="1203" t="s">
        <v>440</v>
      </c>
      <c r="W37" s="1204"/>
      <c r="X37" s="1204"/>
      <c r="Y37" s="1204"/>
      <c r="Z37" s="1204"/>
      <c r="AA37" s="1205"/>
      <c r="AB37" s="1206" t="s">
        <v>441</v>
      </c>
      <c r="AC37" s="1203" t="s">
        <v>440</v>
      </c>
      <c r="AD37" s="1204"/>
      <c r="AE37" s="1204"/>
      <c r="AF37" s="1204"/>
      <c r="AG37" s="1204"/>
      <c r="AH37" s="1205"/>
      <c r="AI37" s="1206" t="s">
        <v>442</v>
      </c>
      <c r="AJ37" s="1209" t="s">
        <v>443</v>
      </c>
      <c r="AK37" s="1066"/>
      <c r="AQ37" s="538">
        <v>14</v>
      </c>
    </row>
    <row r="38" spans="1:43" ht="35.65" customHeight="1">
      <c r="Q38" s="756"/>
      <c r="R38" s="756"/>
      <c r="S38" s="1202"/>
      <c r="T38" s="1154"/>
      <c r="U38" s="822"/>
      <c r="V38" s="617" t="s">
        <v>500</v>
      </c>
      <c r="W38" s="1048" t="s">
        <v>446</v>
      </c>
      <c r="X38" s="1047"/>
      <c r="Y38" s="1048" t="s">
        <v>447</v>
      </c>
      <c r="Z38" s="1053"/>
      <c r="AA38" s="1047"/>
      <c r="AB38" s="1207"/>
      <c r="AC38" s="617" t="s">
        <v>500</v>
      </c>
      <c r="AD38" s="1048" t="s">
        <v>446</v>
      </c>
      <c r="AE38" s="1047"/>
      <c r="AF38" s="1048" t="s">
        <v>447</v>
      </c>
      <c r="AG38" s="1053"/>
      <c r="AH38" s="1047"/>
      <c r="AI38" s="1207"/>
      <c r="AJ38" s="1210"/>
      <c r="AK38" s="1066"/>
      <c r="AQ38" s="538">
        <v>34</v>
      </c>
    </row>
    <row r="39" spans="1:43" ht="35.65" customHeight="1">
      <c r="B39" s="598" t="s">
        <v>148</v>
      </c>
      <c r="C39" s="598" t="s">
        <v>149</v>
      </c>
      <c r="D39" s="598" t="s">
        <v>150</v>
      </c>
      <c r="E39" s="841" t="s">
        <v>448</v>
      </c>
      <c r="F39" s="841" t="s">
        <v>449</v>
      </c>
      <c r="G39" s="841" t="s">
        <v>450</v>
      </c>
      <c r="I39" s="841" t="s">
        <v>501</v>
      </c>
      <c r="J39" s="841" t="s">
        <v>453</v>
      </c>
      <c r="K39" s="841" t="s">
        <v>502</v>
      </c>
      <c r="L39" s="841" t="s">
        <v>429</v>
      </c>
      <c r="Q39" s="756"/>
      <c r="R39" s="756"/>
      <c r="S39" s="1202"/>
      <c r="T39" s="1154"/>
      <c r="U39" s="852"/>
      <c r="V39" s="617" t="s">
        <v>503</v>
      </c>
      <c r="W39" s="602" t="s">
        <v>504</v>
      </c>
      <c r="X39" s="602" t="s">
        <v>505</v>
      </c>
      <c r="Y39" s="602" t="s">
        <v>457</v>
      </c>
      <c r="Z39" s="1162" t="s">
        <v>458</v>
      </c>
      <c r="AA39" s="1164"/>
      <c r="AB39" s="1208"/>
      <c r="AC39" s="617" t="s">
        <v>503</v>
      </c>
      <c r="AD39" s="602" t="s">
        <v>504</v>
      </c>
      <c r="AE39" s="602" t="s">
        <v>505</v>
      </c>
      <c r="AF39" s="602" t="s">
        <v>457</v>
      </c>
      <c r="AG39" s="1162" t="s">
        <v>458</v>
      </c>
      <c r="AH39" s="1164"/>
      <c r="AI39" s="1208"/>
      <c r="AJ39" s="1211"/>
      <c r="AK39" s="1066"/>
      <c r="AQ39" s="538">
        <v>34</v>
      </c>
    </row>
    <row r="40" spans="1:43" ht="0" hidden="1" customHeight="1">
      <c r="Q40" s="853"/>
      <c r="R40" s="854">
        <v>1</v>
      </c>
      <c r="S40" s="329" t="s">
        <v>114</v>
      </c>
      <c r="T40" s="330" t="s">
        <v>102</v>
      </c>
      <c r="U40" s="855" t="str">
        <f ca="1">OFFSET(U40,0,-1)</f>
        <v>2</v>
      </c>
      <c r="V40" s="856">
        <f ca="1">OFFSET(V40,0,-1)+1</f>
        <v>3</v>
      </c>
      <c r="W40" s="856">
        <f ca="1">OFFSET(W40,0,-1)+1</f>
        <v>4</v>
      </c>
      <c r="X40" s="856">
        <f ca="1">OFFSET(X40,0,-1)+1</f>
        <v>5</v>
      </c>
      <c r="Y40" s="856">
        <f ca="1">OFFSET(Y40,0,-1)+1</f>
        <v>6</v>
      </c>
      <c r="Z40" s="1201">
        <f ca="1">OFFSET(Z40,0,-1)+1</f>
        <v>7</v>
      </c>
      <c r="AA40" s="1201"/>
      <c r="AB40" s="856">
        <f ca="1">OFFSET(AB40,0,-2)+1</f>
        <v>8</v>
      </c>
      <c r="AC40" s="856">
        <f ca="1">OFFSET(AC40,0,-1)+1</f>
        <v>9</v>
      </c>
      <c r="AD40" s="856">
        <f ca="1">OFFSET(AD40,0,-1)+1</f>
        <v>10</v>
      </c>
      <c r="AE40" s="856">
        <f ca="1">OFFSET(AE40,0,-1)+1</f>
        <v>11</v>
      </c>
      <c r="AF40" s="856">
        <f ca="1">OFFSET(AF40,0,-1)+1</f>
        <v>12</v>
      </c>
      <c r="AG40" s="1201">
        <f ca="1">OFFSET(AG40,0,-1)+1</f>
        <v>13</v>
      </c>
      <c r="AH40" s="1201"/>
      <c r="AI40" s="856">
        <f ca="1">OFFSET(AI40,0,-2)+1</f>
        <v>14</v>
      </c>
      <c r="AJ40" s="855">
        <f ca="1">OFFSET(AJ40,0,-1)</f>
        <v>14</v>
      </c>
      <c r="AK40" s="856">
        <f ca="1">OFFSET(AK40,0,-1)+1</f>
        <v>15</v>
      </c>
      <c r="AQ40" s="681">
        <v>0</v>
      </c>
    </row>
    <row r="41" spans="1:43" ht="24" customHeight="1">
      <c r="A41" s="857" t="s">
        <v>247</v>
      </c>
      <c r="E41" s="1194">
        <v>1</v>
      </c>
      <c r="R41" s="310"/>
      <c r="S41" s="832">
        <f>INDEX(PT_DIFFERENTIATION_NUM_NTAR,MATCH(A41,PT_DIFFERENTIATION_NTAR_ID,0))</f>
        <v>0</v>
      </c>
      <c r="T41" s="795" t="s">
        <v>136</v>
      </c>
      <c r="U41" s="833"/>
      <c r="V41" s="1180"/>
      <c r="W41" s="1181"/>
      <c r="X41" s="1181"/>
      <c r="Y41" s="1181"/>
      <c r="Z41" s="1181"/>
      <c r="AA41" s="1181"/>
      <c r="AB41" s="1182"/>
      <c r="AC41" s="1180" t="str">
        <f>INDEX(PT_DIFFERENTIATION_NTAR,MATCH(A41,PT_DIFFERENTIATION_NTAR_ID,0))</f>
        <v/>
      </c>
      <c r="AD41" s="1181"/>
      <c r="AE41" s="1181"/>
      <c r="AF41" s="1181"/>
      <c r="AG41" s="1181"/>
      <c r="AH41" s="1181"/>
      <c r="AI41" s="1181"/>
      <c r="AJ41" s="1182"/>
      <c r="AK41"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41" s="582" t="str">
        <f t="shared" ref="AN41:AN53" si="1">IF(T41="","",T41)</f>
        <v>Наименование тарифа</v>
      </c>
      <c r="AQ41" s="538">
        <v>23</v>
      </c>
    </row>
    <row r="42" spans="1:43" ht="24" customHeight="1">
      <c r="A42" s="857" t="s">
        <v>247</v>
      </c>
      <c r="B42" s="857" t="s">
        <v>248</v>
      </c>
      <c r="E42" s="1195"/>
      <c r="F42" s="1194">
        <v>1</v>
      </c>
      <c r="Q42" s="836"/>
      <c r="R42" s="837"/>
      <c r="S42" s="832" t="str">
        <f>INDEX(PT_DIFFERENTIATION_NUM_TER,MATCH(B42,PT_DIFFERENTIATION_TER_ID,0))</f>
        <v>.</v>
      </c>
      <c r="T42" s="838" t="s">
        <v>408</v>
      </c>
      <c r="U42" s="833"/>
      <c r="V42" s="1180"/>
      <c r="W42" s="1181"/>
      <c r="X42" s="1181"/>
      <c r="Y42" s="1181"/>
      <c r="Z42" s="1181"/>
      <c r="AA42" s="1181"/>
      <c r="AB42" s="1182"/>
      <c r="AC42" s="1180" t="str">
        <f>INDEX(PT_DIFFERENTIATION_TER,MATCH(B42,PT_DIFFERENTIATION_TER_ID,0))</f>
        <v/>
      </c>
      <c r="AD42" s="1181"/>
      <c r="AE42" s="1181"/>
      <c r="AF42" s="1181"/>
      <c r="AG42" s="1181"/>
      <c r="AH42" s="1181"/>
      <c r="AI42" s="1181"/>
      <c r="AJ42" s="1182"/>
      <c r="AK42" s="835" t="s">
        <v>409</v>
      </c>
      <c r="AN42" s="582" t="str">
        <f t="shared" si="1"/>
        <v>Территория действия тарифа</v>
      </c>
      <c r="AQ42" s="538">
        <v>23</v>
      </c>
    </row>
    <row r="43" spans="1:43" ht="24" customHeight="1">
      <c r="A43" s="857" t="s">
        <v>247</v>
      </c>
      <c r="B43" s="857" t="s">
        <v>248</v>
      </c>
      <c r="C43" s="857" t="s">
        <v>249</v>
      </c>
      <c r="E43" s="1195"/>
      <c r="F43" s="1195"/>
      <c r="G43" s="1194">
        <v>1</v>
      </c>
      <c r="Q43" s="836"/>
      <c r="R43" s="837"/>
      <c r="S43" s="832" t="str">
        <f>INDEX(PT_DIFFERENTIATION_NUM_CS,MATCH(C43,PT_DIFFERENTIATION_CS_ID,0))</f>
        <v>..</v>
      </c>
      <c r="T43" s="839" t="s">
        <v>492</v>
      </c>
      <c r="U43" s="833"/>
      <c r="V43" s="1180"/>
      <c r="W43" s="1181"/>
      <c r="X43" s="1181"/>
      <c r="Y43" s="1181"/>
      <c r="Z43" s="1181"/>
      <c r="AA43" s="1181"/>
      <c r="AB43" s="1182"/>
      <c r="AC43" s="1180" t="str">
        <f>INDEX(PT_DIFFERENTIATION_CS,MATCH(C43,PT_DIFFERENTIATION_CS_ID,0))</f>
        <v/>
      </c>
      <c r="AD43" s="1181"/>
      <c r="AE43" s="1181"/>
      <c r="AF43" s="1181"/>
      <c r="AG43" s="1181"/>
      <c r="AH43" s="1181"/>
      <c r="AI43" s="1181"/>
      <c r="AJ43" s="1182"/>
      <c r="AK43" s="835" t="s">
        <v>493</v>
      </c>
      <c r="AN43" s="582" t="str">
        <f t="shared" si="1"/>
        <v>Наименование централизованной системы холодного водоснабжения</v>
      </c>
      <c r="AQ43" s="538">
        <v>23</v>
      </c>
    </row>
    <row r="44" spans="1:43" ht="24" customHeight="1">
      <c r="A44" s="857" t="s">
        <v>247</v>
      </c>
      <c r="B44" s="857" t="s">
        <v>248</v>
      </c>
      <c r="C44" s="857" t="s">
        <v>249</v>
      </c>
      <c r="D44" s="857" t="s">
        <v>508</v>
      </c>
      <c r="E44" s="1195"/>
      <c r="F44" s="1195"/>
      <c r="G44" s="1195"/>
      <c r="H44" s="1195"/>
      <c r="I44" s="1192" t="str">
        <f>S43&amp;".1"</f>
        <v>...1</v>
      </c>
      <c r="P44" s="1193">
        <v>1</v>
      </c>
      <c r="R44" s="842"/>
      <c r="S44" s="832" t="str">
        <f>$I44</f>
        <v>...1</v>
      </c>
      <c r="T44" s="843" t="s">
        <v>494</v>
      </c>
      <c r="U44" s="833"/>
      <c r="V44" s="1260"/>
      <c r="W44" s="1261"/>
      <c r="X44" s="1261"/>
      <c r="Y44" s="1261"/>
      <c r="Z44" s="1261"/>
      <c r="AA44" s="1261"/>
      <c r="AB44" s="1262"/>
      <c r="AC44" s="1263"/>
      <c r="AD44" s="1264"/>
      <c r="AE44" s="1264"/>
      <c r="AF44" s="1264"/>
      <c r="AG44" s="1264"/>
      <c r="AH44" s="1264"/>
      <c r="AI44" s="1264"/>
      <c r="AJ44" s="1265"/>
      <c r="AK44" s="835" t="s">
        <v>495</v>
      </c>
      <c r="AN44" s="582" t="str">
        <f t="shared" si="1"/>
        <v>Наименование признака дифференциации</v>
      </c>
      <c r="AQ44" s="538">
        <v>23</v>
      </c>
    </row>
    <row r="45" spans="1:43" ht="24" customHeight="1">
      <c r="A45" s="857" t="s">
        <v>247</v>
      </c>
      <c r="B45" s="857" t="s">
        <v>248</v>
      </c>
      <c r="C45" s="857" t="s">
        <v>249</v>
      </c>
      <c r="D45" s="857" t="s">
        <v>508</v>
      </c>
      <c r="E45" s="1195"/>
      <c r="F45" s="1195"/>
      <c r="G45" s="1195"/>
      <c r="H45" s="1195"/>
      <c r="I45" s="1214"/>
      <c r="J45" s="1192" t="str">
        <f>I44&amp;".1"</f>
        <v>...1.1</v>
      </c>
      <c r="L45" s="841" t="s">
        <v>417</v>
      </c>
      <c r="P45" s="1031"/>
      <c r="Q45" s="1193">
        <v>1</v>
      </c>
      <c r="R45" s="844"/>
      <c r="S45" s="832" t="str">
        <f>$J45</f>
        <v>...1.1</v>
      </c>
      <c r="T45" s="845" t="s">
        <v>418</v>
      </c>
      <c r="U45" s="833"/>
      <c r="V45" s="1183"/>
      <c r="W45" s="1184"/>
      <c r="X45" s="1184"/>
      <c r="Y45" s="1184"/>
      <c r="Z45" s="1184"/>
      <c r="AA45" s="1184"/>
      <c r="AB45" s="1185"/>
      <c r="AC45" s="1183"/>
      <c r="AD45" s="1184"/>
      <c r="AE45" s="1184"/>
      <c r="AF45" s="1184"/>
      <c r="AG45" s="1184"/>
      <c r="AH45" s="1184"/>
      <c r="AI45" s="1184"/>
      <c r="AJ45" s="1185"/>
      <c r="AK45" s="874" t="s">
        <v>496</v>
      </c>
      <c r="AN45" s="582" t="str">
        <f t="shared" si="1"/>
        <v>Группа потребителей</v>
      </c>
      <c r="AQ45" s="538">
        <v>23</v>
      </c>
    </row>
    <row r="46" spans="1:43" ht="24" customHeight="1">
      <c r="A46" s="857" t="s">
        <v>247</v>
      </c>
      <c r="B46" s="857" t="s">
        <v>248</v>
      </c>
      <c r="C46" s="857" t="s">
        <v>249</v>
      </c>
      <c r="D46" s="857" t="s">
        <v>508</v>
      </c>
      <c r="E46" s="1195"/>
      <c r="F46" s="1195"/>
      <c r="G46" s="1195"/>
      <c r="H46" s="1195"/>
      <c r="I46" s="1214"/>
      <c r="J46" s="1214"/>
      <c r="K46" s="1192" t="str">
        <f>J45&amp;".1"</f>
        <v>...1.1.1</v>
      </c>
      <c r="P46" s="1031"/>
      <c r="Q46" s="1031"/>
      <c r="R46" s="844">
        <v>1</v>
      </c>
      <c r="S46" s="832" t="str">
        <f>$K46</f>
        <v>...1.1.1</v>
      </c>
      <c r="T46" s="397"/>
      <c r="U46" s="833"/>
      <c r="V46" s="311"/>
      <c r="W46" s="311"/>
      <c r="X46" s="313"/>
      <c r="Y46" s="1197"/>
      <c r="Z46" s="1058" t="s">
        <v>61</v>
      </c>
      <c r="AA46" s="1197"/>
      <c r="AB46" s="1058" t="s">
        <v>61</v>
      </c>
      <c r="AC46" s="311"/>
      <c r="AD46" s="311"/>
      <c r="AE46" s="313"/>
      <c r="AF46" s="1197"/>
      <c r="AG46" s="1058" t="s">
        <v>61</v>
      </c>
      <c r="AH46" s="1215"/>
      <c r="AI46" s="1058" t="s">
        <v>61</v>
      </c>
      <c r="AJ46" s="398"/>
      <c r="AK46" s="1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7" t="e">
        <f ca="1">STRCHECKDATE(V47:AJ47)</f>
        <v>#NAME?</v>
      </c>
      <c r="AN46" s="582" t="str">
        <f t="shared" si="1"/>
        <v/>
      </c>
      <c r="AQ46" s="538">
        <v>23</v>
      </c>
    </row>
    <row r="47" spans="1:43" ht="0" hidden="1" customHeight="1">
      <c r="A47" s="857" t="s">
        <v>247</v>
      </c>
      <c r="B47" s="857" t="s">
        <v>248</v>
      </c>
      <c r="C47" s="857" t="s">
        <v>249</v>
      </c>
      <c r="D47" s="857" t="s">
        <v>508</v>
      </c>
      <c r="E47" s="1195"/>
      <c r="F47" s="1195"/>
      <c r="G47" s="1195"/>
      <c r="H47" s="1195"/>
      <c r="I47" s="1214"/>
      <c r="J47" s="1214"/>
      <c r="K47" s="1192"/>
      <c r="P47" s="1031"/>
      <c r="Q47" s="1031"/>
      <c r="R47" s="844"/>
      <c r="S47" s="127"/>
      <c r="T47" s="833"/>
      <c r="U47" s="833"/>
      <c r="V47" s="312"/>
      <c r="W47" s="312"/>
      <c r="X47" s="314" t="str">
        <f>Y46&amp;"-"&amp;AA46</f>
        <v>-</v>
      </c>
      <c r="Y47" s="1198"/>
      <c r="Z47" s="1058"/>
      <c r="AA47" s="1198"/>
      <c r="AB47" s="1058"/>
      <c r="AC47" s="312"/>
      <c r="AD47" s="312"/>
      <c r="AE47" s="314" t="str">
        <f>AF46&amp;"-"&amp;AH46</f>
        <v>-</v>
      </c>
      <c r="AF47" s="1198"/>
      <c r="AG47" s="1058"/>
      <c r="AH47" s="1216"/>
      <c r="AI47" s="1058"/>
      <c r="AJ47" s="387"/>
      <c r="AK47" s="1259"/>
      <c r="AN47" s="582" t="str">
        <f t="shared" si="1"/>
        <v/>
      </c>
      <c r="AQ47" s="538">
        <v>0</v>
      </c>
    </row>
    <row r="48" spans="1:43" ht="21" customHeight="1">
      <c r="A48" s="857" t="s">
        <v>247</v>
      </c>
      <c r="B48" s="857" t="s">
        <v>248</v>
      </c>
      <c r="C48" s="857" t="s">
        <v>249</v>
      </c>
      <c r="D48" s="857" t="s">
        <v>508</v>
      </c>
      <c r="E48" s="1195"/>
      <c r="F48" s="1195"/>
      <c r="G48" s="1195"/>
      <c r="H48" s="1195"/>
      <c r="I48" s="1214"/>
      <c r="J48" s="1192"/>
      <c r="P48" s="1031"/>
      <c r="Q48" s="1031"/>
      <c r="R48" s="842"/>
      <c r="S48" s="315"/>
      <c r="T48" s="318" t="s">
        <v>497</v>
      </c>
      <c r="U48" s="52"/>
      <c r="V48" s="52"/>
      <c r="W48" s="52"/>
      <c r="X48" s="52"/>
      <c r="Y48" s="52"/>
      <c r="Z48" s="52"/>
      <c r="AA48" s="52"/>
      <c r="AB48" s="52"/>
      <c r="AC48" s="52"/>
      <c r="AD48" s="52"/>
      <c r="AE48" s="52"/>
      <c r="AF48" s="52"/>
      <c r="AG48" s="52"/>
      <c r="AH48" s="52"/>
      <c r="AI48" s="52"/>
      <c r="AJ48" s="52"/>
      <c r="AK48" s="835" t="s">
        <v>498</v>
      </c>
      <c r="AN48" s="582" t="str">
        <f t="shared" si="1"/>
        <v>Добавить значение признака дифференциации</v>
      </c>
      <c r="AQ48" s="538">
        <v>20</v>
      </c>
    </row>
    <row r="49" spans="1:43" ht="21.95" customHeight="1">
      <c r="A49" s="857" t="s">
        <v>247</v>
      </c>
      <c r="B49" s="857" t="s">
        <v>248</v>
      </c>
      <c r="C49" s="857" t="s">
        <v>249</v>
      </c>
      <c r="D49" s="857" t="s">
        <v>508</v>
      </c>
      <c r="E49" s="1195"/>
      <c r="F49" s="1195"/>
      <c r="G49" s="1195"/>
      <c r="H49" s="1195"/>
      <c r="I49" s="1192"/>
      <c r="P49" s="1031"/>
      <c r="R49" s="842"/>
      <c r="S49" s="315"/>
      <c r="T49" s="321" t="s">
        <v>423</v>
      </c>
      <c r="U49" s="52"/>
      <c r="V49" s="52"/>
      <c r="W49" s="52"/>
      <c r="X49" s="52"/>
      <c r="Y49" s="52"/>
      <c r="Z49" s="52"/>
      <c r="AA49" s="52"/>
      <c r="AB49" s="319"/>
      <c r="AC49" s="52"/>
      <c r="AD49" s="52"/>
      <c r="AE49" s="52"/>
      <c r="AF49" s="52"/>
      <c r="AG49" s="52"/>
      <c r="AH49" s="52"/>
      <c r="AI49" s="319"/>
      <c r="AJ49" s="52"/>
      <c r="AK49" s="399"/>
      <c r="AN49" s="582" t="str">
        <f t="shared" si="1"/>
        <v>Добавить группу потребителей</v>
      </c>
      <c r="AQ49" s="538">
        <v>21</v>
      </c>
    </row>
    <row r="50" spans="1:43" ht="21.95" customHeight="1">
      <c r="A50" s="857" t="s">
        <v>247</v>
      </c>
      <c r="B50" s="857" t="s">
        <v>248</v>
      </c>
      <c r="C50" s="857" t="s">
        <v>249</v>
      </c>
      <c r="D50" s="857" t="s">
        <v>508</v>
      </c>
      <c r="E50" s="1195"/>
      <c r="F50" s="1195"/>
      <c r="G50" s="1195"/>
      <c r="H50" s="1194"/>
      <c r="R50" s="310"/>
      <c r="S50" s="315"/>
      <c r="T50" s="376" t="s">
        <v>499</v>
      </c>
      <c r="U50" s="52"/>
      <c r="V50" s="52"/>
      <c r="W50" s="52"/>
      <c r="X50" s="52"/>
      <c r="Y50" s="52"/>
      <c r="Z50" s="52"/>
      <c r="AA50" s="52"/>
      <c r="AB50" s="319"/>
      <c r="AC50" s="52"/>
      <c r="AD50" s="52"/>
      <c r="AE50" s="52"/>
      <c r="AF50" s="52"/>
      <c r="AG50" s="52"/>
      <c r="AH50" s="52"/>
      <c r="AI50" s="319"/>
      <c r="AJ50" s="52"/>
      <c r="AK50" s="320"/>
      <c r="AN50" s="582" t="str">
        <f t="shared" si="1"/>
        <v>Добавить наименование признака дифференциации</v>
      </c>
      <c r="AQ50" s="538">
        <v>21</v>
      </c>
    </row>
    <row r="51" spans="1:43" ht="0" hidden="1" customHeight="1">
      <c r="A51" s="574" t="s">
        <v>247</v>
      </c>
      <c r="B51" s="574" t="s">
        <v>248</v>
      </c>
      <c r="E51" s="1195"/>
      <c r="F51" s="1194"/>
      <c r="T51" s="326" t="s">
        <v>426</v>
      </c>
      <c r="AN51" s="582" t="str">
        <f t="shared" si="1"/>
        <v>Добавить централизованную систему для дифференциации</v>
      </c>
      <c r="AQ51" s="577">
        <v>0</v>
      </c>
    </row>
    <row r="52" spans="1:43" ht="0" hidden="1" customHeight="1">
      <c r="A52" s="574" t="s">
        <v>247</v>
      </c>
      <c r="E52" s="1194"/>
      <c r="T52" s="326" t="s">
        <v>427</v>
      </c>
      <c r="AN52" s="582" t="str">
        <f t="shared" si="1"/>
        <v>Добавить территорию для дифференциации</v>
      </c>
      <c r="AQ52" s="577">
        <v>0</v>
      </c>
    </row>
    <row r="53" spans="1:43" ht="0" hidden="1" customHeight="1">
      <c r="T53" s="326" t="s">
        <v>459</v>
      </c>
      <c r="AN53" s="582" t="str">
        <f t="shared" si="1"/>
        <v>Добавить наименование тарифа</v>
      </c>
      <c r="AQ53" s="577">
        <v>0</v>
      </c>
    </row>
    <row r="54" spans="1:43" ht="11.45" customHeight="1">
      <c r="AQ54" s="538">
        <v>11</v>
      </c>
    </row>
    <row r="55" spans="1:43" ht="14.65" customHeight="1">
      <c r="T55" s="1031"/>
      <c r="U55" s="1031"/>
      <c r="V55" s="1031"/>
      <c r="W55" s="1031"/>
      <c r="X55" s="1031"/>
      <c r="Y55" s="1031"/>
      <c r="Z55" s="1031"/>
      <c r="AA55" s="1031"/>
      <c r="AB55" s="1031"/>
      <c r="AC55" s="1031"/>
      <c r="AD55" s="1031"/>
      <c r="AE55" s="1031"/>
      <c r="AF55" s="1031"/>
      <c r="AG55" s="1031"/>
      <c r="AH55" s="1031"/>
      <c r="AI55" s="1031"/>
      <c r="AJ55" s="1031"/>
      <c r="AK55" s="1031"/>
      <c r="AQ55" s="538">
        <v>14</v>
      </c>
    </row>
    <row r="56" spans="1:43" ht="14.65" customHeight="1">
      <c r="AQ56" s="538">
        <v>14</v>
      </c>
    </row>
    <row r="57" spans="1:43" ht="14.65" customHeight="1">
      <c r="T57" s="1031"/>
      <c r="U57" s="1031"/>
      <c r="V57" s="1031"/>
      <c r="W57" s="1031"/>
      <c r="X57" s="1031"/>
      <c r="Y57" s="1031"/>
      <c r="Z57" s="1031"/>
      <c r="AA57" s="1031"/>
      <c r="AB57" s="1031"/>
      <c r="AC57" s="1031"/>
      <c r="AD57" s="1031"/>
      <c r="AE57" s="1031"/>
      <c r="AF57" s="1031"/>
      <c r="AG57" s="1031"/>
      <c r="AH57" s="1031"/>
      <c r="AI57" s="1031"/>
      <c r="AJ57" s="1031"/>
      <c r="AK57" s="1031"/>
      <c r="AQ57" s="538">
        <v>14</v>
      </c>
    </row>
    <row r="58" spans="1:43" ht="22.5" hidden="1" customHeight="1">
      <c r="A58" s="555" t="s">
        <v>81</v>
      </c>
      <c r="B58" s="555">
        <v>0</v>
      </c>
      <c r="C58" s="555">
        <v>0</v>
      </c>
      <c r="D58" s="555">
        <v>0</v>
      </c>
      <c r="E58" s="555">
        <v>0</v>
      </c>
      <c r="F58" s="555">
        <v>0</v>
      </c>
      <c r="G58" s="555">
        <v>0</v>
      </c>
      <c r="H58" s="555">
        <v>0</v>
      </c>
      <c r="I58" s="555">
        <v>0</v>
      </c>
      <c r="J58" s="555">
        <v>0</v>
      </c>
      <c r="K58" s="555">
        <v>0</v>
      </c>
      <c r="L58" s="667">
        <v>0</v>
      </c>
      <c r="M58" s="12">
        <v>0</v>
      </c>
      <c r="N58" s="12">
        <v>0</v>
      </c>
      <c r="O58" s="12">
        <v>0</v>
      </c>
      <c r="P58" s="300">
        <v>3</v>
      </c>
      <c r="Q58" s="821">
        <v>3</v>
      </c>
      <c r="R58" s="821">
        <v>3</v>
      </c>
      <c r="S58" s="553">
        <v>12</v>
      </c>
      <c r="T58" s="538">
        <v>35</v>
      </c>
      <c r="U58" s="538">
        <v>0</v>
      </c>
      <c r="V58" s="538">
        <v>0</v>
      </c>
      <c r="W58" s="538">
        <v>0</v>
      </c>
      <c r="X58" s="538">
        <v>0</v>
      </c>
      <c r="Y58" s="538">
        <v>0</v>
      </c>
      <c r="Z58" s="538">
        <v>0</v>
      </c>
      <c r="AA58" s="538">
        <v>0</v>
      </c>
      <c r="AB58" s="538">
        <v>0</v>
      </c>
      <c r="AC58" s="538">
        <v>24</v>
      </c>
      <c r="AD58" s="538">
        <v>24</v>
      </c>
      <c r="AE58" s="538">
        <v>24</v>
      </c>
      <c r="AF58" s="538">
        <v>11</v>
      </c>
      <c r="AG58" s="538">
        <v>3</v>
      </c>
      <c r="AH58" s="538">
        <v>11</v>
      </c>
      <c r="AI58" s="538">
        <v>0</v>
      </c>
      <c r="AJ58" s="538">
        <v>4</v>
      </c>
      <c r="AK58" s="538">
        <v>115</v>
      </c>
      <c r="AL58" s="577">
        <v>10</v>
      </c>
      <c r="AM58" s="577">
        <v>10</v>
      </c>
      <c r="AN58" s="577">
        <v>10</v>
      </c>
      <c r="AO58" s="577">
        <v>10</v>
      </c>
      <c r="AP58" s="577">
        <v>10</v>
      </c>
      <c r="AQ58" s="538">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4.140625" style="1029" hidden="1" customWidth="1"/>
    <col min="10" max="10" width="9.85546875" style="1029" hidden="1" customWidth="1"/>
    <col min="11" max="11" width="14.7109375" style="1029" hidden="1" customWidth="1"/>
    <col min="12" max="12" width="19.140625" style="1029" hidden="1" customWidth="1"/>
    <col min="13" max="14" width="12.28515625" style="1029" hidden="1" customWidth="1"/>
    <col min="15" max="15" width="23.42578125" style="1029" hidden="1" customWidth="1"/>
    <col min="16" max="18" width="3" style="1029" customWidth="1"/>
    <col min="19" max="19" width="12" style="1029" customWidth="1"/>
    <col min="20" max="20" width="35" style="1029" customWidth="1"/>
    <col min="21" max="21" width="0.140625" style="1029" customWidth="1"/>
    <col min="22" max="24" width="24.7109375" style="1029" hidden="1" customWidth="1"/>
    <col min="25" max="25" width="11.7109375" style="1029" hidden="1" customWidth="1"/>
    <col min="26" max="26" width="3.7109375" style="1029" hidden="1" customWidth="1"/>
    <col min="27" max="27" width="11.7109375" style="1029" hidden="1" customWidth="1"/>
    <col min="28" max="28" width="8.5703125" style="1029" hidden="1" customWidth="1"/>
    <col min="29" max="29" width="24.7109375" style="1029" customWidth="1"/>
    <col min="30" max="31" width="24" style="1029" customWidth="1"/>
    <col min="32" max="32" width="11" style="1029" customWidth="1"/>
    <col min="33" max="33" width="3.7109375" style="1029" customWidth="1"/>
    <col min="34" max="34" width="11" style="1029" customWidth="1"/>
    <col min="35" max="35" width="8.5703125" style="1029" hidden="1" customWidth="1"/>
    <col min="36" max="36" width="4" style="1029" customWidth="1"/>
    <col min="37" max="37" width="115" style="1029" customWidth="1"/>
    <col min="38" max="42" width="10" style="1029" customWidth="1"/>
    <col min="43" max="43" width="10.5703125" style="1029" hidden="1"/>
  </cols>
  <sheetData>
    <row r="1" spans="5:43" ht="22.5" hidden="1" customHeight="1">
      <c r="AQ1" s="538" t="s">
        <v>14</v>
      </c>
    </row>
    <row r="2" spans="5:43" ht="23.25" hidden="1" customHeight="1">
      <c r="E2" s="1194">
        <v>1</v>
      </c>
      <c r="R2" s="310"/>
      <c r="S2" s="832" t="e">
        <f>INDEX(PT_DIFFERENTIATION_NUM_NTAR,MATCH(A2,PT_DIFFERENTIATION_NTAR_ID,0))</f>
        <v>#N/A</v>
      </c>
      <c r="T2" s="795" t="s">
        <v>136</v>
      </c>
      <c r="U2" s="833"/>
      <c r="V2" s="1180"/>
      <c r="W2" s="1181"/>
      <c r="X2" s="1181"/>
      <c r="Y2" s="1181"/>
      <c r="Z2" s="1181"/>
      <c r="AA2" s="1181"/>
      <c r="AB2" s="1182"/>
      <c r="AC2" s="1180" t="e">
        <f>INDEX(PT_DIFFERENTIATION_NTAR,MATCH(A2,PT_DIFFERENTIATION_NTAR_ID,0))</f>
        <v>#N/A</v>
      </c>
      <c r="AD2" s="1181"/>
      <c r="AE2" s="1181"/>
      <c r="AF2" s="1181"/>
      <c r="AG2" s="1181"/>
      <c r="AH2" s="1181"/>
      <c r="AI2" s="1181"/>
      <c r="AJ2" s="1182"/>
      <c r="AK2"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2" s="582" t="str">
        <f t="shared" ref="AN2:AN13" si="0">IF(T2="","",T2)</f>
        <v>Наименование тарифа</v>
      </c>
      <c r="AQ2" s="538">
        <v>0</v>
      </c>
    </row>
    <row r="3" spans="5:43" ht="23.25" hidden="1" customHeight="1">
      <c r="E3" s="1195"/>
      <c r="F3" s="1194">
        <v>1</v>
      </c>
      <c r="Q3" s="836"/>
      <c r="R3" s="837"/>
      <c r="S3" s="832" t="e">
        <f>INDEX(PT_DIFFERENTIATION_NUM_TER,MATCH(B3,PT_DIFFERENTIATION_TER_ID,0))</f>
        <v>#N/A</v>
      </c>
      <c r="T3" s="838" t="s">
        <v>408</v>
      </c>
      <c r="U3" s="833"/>
      <c r="V3" s="1180"/>
      <c r="W3" s="1181"/>
      <c r="X3" s="1181"/>
      <c r="Y3" s="1181"/>
      <c r="Z3" s="1181"/>
      <c r="AA3" s="1181"/>
      <c r="AB3" s="1182"/>
      <c r="AC3" s="1180" t="e">
        <f>INDEX(PT_DIFFERENTIATION_TER,MATCH(B3,PT_DIFFERENTIATION_TER_ID,0))</f>
        <v>#N/A</v>
      </c>
      <c r="AD3" s="1181"/>
      <c r="AE3" s="1181"/>
      <c r="AF3" s="1181"/>
      <c r="AG3" s="1181"/>
      <c r="AH3" s="1181"/>
      <c r="AI3" s="1181"/>
      <c r="AJ3" s="1182"/>
      <c r="AK3" s="835" t="s">
        <v>409</v>
      </c>
      <c r="AN3" s="582" t="str">
        <f t="shared" si="0"/>
        <v>Территория действия тарифа</v>
      </c>
      <c r="AQ3" s="538">
        <v>0</v>
      </c>
    </row>
    <row r="4" spans="5:43" ht="23.25" hidden="1" customHeight="1">
      <c r="E4" s="1195"/>
      <c r="F4" s="1195"/>
      <c r="G4" s="1194">
        <v>1</v>
      </c>
      <c r="Q4" s="836"/>
      <c r="R4" s="837"/>
      <c r="S4" s="832" t="e">
        <f>INDEX(PT_DIFFERENTIATION_NUM_CS,MATCH(C4,PT_DIFFERENTIATION_CS_ID,0))</f>
        <v>#N/A</v>
      </c>
      <c r="T4" s="839" t="s">
        <v>492</v>
      </c>
      <c r="U4" s="833"/>
      <c r="V4" s="1180"/>
      <c r="W4" s="1181"/>
      <c r="X4" s="1181"/>
      <c r="Y4" s="1181"/>
      <c r="Z4" s="1181"/>
      <c r="AA4" s="1181"/>
      <c r="AB4" s="1182"/>
      <c r="AC4" s="1180" t="e">
        <f>INDEX(PT_DIFFERENTIATION_CS,MATCH(C4,PT_DIFFERENTIATION_CS_ID,0))</f>
        <v>#N/A</v>
      </c>
      <c r="AD4" s="1181"/>
      <c r="AE4" s="1181"/>
      <c r="AF4" s="1181"/>
      <c r="AG4" s="1181"/>
      <c r="AH4" s="1181"/>
      <c r="AI4" s="1181"/>
      <c r="AJ4" s="1182"/>
      <c r="AK4" s="835" t="s">
        <v>493</v>
      </c>
      <c r="AN4" s="582" t="str">
        <f t="shared" si="0"/>
        <v>Наименование централизованной системы холодного водоснабжения</v>
      </c>
      <c r="AQ4" s="538">
        <v>0</v>
      </c>
    </row>
    <row r="5" spans="5:43" ht="23.25" hidden="1" customHeight="1">
      <c r="E5" s="1195"/>
      <c r="F5" s="1195"/>
      <c r="G5" s="1195"/>
      <c r="H5" s="1195"/>
      <c r="I5" s="1192" t="e">
        <f>S4&amp;".1"</f>
        <v>#N/A</v>
      </c>
      <c r="P5" s="1193">
        <v>1</v>
      </c>
      <c r="R5" s="842"/>
      <c r="S5" s="832" t="e">
        <f>$I5</f>
        <v>#N/A</v>
      </c>
      <c r="T5" s="843" t="s">
        <v>494</v>
      </c>
      <c r="U5" s="833"/>
      <c r="V5" s="1260"/>
      <c r="W5" s="1261"/>
      <c r="X5" s="1261"/>
      <c r="Y5" s="1261"/>
      <c r="Z5" s="1261"/>
      <c r="AA5" s="1261"/>
      <c r="AB5" s="1262"/>
      <c r="AC5" s="1263"/>
      <c r="AD5" s="1264"/>
      <c r="AE5" s="1264"/>
      <c r="AF5" s="1264"/>
      <c r="AG5" s="1264"/>
      <c r="AH5" s="1264"/>
      <c r="AI5" s="1264"/>
      <c r="AJ5" s="1265"/>
      <c r="AK5" s="835" t="s">
        <v>495</v>
      </c>
      <c r="AN5" s="582" t="str">
        <f t="shared" si="0"/>
        <v>Наименование признака дифференциации</v>
      </c>
      <c r="AQ5" s="538">
        <v>0</v>
      </c>
    </row>
    <row r="6" spans="5:43" ht="23.25" hidden="1" customHeight="1">
      <c r="E6" s="1195"/>
      <c r="F6" s="1195"/>
      <c r="G6" s="1195"/>
      <c r="H6" s="1195"/>
      <c r="I6" s="1214"/>
      <c r="J6" s="1192" t="e">
        <f>I5&amp;".1"</f>
        <v>#N/A</v>
      </c>
      <c r="L6" s="841" t="s">
        <v>417</v>
      </c>
      <c r="P6" s="1031"/>
      <c r="Q6" s="1193">
        <v>1</v>
      </c>
      <c r="R6" s="844"/>
      <c r="S6" s="832" t="e">
        <f>$J6</f>
        <v>#N/A</v>
      </c>
      <c r="T6" s="845" t="s">
        <v>418</v>
      </c>
      <c r="U6" s="833"/>
      <c r="V6" s="1183"/>
      <c r="W6" s="1184"/>
      <c r="X6" s="1184"/>
      <c r="Y6" s="1184"/>
      <c r="Z6" s="1184"/>
      <c r="AA6" s="1184"/>
      <c r="AB6" s="1185"/>
      <c r="AC6" s="1183"/>
      <c r="AD6" s="1184"/>
      <c r="AE6" s="1184"/>
      <c r="AF6" s="1184"/>
      <c r="AG6" s="1184"/>
      <c r="AH6" s="1184"/>
      <c r="AI6" s="1184"/>
      <c r="AJ6" s="1185"/>
      <c r="AK6" s="874" t="s">
        <v>496</v>
      </c>
      <c r="AN6" s="582" t="str">
        <f t="shared" si="0"/>
        <v>Группа потребителей</v>
      </c>
      <c r="AQ6" s="538">
        <v>0</v>
      </c>
    </row>
    <row r="7" spans="5:43" ht="23.25" hidden="1" customHeight="1">
      <c r="E7" s="1195"/>
      <c r="F7" s="1195"/>
      <c r="G7" s="1195"/>
      <c r="H7" s="1195"/>
      <c r="I7" s="1214"/>
      <c r="J7" s="1214"/>
      <c r="K7" s="1192" t="e">
        <f>J6&amp;".1"</f>
        <v>#N/A</v>
      </c>
      <c r="P7" s="1031"/>
      <c r="Q7" s="1031"/>
      <c r="R7" s="844">
        <v>1</v>
      </c>
      <c r="S7" s="832" t="e">
        <f>$K7</f>
        <v>#N/A</v>
      </c>
      <c r="T7" s="397"/>
      <c r="U7" s="833"/>
      <c r="V7" s="311"/>
      <c r="W7" s="311"/>
      <c r="X7" s="313"/>
      <c r="Y7" s="1197"/>
      <c r="Z7" s="1058" t="s">
        <v>61</v>
      </c>
      <c r="AA7" s="1197"/>
      <c r="AB7" s="1058" t="s">
        <v>61</v>
      </c>
      <c r="AC7" s="311"/>
      <c r="AD7" s="311"/>
      <c r="AE7" s="313"/>
      <c r="AF7" s="1197"/>
      <c r="AG7" s="1058" t="s">
        <v>61</v>
      </c>
      <c r="AH7" s="1215"/>
      <c r="AI7" s="1058" t="s">
        <v>61</v>
      </c>
      <c r="AJ7" s="398"/>
      <c r="AK7" s="1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7" t="e">
        <f ca="1">STRCHECKDATE(V8:AJ8)</f>
        <v>#NAME?</v>
      </c>
      <c r="AN7" s="582" t="str">
        <f t="shared" si="0"/>
        <v/>
      </c>
      <c r="AQ7" s="538">
        <v>0</v>
      </c>
    </row>
    <row r="8" spans="5:43" ht="14.25" hidden="1" customHeight="1">
      <c r="E8" s="1195"/>
      <c r="F8" s="1195"/>
      <c r="G8" s="1195"/>
      <c r="H8" s="1195"/>
      <c r="I8" s="1214"/>
      <c r="J8" s="1214"/>
      <c r="K8" s="1192"/>
      <c r="P8" s="1031"/>
      <c r="Q8" s="1031"/>
      <c r="R8" s="844"/>
      <c r="S8" s="127"/>
      <c r="T8" s="833"/>
      <c r="U8" s="833"/>
      <c r="V8" s="312"/>
      <c r="W8" s="312"/>
      <c r="X8" s="314" t="str">
        <f>Y7&amp;"-"&amp;AA7</f>
        <v>-</v>
      </c>
      <c r="Y8" s="1198"/>
      <c r="Z8" s="1058"/>
      <c r="AA8" s="1198"/>
      <c r="AB8" s="1058"/>
      <c r="AC8" s="312"/>
      <c r="AD8" s="312"/>
      <c r="AE8" s="314" t="str">
        <f>AF7&amp;"-"&amp;AH7</f>
        <v>-</v>
      </c>
      <c r="AF8" s="1198"/>
      <c r="AG8" s="1058"/>
      <c r="AH8" s="1216"/>
      <c r="AI8" s="1058"/>
      <c r="AJ8" s="387"/>
      <c r="AK8" s="1259"/>
      <c r="AN8" s="582" t="str">
        <f t="shared" si="0"/>
        <v/>
      </c>
      <c r="AQ8" s="538">
        <v>0</v>
      </c>
    </row>
    <row r="9" spans="5:43" ht="21" hidden="1" customHeight="1">
      <c r="E9" s="1195"/>
      <c r="F9" s="1195"/>
      <c r="G9" s="1195"/>
      <c r="H9" s="1195"/>
      <c r="I9" s="1214"/>
      <c r="J9" s="1192"/>
      <c r="P9" s="1031"/>
      <c r="Q9" s="1031"/>
      <c r="R9" s="842"/>
      <c r="S9" s="315"/>
      <c r="T9" s="318" t="s">
        <v>497</v>
      </c>
      <c r="U9" s="52"/>
      <c r="V9" s="52"/>
      <c r="W9" s="52"/>
      <c r="X9" s="52"/>
      <c r="Y9" s="52"/>
      <c r="Z9" s="52"/>
      <c r="AA9" s="52"/>
      <c r="AB9" s="52"/>
      <c r="AC9" s="52"/>
      <c r="AD9" s="52"/>
      <c r="AE9" s="52"/>
      <c r="AF9" s="52"/>
      <c r="AG9" s="52"/>
      <c r="AH9" s="52"/>
      <c r="AI9" s="52"/>
      <c r="AJ9" s="52"/>
      <c r="AK9" s="835" t="s">
        <v>498</v>
      </c>
      <c r="AN9" s="582" t="str">
        <f t="shared" si="0"/>
        <v>Добавить значение признака дифференциации</v>
      </c>
      <c r="AQ9" s="538">
        <v>0</v>
      </c>
    </row>
    <row r="10" spans="5:43" ht="21" hidden="1" customHeight="1">
      <c r="E10" s="1195"/>
      <c r="F10" s="1195"/>
      <c r="G10" s="1195"/>
      <c r="H10" s="1195"/>
      <c r="I10" s="1192"/>
      <c r="P10" s="1031"/>
      <c r="R10" s="842"/>
      <c r="S10" s="315"/>
      <c r="T10" s="321" t="s">
        <v>423</v>
      </c>
      <c r="U10" s="52"/>
      <c r="V10" s="52"/>
      <c r="W10" s="52"/>
      <c r="X10" s="52"/>
      <c r="Y10" s="52"/>
      <c r="Z10" s="52"/>
      <c r="AA10" s="52"/>
      <c r="AB10" s="319"/>
      <c r="AC10" s="52"/>
      <c r="AD10" s="52"/>
      <c r="AE10" s="52"/>
      <c r="AF10" s="52"/>
      <c r="AG10" s="52"/>
      <c r="AH10" s="52"/>
      <c r="AI10" s="319"/>
      <c r="AJ10" s="52"/>
      <c r="AK10" s="399"/>
      <c r="AN10" s="582" t="str">
        <f t="shared" si="0"/>
        <v>Добавить группу потребителей</v>
      </c>
      <c r="AQ10" s="538">
        <v>0</v>
      </c>
    </row>
    <row r="11" spans="5:43" ht="21" hidden="1" customHeight="1">
      <c r="E11" s="1195"/>
      <c r="F11" s="1195"/>
      <c r="G11" s="1195"/>
      <c r="H11" s="1194"/>
      <c r="R11" s="310"/>
      <c r="S11" s="315"/>
      <c r="T11" s="376" t="s">
        <v>499</v>
      </c>
      <c r="U11" s="52"/>
      <c r="V11" s="52"/>
      <c r="W11" s="52"/>
      <c r="X11" s="52"/>
      <c r="Y11" s="52"/>
      <c r="Z11" s="52"/>
      <c r="AA11" s="52"/>
      <c r="AB11" s="319"/>
      <c r="AC11" s="52"/>
      <c r="AD11" s="52"/>
      <c r="AE11" s="52"/>
      <c r="AF11" s="52"/>
      <c r="AG11" s="52"/>
      <c r="AH11" s="52"/>
      <c r="AI11" s="319"/>
      <c r="AJ11" s="52"/>
      <c r="AK11" s="320"/>
      <c r="AN11" s="582" t="str">
        <f t="shared" si="0"/>
        <v>Добавить наименование признака дифференциации</v>
      </c>
      <c r="AQ11" s="538">
        <v>0</v>
      </c>
    </row>
    <row r="12" spans="5:43" ht="14.25" hidden="1" customHeight="1">
      <c r="E12" s="1195"/>
      <c r="F12" s="1194"/>
      <c r="T12" s="326" t="s">
        <v>426</v>
      </c>
      <c r="AN12" s="582" t="str">
        <f t="shared" si="0"/>
        <v>Добавить централизованную систему для дифференциации</v>
      </c>
      <c r="AQ12" s="577">
        <v>0</v>
      </c>
    </row>
    <row r="13" spans="5:43" ht="14.25" hidden="1" customHeight="1">
      <c r="E13" s="1194"/>
      <c r="T13" s="326" t="s">
        <v>427</v>
      </c>
      <c r="AN13" s="582" t="str">
        <f t="shared" si="0"/>
        <v>Добавить территорию для дифференциации</v>
      </c>
      <c r="AQ13" s="577">
        <v>0</v>
      </c>
    </row>
    <row r="14" spans="5:43" ht="14.25" hidden="1" customHeight="1">
      <c r="AQ14" s="538">
        <v>0</v>
      </c>
    </row>
    <row r="15" spans="5:43" ht="14.25" hidden="1" customHeight="1">
      <c r="AC15" s="275"/>
      <c r="AD15" s="275"/>
      <c r="AE15" s="327"/>
      <c r="AF15" s="1199"/>
      <c r="AG15" s="1200" t="s">
        <v>61</v>
      </c>
      <c r="AH15" s="1199"/>
      <c r="AI15" s="1200" t="s">
        <v>61</v>
      </c>
      <c r="AQ15" s="538">
        <v>0</v>
      </c>
    </row>
    <row r="16" spans="5:43" ht="14.25" hidden="1" customHeight="1">
      <c r="AC16" s="275"/>
      <c r="AD16" s="275"/>
      <c r="AE16" s="314" t="str">
        <f>AF15&amp;"-"&amp;AH15</f>
        <v>-</v>
      </c>
      <c r="AF16" s="1200"/>
      <c r="AG16" s="1200"/>
      <c r="AH16" s="1200"/>
      <c r="AI16" s="1200"/>
      <c r="AQ16" s="538">
        <v>0</v>
      </c>
    </row>
    <row r="17" spans="15:43" ht="14.25" hidden="1" customHeight="1">
      <c r="AQ17" s="538">
        <v>0</v>
      </c>
    </row>
    <row r="18" spans="15:43" ht="22.5" hidden="1" customHeight="1">
      <c r="O18" s="328" t="s">
        <v>428</v>
      </c>
      <c r="Y18" s="328"/>
      <c r="AA18" s="328"/>
      <c r="AF18" s="328"/>
      <c r="AH18" s="328"/>
      <c r="AQ18" s="555">
        <v>0</v>
      </c>
    </row>
    <row r="19" spans="15:43" ht="14.25" hidden="1" customHeight="1">
      <c r="AQ19" s="555">
        <v>0</v>
      </c>
    </row>
    <row r="20" spans="15:43" ht="12" hidden="1" customHeight="1">
      <c r="O20" s="841" t="s">
        <v>429</v>
      </c>
      <c r="T20" s="555" t="s">
        <v>430</v>
      </c>
      <c r="Z20" s="598" t="s">
        <v>431</v>
      </c>
      <c r="AB20" s="598" t="s">
        <v>432</v>
      </c>
      <c r="AC20" s="555" t="s">
        <v>430</v>
      </c>
      <c r="AG20" s="598" t="s">
        <v>433</v>
      </c>
      <c r="AI20" s="598" t="s">
        <v>432</v>
      </c>
      <c r="AQ20" s="555">
        <v>0</v>
      </c>
    </row>
    <row r="21" spans="15:43" ht="14.25" hidden="1" customHeight="1">
      <c r="AQ21" s="538">
        <v>0</v>
      </c>
    </row>
    <row r="22" spans="15:43" ht="14.25" hidden="1" customHeight="1">
      <c r="AQ22" s="538">
        <v>0</v>
      </c>
    </row>
    <row r="23" spans="15:43" ht="14.65" customHeight="1">
      <c r="Q23" s="756"/>
      <c r="R23" s="756"/>
      <c r="S23" s="847"/>
      <c r="T23" s="556"/>
      <c r="U23" s="556"/>
      <c r="AQ23" s="538">
        <v>14</v>
      </c>
    </row>
    <row r="24" spans="15:43" ht="14.65" customHeight="1">
      <c r="Q24" s="756"/>
      <c r="R24" s="756"/>
      <c r="S24" s="11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178"/>
      <c r="U24" s="1178"/>
      <c r="V24" s="1178"/>
      <c r="W24" s="1178"/>
      <c r="X24" s="1178"/>
      <c r="Y24" s="1178"/>
      <c r="Z24" s="1178"/>
      <c r="AA24" s="1178"/>
      <c r="AB24" s="1178"/>
      <c r="AC24" s="1178"/>
      <c r="AD24" s="1178"/>
      <c r="AE24" s="1178"/>
      <c r="AF24" s="1178"/>
      <c r="AG24" s="1178"/>
      <c r="AH24" s="1178"/>
      <c r="AQ24" s="538">
        <v>14</v>
      </c>
    </row>
    <row r="25" spans="15:43" ht="14.65" customHeight="1">
      <c r="Q25" s="756"/>
      <c r="R25" s="756"/>
      <c r="S25" s="1127" t="str">
        <f>IF(org=0,"Не определено",org)</f>
        <v>АО "НИЖЕГОРОДСКИЙ ВОДОКАНАЛ"</v>
      </c>
      <c r="T25" s="1127"/>
      <c r="U25" s="1127"/>
      <c r="V25" s="1127"/>
      <c r="W25" s="1127"/>
      <c r="X25" s="1127"/>
      <c r="Y25" s="1127"/>
      <c r="Z25" s="1127"/>
      <c r="AA25" s="1127"/>
      <c r="AB25" s="1127"/>
      <c r="AC25" s="1127"/>
      <c r="AD25" s="1127"/>
      <c r="AE25" s="1127"/>
      <c r="AF25" s="1127"/>
      <c r="AG25" s="1127"/>
      <c r="AH25" s="1127"/>
      <c r="AQ25" s="538">
        <v>14</v>
      </c>
    </row>
    <row r="26" spans="15:43" ht="14.25" hidden="1" customHeight="1">
      <c r="Q26" s="756"/>
      <c r="R26" s="756"/>
      <c r="S26" s="847"/>
      <c r="T26" s="556"/>
      <c r="U26" s="556"/>
      <c r="V26" s="826"/>
      <c r="W26" s="826"/>
      <c r="X26" s="826"/>
      <c r="Y26" s="826"/>
      <c r="Z26" s="826"/>
      <c r="AA26" s="826"/>
      <c r="AB26" s="826"/>
      <c r="AC26" s="826"/>
      <c r="AD26" s="826"/>
      <c r="AE26" s="826"/>
      <c r="AF26" s="826"/>
      <c r="AG26" s="826"/>
      <c r="AH26" s="826"/>
      <c r="AI26" s="826"/>
      <c r="AQ26" s="538">
        <v>0</v>
      </c>
    </row>
    <row r="27" spans="15:43" ht="25.5" hidden="1" customHeight="1">
      <c r="S27" s="1186" t="s">
        <v>41</v>
      </c>
      <c r="T27" s="1186"/>
      <c r="U27" s="849"/>
      <c r="V27" s="1187" t="str">
        <f>IF(TITLE_NAME_OR_PR_CHANGE="",IF(TITLE_NAME_OR_PR="","",TITLE_NAME_OR_PR),TITLE_NAME_OR_PR_CHANGE)</f>
        <v/>
      </c>
      <c r="W27" s="1187"/>
      <c r="X27" s="1187"/>
      <c r="Y27" s="1187"/>
      <c r="Z27" s="1187"/>
      <c r="AA27" s="1187"/>
      <c r="AC27" s="1187" t="str">
        <f>IF(TITLE_NAME_OR_PR_CHANGE="",IF(TITLE_NAME_OR_PR="","",TITLE_NAME_OR_PR),TITLE_NAME_OR_PR_CHANGE)</f>
        <v/>
      </c>
      <c r="AD27" s="1187"/>
      <c r="AE27" s="1187"/>
      <c r="AF27" s="1187"/>
      <c r="AG27" s="1187"/>
      <c r="AH27" s="1187"/>
      <c r="AQ27" s="592">
        <v>0</v>
      </c>
    </row>
    <row r="28" spans="15:43" ht="18.75" hidden="1" customHeight="1">
      <c r="S28" s="1186" t="s">
        <v>434</v>
      </c>
      <c r="T28" s="1186"/>
      <c r="U28" s="849"/>
      <c r="V28" s="1196" t="str">
        <f>IF(TITLE_DATE_PR_CHANGE="",IF(TITLE_DATE_PR="","",TITLE_DATE_PR),TITLE_DATE_PR_CHANGE)</f>
        <v/>
      </c>
      <c r="W28" s="1196"/>
      <c r="X28" s="1196"/>
      <c r="Y28" s="1196"/>
      <c r="Z28" s="1196"/>
      <c r="AA28" s="1196"/>
      <c r="AC28" s="1196" t="str">
        <f>IF(TITLE_DATE_PR_CHANGE="",IF(TITLE_DATE_PR="","",TITLE_DATE_PR),TITLE_DATE_PR_CHANGE)</f>
        <v/>
      </c>
      <c r="AD28" s="1196"/>
      <c r="AE28" s="1196"/>
      <c r="AF28" s="1196"/>
      <c r="AG28" s="1196"/>
      <c r="AH28" s="1196"/>
      <c r="AQ28" s="592">
        <v>0</v>
      </c>
    </row>
    <row r="29" spans="15:43" ht="18.75" hidden="1" customHeight="1">
      <c r="S29" s="1186" t="s">
        <v>435</v>
      </c>
      <c r="T29" s="1186"/>
      <c r="U29" s="849"/>
      <c r="V29" s="1187" t="str">
        <f>IF(TITLE_NUMBER_PR_CHANGE="",IF(TITLE_NUMBER_PR="","",TITLE_NUMBER_PR),TITLE_NUMBER_PR_CHANGE)</f>
        <v/>
      </c>
      <c r="W29" s="1187"/>
      <c r="X29" s="1187"/>
      <c r="Y29" s="1187"/>
      <c r="Z29" s="1187"/>
      <c r="AA29" s="1187"/>
      <c r="AC29" s="1187" t="str">
        <f>IF(TITLE_NUMBER_PR_CHANGE="",IF(TITLE_NUMBER_PR="","",TITLE_NUMBER_PR),TITLE_NUMBER_PR_CHANGE)</f>
        <v/>
      </c>
      <c r="AD29" s="1187"/>
      <c r="AE29" s="1187"/>
      <c r="AF29" s="1187"/>
      <c r="AG29" s="1187"/>
      <c r="AH29" s="1187"/>
      <c r="AQ29" s="592">
        <v>0</v>
      </c>
    </row>
    <row r="30" spans="15:43" ht="18.75" hidden="1" customHeight="1">
      <c r="S30" s="1186" t="s">
        <v>42</v>
      </c>
      <c r="T30" s="1186"/>
      <c r="U30" s="849"/>
      <c r="V30" s="1187" t="str">
        <f>IF(TITLE_IST_PUB_CHANGE="",IF(TITLE_IST_PUB="","",TITLE_IST_PUB),TITLE_IST_PUB_CHANGE)</f>
        <v/>
      </c>
      <c r="W30" s="1187"/>
      <c r="X30" s="1187"/>
      <c r="Y30" s="1187"/>
      <c r="Z30" s="1187"/>
      <c r="AA30" s="1187"/>
      <c r="AC30" s="1187" t="str">
        <f>IF(TITLE_IST_PUB_CHANGE="",IF(TITLE_IST_PUB="","",TITLE_IST_PUB),TITLE_IST_PUB_CHANGE)</f>
        <v/>
      </c>
      <c r="AD30" s="1187"/>
      <c r="AE30" s="1187"/>
      <c r="AF30" s="1187"/>
      <c r="AG30" s="1187"/>
      <c r="AH30" s="1187"/>
      <c r="AQ30" s="592">
        <v>0</v>
      </c>
    </row>
    <row r="31" spans="15:43" ht="14.25" hidden="1" customHeight="1">
      <c r="Q31" s="756"/>
      <c r="R31" s="756"/>
      <c r="S31" s="847"/>
      <c r="T31" s="556"/>
      <c r="U31" s="556"/>
      <c r="V31" s="826"/>
      <c r="W31" s="826"/>
      <c r="X31" s="826"/>
      <c r="Y31" s="826"/>
      <c r="Z31" s="826"/>
      <c r="AA31" s="826"/>
      <c r="AB31" s="826"/>
      <c r="AC31" s="826"/>
      <c r="AD31" s="826"/>
      <c r="AE31" s="826"/>
      <c r="AF31" s="826"/>
      <c r="AG31" s="826"/>
      <c r="AH31" s="826"/>
      <c r="AI31" s="826"/>
      <c r="AQ31" s="538">
        <v>0</v>
      </c>
    </row>
    <row r="32" spans="15:43" ht="18.75" hidden="1" customHeight="1">
      <c r="S32" s="1186" t="s">
        <v>436</v>
      </c>
      <c r="T32" s="1186"/>
      <c r="U32" s="849"/>
      <c r="V32" s="1196" t="str">
        <f>IF(TITLE_DATE_PR_CHANGE="",IF(TITLE_DATE_PR="","",TITLE_DATE_PR),TITLE_DATE_PR_CHANGE)</f>
        <v/>
      </c>
      <c r="W32" s="1196"/>
      <c r="X32" s="1196"/>
      <c r="Y32" s="1196"/>
      <c r="Z32" s="1196"/>
      <c r="AA32" s="1196"/>
      <c r="AC32" s="1196" t="str">
        <f>IF(TITLE_DATE_PR_CHANGE="",IF(TITLE_DATE_PR="","",TITLE_DATE_PR),TITLE_DATE_PR_CHANGE)</f>
        <v/>
      </c>
      <c r="AD32" s="1196"/>
      <c r="AE32" s="1196"/>
      <c r="AF32" s="1196"/>
      <c r="AG32" s="1196"/>
      <c r="AH32" s="1196"/>
      <c r="AQ32" s="592">
        <v>0</v>
      </c>
    </row>
    <row r="33" spans="1:43" ht="18.75" hidden="1" customHeight="1">
      <c r="S33" s="1186" t="s">
        <v>437</v>
      </c>
      <c r="T33" s="1186"/>
      <c r="U33" s="849"/>
      <c r="V33" s="1187" t="str">
        <f>IF(TITLE_NUMBER_PR_CHANGE="",IF(TITLE_NUMBER_PR="","",TITLE_NUMBER_PR),TITLE_NUMBER_PR_CHANGE)</f>
        <v/>
      </c>
      <c r="W33" s="1187"/>
      <c r="X33" s="1187"/>
      <c r="Y33" s="1187"/>
      <c r="Z33" s="1187"/>
      <c r="AA33" s="1187"/>
      <c r="AC33" s="1187" t="str">
        <f>IF(TITLE_NUMBER_PR_CHANGE="",IF(TITLE_NUMBER_PR="","",TITLE_NUMBER_PR),TITLE_NUMBER_PR_CHANGE)</f>
        <v/>
      </c>
      <c r="AD33" s="1187"/>
      <c r="AE33" s="1187"/>
      <c r="AF33" s="1187"/>
      <c r="AG33" s="1187"/>
      <c r="AH33" s="1187"/>
      <c r="AQ33" s="592">
        <v>0</v>
      </c>
    </row>
    <row r="34" spans="1:43" ht="1.1499999999999999" customHeight="1">
      <c r="AB34" s="577" t="s">
        <v>438</v>
      </c>
      <c r="AI34" s="577" t="s">
        <v>438</v>
      </c>
      <c r="AQ34" s="592">
        <v>1</v>
      </c>
    </row>
    <row r="35" spans="1:43" ht="14.65" customHeight="1">
      <c r="Q35" s="756"/>
      <c r="R35" s="756"/>
      <c r="S35" s="847"/>
      <c r="T35" s="556"/>
      <c r="U35" s="850"/>
      <c r="V35" s="1188"/>
      <c r="W35" s="1188"/>
      <c r="X35" s="1188"/>
      <c r="Y35" s="1188"/>
      <c r="Z35" s="1188"/>
      <c r="AA35" s="1188"/>
      <c r="AB35" s="1188"/>
      <c r="AC35" s="1188"/>
      <c r="AD35" s="1188"/>
      <c r="AE35" s="1188"/>
      <c r="AF35" s="1188"/>
      <c r="AG35" s="1188"/>
      <c r="AH35" s="1188"/>
      <c r="AI35" s="1188"/>
      <c r="AQ35" s="538">
        <v>14</v>
      </c>
    </row>
    <row r="36" spans="1:43" ht="14.65" customHeight="1">
      <c r="Q36" s="756"/>
      <c r="R36" s="756"/>
      <c r="S36" s="1066" t="s">
        <v>311</v>
      </c>
      <c r="T36" s="1066"/>
      <c r="U36" s="1066"/>
      <c r="V36" s="1066"/>
      <c r="W36" s="1066"/>
      <c r="X36" s="1066"/>
      <c r="Y36" s="1066"/>
      <c r="Z36" s="1066"/>
      <c r="AA36" s="1066"/>
      <c r="AB36" s="1066"/>
      <c r="AC36" s="1066"/>
      <c r="AD36" s="1066"/>
      <c r="AE36" s="1066"/>
      <c r="AF36" s="1066"/>
      <c r="AG36" s="1066"/>
      <c r="AH36" s="1066"/>
      <c r="AI36" s="1066"/>
      <c r="AJ36" s="1066"/>
      <c r="AK36" s="1066" t="s">
        <v>312</v>
      </c>
      <c r="AQ36" s="538">
        <v>14</v>
      </c>
    </row>
    <row r="37" spans="1:43" ht="14.65" customHeight="1">
      <c r="Q37" s="756"/>
      <c r="R37" s="756"/>
      <c r="S37" s="1202" t="s">
        <v>87</v>
      </c>
      <c r="T37" s="1154" t="s">
        <v>439</v>
      </c>
      <c r="U37" s="817"/>
      <c r="V37" s="1203" t="s">
        <v>440</v>
      </c>
      <c r="W37" s="1204"/>
      <c r="X37" s="1204"/>
      <c r="Y37" s="1204"/>
      <c r="Z37" s="1204"/>
      <c r="AA37" s="1205"/>
      <c r="AB37" s="1206" t="s">
        <v>441</v>
      </c>
      <c r="AC37" s="1203" t="s">
        <v>440</v>
      </c>
      <c r="AD37" s="1204"/>
      <c r="AE37" s="1204"/>
      <c r="AF37" s="1204"/>
      <c r="AG37" s="1204"/>
      <c r="AH37" s="1205"/>
      <c r="AI37" s="1206" t="s">
        <v>442</v>
      </c>
      <c r="AJ37" s="1209" t="s">
        <v>443</v>
      </c>
      <c r="AK37" s="1066"/>
      <c r="AQ37" s="538">
        <v>14</v>
      </c>
    </row>
    <row r="38" spans="1:43" ht="35.65" customHeight="1">
      <c r="Q38" s="756"/>
      <c r="R38" s="756"/>
      <c r="S38" s="1202"/>
      <c r="T38" s="1154"/>
      <c r="U38" s="822"/>
      <c r="V38" s="617" t="s">
        <v>500</v>
      </c>
      <c r="W38" s="1048" t="s">
        <v>446</v>
      </c>
      <c r="X38" s="1047"/>
      <c r="Y38" s="1048" t="s">
        <v>447</v>
      </c>
      <c r="Z38" s="1053"/>
      <c r="AA38" s="1047"/>
      <c r="AB38" s="1207"/>
      <c r="AC38" s="617" t="s">
        <v>500</v>
      </c>
      <c r="AD38" s="1048" t="s">
        <v>446</v>
      </c>
      <c r="AE38" s="1047"/>
      <c r="AF38" s="1048" t="s">
        <v>447</v>
      </c>
      <c r="AG38" s="1053"/>
      <c r="AH38" s="1047"/>
      <c r="AI38" s="1207"/>
      <c r="AJ38" s="1210"/>
      <c r="AK38" s="1066"/>
      <c r="AQ38" s="538">
        <v>34</v>
      </c>
    </row>
    <row r="39" spans="1:43" ht="35.65" customHeight="1">
      <c r="B39" s="598" t="s">
        <v>148</v>
      </c>
      <c r="C39" s="598" t="s">
        <v>149</v>
      </c>
      <c r="D39" s="598" t="s">
        <v>150</v>
      </c>
      <c r="E39" s="841" t="s">
        <v>448</v>
      </c>
      <c r="F39" s="841" t="s">
        <v>449</v>
      </c>
      <c r="G39" s="841" t="s">
        <v>450</v>
      </c>
      <c r="I39" s="841" t="s">
        <v>501</v>
      </c>
      <c r="J39" s="841" t="s">
        <v>453</v>
      </c>
      <c r="K39" s="841" t="s">
        <v>502</v>
      </c>
      <c r="L39" s="841" t="s">
        <v>429</v>
      </c>
      <c r="Q39" s="756"/>
      <c r="R39" s="756"/>
      <c r="S39" s="1202"/>
      <c r="T39" s="1154"/>
      <c r="U39" s="852"/>
      <c r="V39" s="617" t="s">
        <v>503</v>
      </c>
      <c r="W39" s="602" t="s">
        <v>504</v>
      </c>
      <c r="X39" s="602" t="s">
        <v>505</v>
      </c>
      <c r="Y39" s="602" t="s">
        <v>457</v>
      </c>
      <c r="Z39" s="1162" t="s">
        <v>458</v>
      </c>
      <c r="AA39" s="1164"/>
      <c r="AB39" s="1208"/>
      <c r="AC39" s="617" t="s">
        <v>503</v>
      </c>
      <c r="AD39" s="602" t="s">
        <v>504</v>
      </c>
      <c r="AE39" s="602" t="s">
        <v>505</v>
      </c>
      <c r="AF39" s="602" t="s">
        <v>457</v>
      </c>
      <c r="AG39" s="1162" t="s">
        <v>458</v>
      </c>
      <c r="AH39" s="1164"/>
      <c r="AI39" s="1208"/>
      <c r="AJ39" s="1211"/>
      <c r="AK39" s="1066"/>
      <c r="AQ39" s="538">
        <v>34</v>
      </c>
    </row>
    <row r="40" spans="1:43" ht="0" hidden="1" customHeight="1">
      <c r="Q40" s="853"/>
      <c r="R40" s="854">
        <v>1</v>
      </c>
      <c r="S40" s="329" t="s">
        <v>114</v>
      </c>
      <c r="T40" s="330" t="s">
        <v>102</v>
      </c>
      <c r="U40" s="855" t="str">
        <f ca="1">OFFSET(U40,0,-1)</f>
        <v>2</v>
      </c>
      <c r="V40" s="856">
        <f ca="1">OFFSET(V40,0,-1)+1</f>
        <v>3</v>
      </c>
      <c r="W40" s="856">
        <f ca="1">OFFSET(W40,0,-1)+1</f>
        <v>4</v>
      </c>
      <c r="X40" s="856">
        <f ca="1">OFFSET(X40,0,-1)+1</f>
        <v>5</v>
      </c>
      <c r="Y40" s="856">
        <f ca="1">OFFSET(Y40,0,-1)+1</f>
        <v>6</v>
      </c>
      <c r="Z40" s="1201">
        <f ca="1">OFFSET(Z40,0,-1)+1</f>
        <v>7</v>
      </c>
      <c r="AA40" s="1201"/>
      <c r="AB40" s="856">
        <f ca="1">OFFSET(AB40,0,-2)+1</f>
        <v>8</v>
      </c>
      <c r="AC40" s="856">
        <f ca="1">OFFSET(AC40,0,-1)+1</f>
        <v>9</v>
      </c>
      <c r="AD40" s="856">
        <f ca="1">OFFSET(AD40,0,-1)+1</f>
        <v>10</v>
      </c>
      <c r="AE40" s="856">
        <f ca="1">OFFSET(AE40,0,-1)+1</f>
        <v>11</v>
      </c>
      <c r="AF40" s="856">
        <f ca="1">OFFSET(AF40,0,-1)+1</f>
        <v>12</v>
      </c>
      <c r="AG40" s="1201">
        <f ca="1">OFFSET(AG40,0,-1)+1</f>
        <v>13</v>
      </c>
      <c r="AH40" s="1201"/>
      <c r="AI40" s="856">
        <f ca="1">OFFSET(AI40,0,-2)+1</f>
        <v>14</v>
      </c>
      <c r="AJ40" s="855">
        <f ca="1">OFFSET(AJ40,0,-1)</f>
        <v>14</v>
      </c>
      <c r="AK40" s="856">
        <f ca="1">OFFSET(AK40,0,-1)+1</f>
        <v>15</v>
      </c>
      <c r="AQ40" s="681">
        <v>0</v>
      </c>
    </row>
    <row r="41" spans="1:43" ht="24" customHeight="1">
      <c r="A41" s="857" t="s">
        <v>252</v>
      </c>
      <c r="E41" s="1194">
        <v>1</v>
      </c>
      <c r="R41" s="310"/>
      <c r="S41" s="832">
        <f>INDEX(PT_DIFFERENTIATION_NUM_NTAR,MATCH(A41,PT_DIFFERENTIATION_NTAR_ID,0))</f>
        <v>0</v>
      </c>
      <c r="T41" s="795" t="s">
        <v>136</v>
      </c>
      <c r="U41" s="833"/>
      <c r="V41" s="1180"/>
      <c r="W41" s="1181"/>
      <c r="X41" s="1181"/>
      <c r="Y41" s="1181"/>
      <c r="Z41" s="1181"/>
      <c r="AA41" s="1181"/>
      <c r="AB41" s="1182"/>
      <c r="AC41" s="1180" t="str">
        <f>INDEX(PT_DIFFERENTIATION_NTAR,MATCH(A41,PT_DIFFERENTIATION_NTAR_ID,0))</f>
        <v/>
      </c>
      <c r="AD41" s="1181"/>
      <c r="AE41" s="1181"/>
      <c r="AF41" s="1181"/>
      <c r="AG41" s="1181"/>
      <c r="AH41" s="1181"/>
      <c r="AI41" s="1181"/>
      <c r="AJ41" s="1182"/>
      <c r="AK41"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41" s="582" t="str">
        <f t="shared" ref="AN41:AN53" si="1">IF(T41="","",T41)</f>
        <v>Наименование тарифа</v>
      </c>
      <c r="AQ41" s="538">
        <v>23</v>
      </c>
    </row>
    <row r="42" spans="1:43" ht="24" customHeight="1">
      <c r="A42" s="857" t="s">
        <v>252</v>
      </c>
      <c r="B42" s="857" t="s">
        <v>253</v>
      </c>
      <c r="E42" s="1195"/>
      <c r="F42" s="1194">
        <v>1</v>
      </c>
      <c r="Q42" s="836"/>
      <c r="R42" s="837"/>
      <c r="S42" s="832" t="str">
        <f>INDEX(PT_DIFFERENTIATION_NUM_TER,MATCH(B42,PT_DIFFERENTIATION_TER_ID,0))</f>
        <v>.</v>
      </c>
      <c r="T42" s="838" t="s">
        <v>408</v>
      </c>
      <c r="U42" s="833"/>
      <c r="V42" s="1180"/>
      <c r="W42" s="1181"/>
      <c r="X42" s="1181"/>
      <c r="Y42" s="1181"/>
      <c r="Z42" s="1181"/>
      <c r="AA42" s="1181"/>
      <c r="AB42" s="1182"/>
      <c r="AC42" s="1180" t="str">
        <f>INDEX(PT_DIFFERENTIATION_TER,MATCH(B42,PT_DIFFERENTIATION_TER_ID,0))</f>
        <v/>
      </c>
      <c r="AD42" s="1181"/>
      <c r="AE42" s="1181"/>
      <c r="AF42" s="1181"/>
      <c r="AG42" s="1181"/>
      <c r="AH42" s="1181"/>
      <c r="AI42" s="1181"/>
      <c r="AJ42" s="1182"/>
      <c r="AK42" s="835" t="s">
        <v>409</v>
      </c>
      <c r="AN42" s="582" t="str">
        <f t="shared" si="1"/>
        <v>Территория действия тарифа</v>
      </c>
      <c r="AQ42" s="538">
        <v>23</v>
      </c>
    </row>
    <row r="43" spans="1:43" ht="24" customHeight="1">
      <c r="A43" s="857" t="s">
        <v>252</v>
      </c>
      <c r="B43" s="857" t="s">
        <v>253</v>
      </c>
      <c r="C43" s="857" t="s">
        <v>254</v>
      </c>
      <c r="E43" s="1195"/>
      <c r="F43" s="1195"/>
      <c r="G43" s="1194">
        <v>1</v>
      </c>
      <c r="Q43" s="836"/>
      <c r="R43" s="837"/>
      <c r="S43" s="832" t="str">
        <f>INDEX(PT_DIFFERENTIATION_NUM_CS,MATCH(C43,PT_DIFFERENTIATION_CS_ID,0))</f>
        <v>..</v>
      </c>
      <c r="T43" s="839" t="s">
        <v>492</v>
      </c>
      <c r="U43" s="833"/>
      <c r="V43" s="1180"/>
      <c r="W43" s="1181"/>
      <c r="X43" s="1181"/>
      <c r="Y43" s="1181"/>
      <c r="Z43" s="1181"/>
      <c r="AA43" s="1181"/>
      <c r="AB43" s="1182"/>
      <c r="AC43" s="1180" t="str">
        <f>INDEX(PT_DIFFERENTIATION_CS,MATCH(C43,PT_DIFFERENTIATION_CS_ID,0))</f>
        <v/>
      </c>
      <c r="AD43" s="1181"/>
      <c r="AE43" s="1181"/>
      <c r="AF43" s="1181"/>
      <c r="AG43" s="1181"/>
      <c r="AH43" s="1181"/>
      <c r="AI43" s="1181"/>
      <c r="AJ43" s="1182"/>
      <c r="AK43" s="835" t="s">
        <v>493</v>
      </c>
      <c r="AN43" s="582" t="str">
        <f t="shared" si="1"/>
        <v>Наименование централизованной системы холодного водоснабжения</v>
      </c>
      <c r="AQ43" s="538">
        <v>23</v>
      </c>
    </row>
    <row r="44" spans="1:43" ht="24" customHeight="1">
      <c r="A44" s="857" t="s">
        <v>252</v>
      </c>
      <c r="B44" s="857" t="s">
        <v>253</v>
      </c>
      <c r="C44" s="857" t="s">
        <v>254</v>
      </c>
      <c r="D44" s="857" t="s">
        <v>509</v>
      </c>
      <c r="E44" s="1195"/>
      <c r="F44" s="1195"/>
      <c r="G44" s="1195"/>
      <c r="H44" s="1195"/>
      <c r="I44" s="1192" t="str">
        <f>S43&amp;".1"</f>
        <v>...1</v>
      </c>
      <c r="P44" s="1193">
        <v>1</v>
      </c>
      <c r="R44" s="842"/>
      <c r="S44" s="832" t="str">
        <f>$I44</f>
        <v>...1</v>
      </c>
      <c r="T44" s="843" t="s">
        <v>494</v>
      </c>
      <c r="U44" s="833"/>
      <c r="V44" s="1260"/>
      <c r="W44" s="1261"/>
      <c r="X44" s="1261"/>
      <c r="Y44" s="1261"/>
      <c r="Z44" s="1261"/>
      <c r="AA44" s="1261"/>
      <c r="AB44" s="1262"/>
      <c r="AC44" s="1263"/>
      <c r="AD44" s="1264"/>
      <c r="AE44" s="1264"/>
      <c r="AF44" s="1264"/>
      <c r="AG44" s="1264"/>
      <c r="AH44" s="1264"/>
      <c r="AI44" s="1264"/>
      <c r="AJ44" s="1265"/>
      <c r="AK44" s="835" t="s">
        <v>495</v>
      </c>
      <c r="AN44" s="582" t="str">
        <f t="shared" si="1"/>
        <v>Наименование признака дифференциации</v>
      </c>
      <c r="AQ44" s="538">
        <v>23</v>
      </c>
    </row>
    <row r="45" spans="1:43" ht="24" customHeight="1">
      <c r="A45" s="857" t="s">
        <v>252</v>
      </c>
      <c r="B45" s="857" t="s">
        <v>253</v>
      </c>
      <c r="C45" s="857" t="s">
        <v>254</v>
      </c>
      <c r="D45" s="857" t="s">
        <v>509</v>
      </c>
      <c r="E45" s="1195"/>
      <c r="F45" s="1195"/>
      <c r="G45" s="1195"/>
      <c r="H45" s="1195"/>
      <c r="I45" s="1214"/>
      <c r="J45" s="1192" t="str">
        <f>I44&amp;".1"</f>
        <v>...1.1</v>
      </c>
      <c r="L45" s="841" t="s">
        <v>417</v>
      </c>
      <c r="P45" s="1031"/>
      <c r="Q45" s="1193">
        <v>1</v>
      </c>
      <c r="R45" s="844"/>
      <c r="S45" s="832" t="str">
        <f>$J45</f>
        <v>...1.1</v>
      </c>
      <c r="T45" s="845" t="s">
        <v>418</v>
      </c>
      <c r="U45" s="833"/>
      <c r="V45" s="1183"/>
      <c r="W45" s="1184"/>
      <c r="X45" s="1184"/>
      <c r="Y45" s="1184"/>
      <c r="Z45" s="1184"/>
      <c r="AA45" s="1184"/>
      <c r="AB45" s="1185"/>
      <c r="AC45" s="1183"/>
      <c r="AD45" s="1184"/>
      <c r="AE45" s="1184"/>
      <c r="AF45" s="1184"/>
      <c r="AG45" s="1184"/>
      <c r="AH45" s="1184"/>
      <c r="AI45" s="1184"/>
      <c r="AJ45" s="1185"/>
      <c r="AK45" s="874" t="s">
        <v>496</v>
      </c>
      <c r="AN45" s="582" t="str">
        <f t="shared" si="1"/>
        <v>Группа потребителей</v>
      </c>
      <c r="AQ45" s="538">
        <v>23</v>
      </c>
    </row>
    <row r="46" spans="1:43" ht="24" customHeight="1">
      <c r="A46" s="857" t="s">
        <v>252</v>
      </c>
      <c r="B46" s="857" t="s">
        <v>253</v>
      </c>
      <c r="C46" s="857" t="s">
        <v>254</v>
      </c>
      <c r="D46" s="857" t="s">
        <v>509</v>
      </c>
      <c r="E46" s="1195"/>
      <c r="F46" s="1195"/>
      <c r="G46" s="1195"/>
      <c r="H46" s="1195"/>
      <c r="I46" s="1214"/>
      <c r="J46" s="1214"/>
      <c r="K46" s="1192" t="str">
        <f>J45&amp;".1"</f>
        <v>...1.1.1</v>
      </c>
      <c r="P46" s="1031"/>
      <c r="Q46" s="1031"/>
      <c r="R46" s="844">
        <v>1</v>
      </c>
      <c r="S46" s="832" t="str">
        <f>$K46</f>
        <v>...1.1.1</v>
      </c>
      <c r="T46" s="397"/>
      <c r="U46" s="833"/>
      <c r="V46" s="311"/>
      <c r="W46" s="311"/>
      <c r="X46" s="313"/>
      <c r="Y46" s="1197"/>
      <c r="Z46" s="1058" t="s">
        <v>61</v>
      </c>
      <c r="AA46" s="1197"/>
      <c r="AB46" s="1058" t="s">
        <v>61</v>
      </c>
      <c r="AC46" s="311"/>
      <c r="AD46" s="311"/>
      <c r="AE46" s="313"/>
      <c r="AF46" s="1197"/>
      <c r="AG46" s="1058" t="s">
        <v>61</v>
      </c>
      <c r="AH46" s="1215"/>
      <c r="AI46" s="1058" t="s">
        <v>61</v>
      </c>
      <c r="AJ46" s="398"/>
      <c r="AK46" s="1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7" t="e">
        <f ca="1">STRCHECKDATE(V47:AJ47)</f>
        <v>#NAME?</v>
      </c>
      <c r="AN46" s="582" t="str">
        <f t="shared" si="1"/>
        <v/>
      </c>
      <c r="AQ46" s="538">
        <v>23</v>
      </c>
    </row>
    <row r="47" spans="1:43" ht="0" hidden="1" customHeight="1">
      <c r="A47" s="857" t="s">
        <v>252</v>
      </c>
      <c r="B47" s="857" t="s">
        <v>253</v>
      </c>
      <c r="C47" s="857" t="s">
        <v>254</v>
      </c>
      <c r="D47" s="857" t="s">
        <v>509</v>
      </c>
      <c r="E47" s="1195"/>
      <c r="F47" s="1195"/>
      <c r="G47" s="1195"/>
      <c r="H47" s="1195"/>
      <c r="I47" s="1214"/>
      <c r="J47" s="1214"/>
      <c r="K47" s="1192"/>
      <c r="P47" s="1031"/>
      <c r="Q47" s="1031"/>
      <c r="R47" s="844"/>
      <c r="S47" s="127"/>
      <c r="T47" s="833"/>
      <c r="U47" s="833"/>
      <c r="V47" s="312"/>
      <c r="W47" s="312"/>
      <c r="X47" s="314" t="str">
        <f>Y46&amp;"-"&amp;AA46</f>
        <v>-</v>
      </c>
      <c r="Y47" s="1198"/>
      <c r="Z47" s="1058"/>
      <c r="AA47" s="1198"/>
      <c r="AB47" s="1058"/>
      <c r="AC47" s="312"/>
      <c r="AD47" s="312"/>
      <c r="AE47" s="314" t="str">
        <f>AF46&amp;"-"&amp;AH46</f>
        <v>-</v>
      </c>
      <c r="AF47" s="1198"/>
      <c r="AG47" s="1058"/>
      <c r="AH47" s="1216"/>
      <c r="AI47" s="1058"/>
      <c r="AJ47" s="387"/>
      <c r="AK47" s="1259"/>
      <c r="AN47" s="582" t="str">
        <f t="shared" si="1"/>
        <v/>
      </c>
      <c r="AQ47" s="538">
        <v>0</v>
      </c>
    </row>
    <row r="48" spans="1:43" ht="21" customHeight="1">
      <c r="A48" s="857" t="s">
        <v>252</v>
      </c>
      <c r="B48" s="857" t="s">
        <v>253</v>
      </c>
      <c r="C48" s="857" t="s">
        <v>254</v>
      </c>
      <c r="D48" s="857" t="s">
        <v>509</v>
      </c>
      <c r="E48" s="1195"/>
      <c r="F48" s="1195"/>
      <c r="G48" s="1195"/>
      <c r="H48" s="1195"/>
      <c r="I48" s="1214"/>
      <c r="J48" s="1192"/>
      <c r="P48" s="1031"/>
      <c r="Q48" s="1031"/>
      <c r="R48" s="842"/>
      <c r="S48" s="315"/>
      <c r="T48" s="318" t="s">
        <v>497</v>
      </c>
      <c r="U48" s="52"/>
      <c r="V48" s="52"/>
      <c r="W48" s="52"/>
      <c r="X48" s="52"/>
      <c r="Y48" s="52"/>
      <c r="Z48" s="52"/>
      <c r="AA48" s="52"/>
      <c r="AB48" s="52"/>
      <c r="AC48" s="52"/>
      <c r="AD48" s="52"/>
      <c r="AE48" s="52"/>
      <c r="AF48" s="52"/>
      <c r="AG48" s="52"/>
      <c r="AH48" s="52"/>
      <c r="AI48" s="52"/>
      <c r="AJ48" s="52"/>
      <c r="AK48" s="835" t="s">
        <v>498</v>
      </c>
      <c r="AN48" s="582" t="str">
        <f t="shared" si="1"/>
        <v>Добавить значение признака дифференциации</v>
      </c>
      <c r="AQ48" s="538">
        <v>20</v>
      </c>
    </row>
    <row r="49" spans="1:43" ht="21.95" customHeight="1">
      <c r="A49" s="857" t="s">
        <v>252</v>
      </c>
      <c r="B49" s="857" t="s">
        <v>253</v>
      </c>
      <c r="C49" s="857" t="s">
        <v>254</v>
      </c>
      <c r="D49" s="857" t="s">
        <v>509</v>
      </c>
      <c r="E49" s="1195"/>
      <c r="F49" s="1195"/>
      <c r="G49" s="1195"/>
      <c r="H49" s="1195"/>
      <c r="I49" s="1192"/>
      <c r="P49" s="1031"/>
      <c r="R49" s="842"/>
      <c r="S49" s="315"/>
      <c r="T49" s="321" t="s">
        <v>423</v>
      </c>
      <c r="U49" s="52"/>
      <c r="V49" s="52"/>
      <c r="W49" s="52"/>
      <c r="X49" s="52"/>
      <c r="Y49" s="52"/>
      <c r="Z49" s="52"/>
      <c r="AA49" s="52"/>
      <c r="AB49" s="319"/>
      <c r="AC49" s="52"/>
      <c r="AD49" s="52"/>
      <c r="AE49" s="52"/>
      <c r="AF49" s="52"/>
      <c r="AG49" s="52"/>
      <c r="AH49" s="52"/>
      <c r="AI49" s="319"/>
      <c r="AJ49" s="52"/>
      <c r="AK49" s="399"/>
      <c r="AN49" s="582" t="str">
        <f t="shared" si="1"/>
        <v>Добавить группу потребителей</v>
      </c>
      <c r="AQ49" s="538">
        <v>21</v>
      </c>
    </row>
    <row r="50" spans="1:43" ht="21.95" customHeight="1">
      <c r="A50" s="857" t="s">
        <v>252</v>
      </c>
      <c r="B50" s="857" t="s">
        <v>253</v>
      </c>
      <c r="C50" s="857" t="s">
        <v>254</v>
      </c>
      <c r="D50" s="857" t="s">
        <v>509</v>
      </c>
      <c r="E50" s="1195"/>
      <c r="F50" s="1195"/>
      <c r="G50" s="1195"/>
      <c r="H50" s="1194"/>
      <c r="R50" s="310"/>
      <c r="S50" s="315"/>
      <c r="T50" s="376" t="s">
        <v>499</v>
      </c>
      <c r="U50" s="52"/>
      <c r="V50" s="52"/>
      <c r="W50" s="52"/>
      <c r="X50" s="52"/>
      <c r="Y50" s="52"/>
      <c r="Z50" s="52"/>
      <c r="AA50" s="52"/>
      <c r="AB50" s="319"/>
      <c r="AC50" s="52"/>
      <c r="AD50" s="52"/>
      <c r="AE50" s="52"/>
      <c r="AF50" s="52"/>
      <c r="AG50" s="52"/>
      <c r="AH50" s="52"/>
      <c r="AI50" s="319"/>
      <c r="AJ50" s="52"/>
      <c r="AK50" s="320"/>
      <c r="AN50" s="582" t="str">
        <f t="shared" si="1"/>
        <v>Добавить наименование признака дифференциации</v>
      </c>
      <c r="AQ50" s="538">
        <v>21</v>
      </c>
    </row>
    <row r="51" spans="1:43" ht="0" hidden="1" customHeight="1">
      <c r="A51" s="574" t="s">
        <v>252</v>
      </c>
      <c r="B51" s="574" t="s">
        <v>253</v>
      </c>
      <c r="E51" s="1195"/>
      <c r="F51" s="1194"/>
      <c r="T51" s="326" t="s">
        <v>426</v>
      </c>
      <c r="AN51" s="582" t="str">
        <f t="shared" si="1"/>
        <v>Добавить централизованную систему для дифференциации</v>
      </c>
      <c r="AQ51" s="577">
        <v>0</v>
      </c>
    </row>
    <row r="52" spans="1:43" ht="0" hidden="1" customHeight="1">
      <c r="A52" s="574" t="s">
        <v>252</v>
      </c>
      <c r="E52" s="1194"/>
      <c r="T52" s="326" t="s">
        <v>427</v>
      </c>
      <c r="AN52" s="582" t="str">
        <f t="shared" si="1"/>
        <v>Добавить территорию для дифференциации</v>
      </c>
      <c r="AQ52" s="577">
        <v>0</v>
      </c>
    </row>
    <row r="53" spans="1:43" ht="0" hidden="1" customHeight="1">
      <c r="T53" s="326" t="s">
        <v>459</v>
      </c>
      <c r="AN53" s="582" t="str">
        <f t="shared" si="1"/>
        <v>Добавить наименование тарифа</v>
      </c>
      <c r="AQ53" s="577">
        <v>0</v>
      </c>
    </row>
    <row r="54" spans="1:43" ht="11.45" customHeight="1">
      <c r="AQ54" s="538">
        <v>11</v>
      </c>
    </row>
    <row r="55" spans="1:43" ht="14.65" customHeight="1">
      <c r="T55" s="1031"/>
      <c r="U55" s="1031"/>
      <c r="V55" s="1031"/>
      <c r="W55" s="1031"/>
      <c r="X55" s="1031"/>
      <c r="Y55" s="1031"/>
      <c r="Z55" s="1031"/>
      <c r="AA55" s="1031"/>
      <c r="AB55" s="1031"/>
      <c r="AC55" s="1031"/>
      <c r="AD55" s="1031"/>
      <c r="AE55" s="1031"/>
      <c r="AF55" s="1031"/>
      <c r="AG55" s="1031"/>
      <c r="AH55" s="1031"/>
      <c r="AI55" s="1031"/>
      <c r="AJ55" s="1031"/>
      <c r="AK55" s="1031"/>
      <c r="AQ55" s="538">
        <v>14</v>
      </c>
    </row>
    <row r="56" spans="1:43" ht="14.65" customHeight="1">
      <c r="AQ56" s="538">
        <v>14</v>
      </c>
    </row>
    <row r="57" spans="1:43" ht="14.65" customHeight="1">
      <c r="T57" s="1031"/>
      <c r="U57" s="1031"/>
      <c r="V57" s="1031"/>
      <c r="W57" s="1031"/>
      <c r="X57" s="1031"/>
      <c r="Y57" s="1031"/>
      <c r="Z57" s="1031"/>
      <c r="AA57" s="1031"/>
      <c r="AB57" s="1031"/>
      <c r="AC57" s="1031"/>
      <c r="AD57" s="1031"/>
      <c r="AE57" s="1031"/>
      <c r="AF57" s="1031"/>
      <c r="AG57" s="1031"/>
      <c r="AH57" s="1031"/>
      <c r="AI57" s="1031"/>
      <c r="AJ57" s="1031"/>
      <c r="AK57" s="1031"/>
      <c r="AQ57" s="538">
        <v>14</v>
      </c>
    </row>
    <row r="58" spans="1:43" ht="22.5" hidden="1" customHeight="1">
      <c r="A58" s="555" t="s">
        <v>81</v>
      </c>
      <c r="B58" s="555">
        <v>0</v>
      </c>
      <c r="C58" s="555">
        <v>0</v>
      </c>
      <c r="D58" s="555">
        <v>0</v>
      </c>
      <c r="E58" s="555">
        <v>0</v>
      </c>
      <c r="F58" s="555">
        <v>0</v>
      </c>
      <c r="G58" s="555">
        <v>0</v>
      </c>
      <c r="H58" s="555">
        <v>0</v>
      </c>
      <c r="I58" s="555">
        <v>0</v>
      </c>
      <c r="J58" s="555">
        <v>0</v>
      </c>
      <c r="K58" s="555">
        <v>0</v>
      </c>
      <c r="L58" s="667">
        <v>0</v>
      </c>
      <c r="M58" s="12">
        <v>0</v>
      </c>
      <c r="N58" s="12">
        <v>0</v>
      </c>
      <c r="O58" s="12">
        <v>0</v>
      </c>
      <c r="P58" s="300">
        <v>3</v>
      </c>
      <c r="Q58" s="821">
        <v>3</v>
      </c>
      <c r="R58" s="821">
        <v>3</v>
      </c>
      <c r="S58" s="553">
        <v>12</v>
      </c>
      <c r="T58" s="538">
        <v>35</v>
      </c>
      <c r="U58" s="538">
        <v>0</v>
      </c>
      <c r="V58" s="538">
        <v>0</v>
      </c>
      <c r="W58" s="538">
        <v>0</v>
      </c>
      <c r="X58" s="538">
        <v>0</v>
      </c>
      <c r="Y58" s="538">
        <v>0</v>
      </c>
      <c r="Z58" s="538">
        <v>0</v>
      </c>
      <c r="AA58" s="538">
        <v>0</v>
      </c>
      <c r="AB58" s="538">
        <v>0</v>
      </c>
      <c r="AC58" s="538">
        <v>24</v>
      </c>
      <c r="AD58" s="538">
        <v>24</v>
      </c>
      <c r="AE58" s="538">
        <v>24</v>
      </c>
      <c r="AF58" s="538">
        <v>11</v>
      </c>
      <c r="AG58" s="538">
        <v>3</v>
      </c>
      <c r="AH58" s="538">
        <v>11</v>
      </c>
      <c r="AI58" s="538">
        <v>0</v>
      </c>
      <c r="AJ58" s="538">
        <v>4</v>
      </c>
      <c r="AK58" s="538">
        <v>115</v>
      </c>
      <c r="AL58" s="577">
        <v>10</v>
      </c>
      <c r="AM58" s="577">
        <v>10</v>
      </c>
      <c r="AN58" s="577">
        <v>10</v>
      </c>
      <c r="AO58" s="577">
        <v>10</v>
      </c>
      <c r="AP58" s="577">
        <v>10</v>
      </c>
      <c r="AQ58" s="538">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029" hidden="1" customWidth="1"/>
    <col min="4" max="4" width="11.85546875" style="1029" hidden="1" customWidth="1"/>
    <col min="5" max="15" width="10.140625" style="1029" hidden="1" customWidth="1"/>
    <col min="16" max="18" width="3" style="1029" customWidth="1"/>
    <col min="19" max="19" width="12" style="1029" customWidth="1"/>
    <col min="20" max="20" width="31" style="1029" customWidth="1"/>
    <col min="21" max="21" width="0.140625" style="1029" customWidth="1"/>
    <col min="22" max="23" width="21.7109375" style="1029" hidden="1" customWidth="1"/>
    <col min="24" max="24" width="11.7109375" style="1029" hidden="1" customWidth="1"/>
    <col min="25" max="25" width="3.7109375" style="1029" hidden="1" customWidth="1"/>
    <col min="26" max="26" width="11.7109375" style="1029" hidden="1" customWidth="1"/>
    <col min="27" max="27" width="8.5703125" style="1029" hidden="1" customWidth="1"/>
    <col min="28" max="28" width="27" style="1029" customWidth="1"/>
    <col min="29" max="29" width="24.5703125" style="1029" customWidth="1"/>
    <col min="30" max="31" width="21" style="1029" customWidth="1"/>
    <col min="32" max="32" width="11" style="1029" customWidth="1"/>
    <col min="33" max="33" width="3.7109375" style="1029" customWidth="1"/>
    <col min="34" max="34" width="11" style="1029" customWidth="1"/>
    <col min="35" max="35" width="8.5703125" style="1029" hidden="1" customWidth="1"/>
    <col min="36" max="36" width="4" style="1029" customWidth="1"/>
    <col min="37" max="37" width="115" style="1029" customWidth="1"/>
    <col min="38" max="42" width="10" style="1029" customWidth="1"/>
    <col min="43" max="43" width="10.5703125" style="1029" hidden="1"/>
  </cols>
  <sheetData>
    <row r="1" spans="5:43" ht="0.75" hidden="1" customHeight="1">
      <c r="AQ1" s="538" t="s">
        <v>14</v>
      </c>
    </row>
    <row r="2" spans="5:43" ht="21" hidden="1" customHeight="1">
      <c r="E2" s="1217">
        <v>1</v>
      </c>
      <c r="R2" s="310"/>
      <c r="S2" s="832" t="e">
        <f>INDEX(PT_DIFFERENTIATION_NUM_NTAR,MATCH(A2,PT_DIFFERENTIATION_NTAR_ID,0))</f>
        <v>#N/A</v>
      </c>
      <c r="T2" s="795" t="s">
        <v>136</v>
      </c>
      <c r="U2" s="833"/>
      <c r="V2" s="1181"/>
      <c r="W2" s="1181"/>
      <c r="X2" s="1181"/>
      <c r="Y2" s="1181"/>
      <c r="Z2" s="1181"/>
      <c r="AA2" s="1182"/>
      <c r="AB2" s="834"/>
      <c r="AC2" s="1181" t="e">
        <f>INDEX(PT_DIFFERENTIATION_NTAR,MATCH(A2,PT_DIFFERENTIATION_NTAR_ID,0))</f>
        <v>#N/A</v>
      </c>
      <c r="AD2" s="1181"/>
      <c r="AE2" s="1181"/>
      <c r="AF2" s="1181"/>
      <c r="AG2" s="1181"/>
      <c r="AH2" s="1181"/>
      <c r="AI2" s="1181"/>
      <c r="AJ2" s="1182"/>
      <c r="AK2" s="835" t="s">
        <v>407</v>
      </c>
      <c r="AN2" s="582" t="str">
        <f t="shared" ref="AN2:AN14" si="0">IF(T2="","",T2)</f>
        <v>Наименование тарифа</v>
      </c>
      <c r="AQ2" s="538">
        <v>0</v>
      </c>
    </row>
    <row r="3" spans="5:43" ht="21" hidden="1" customHeight="1">
      <c r="E3" s="1218"/>
      <c r="F3" s="1217">
        <v>1</v>
      </c>
      <c r="Q3" s="879"/>
      <c r="R3" s="837"/>
      <c r="S3" s="832" t="e">
        <f>INDEX(PT_DIFFERENTIATION_NUM_TER,MATCH(B3,PT_DIFFERENTIATION_TER_ID,0))</f>
        <v>#N/A</v>
      </c>
      <c r="T3" s="838" t="s">
        <v>408</v>
      </c>
      <c r="U3" s="833"/>
      <c r="V3" s="1181"/>
      <c r="W3" s="1181"/>
      <c r="X3" s="1181"/>
      <c r="Y3" s="1181"/>
      <c r="Z3" s="1181"/>
      <c r="AA3" s="1182"/>
      <c r="AB3" s="834"/>
      <c r="AC3" s="1181" t="e">
        <f>INDEX(PT_DIFFERENTIATION_TER,MATCH(B3,PT_DIFFERENTIATION_TER_ID,0))</f>
        <v>#N/A</v>
      </c>
      <c r="AD3" s="1181"/>
      <c r="AE3" s="1181"/>
      <c r="AF3" s="1181"/>
      <c r="AG3" s="1181"/>
      <c r="AH3" s="1181"/>
      <c r="AI3" s="1181"/>
      <c r="AJ3" s="1182"/>
      <c r="AK3" s="835" t="s">
        <v>409</v>
      </c>
      <c r="AN3" s="582" t="str">
        <f t="shared" si="0"/>
        <v>Территория действия тарифа</v>
      </c>
      <c r="AQ3" s="538">
        <v>0</v>
      </c>
    </row>
    <row r="4" spans="5:43" ht="22.5" hidden="1" customHeight="1">
      <c r="E4" s="1218"/>
      <c r="F4" s="1218"/>
      <c r="G4" s="1217">
        <v>1</v>
      </c>
      <c r="Q4" s="879"/>
      <c r="R4" s="837"/>
      <c r="S4" s="832" t="e">
        <f>INDEX(PT_DIFFERENTIATION_NUM_CS,MATCH(C4,PT_DIFFERENTIATION_CS_ID,0))</f>
        <v>#N/A</v>
      </c>
      <c r="T4" s="839" t="s">
        <v>410</v>
      </c>
      <c r="U4" s="833"/>
      <c r="V4" s="1181"/>
      <c r="W4" s="1181"/>
      <c r="X4" s="1181"/>
      <c r="Y4" s="1181"/>
      <c r="Z4" s="1181"/>
      <c r="AA4" s="1182"/>
      <c r="AB4" s="834"/>
      <c r="AC4" s="1181" t="e">
        <f>INDEX(PT_DIFFERENTIATION_CS,MATCH(C4,PT_DIFFERENTIATION_CS_ID,0))</f>
        <v>#N/A</v>
      </c>
      <c r="AD4" s="1181"/>
      <c r="AE4" s="1181"/>
      <c r="AF4" s="1181"/>
      <c r="AG4" s="1181"/>
      <c r="AH4" s="1181"/>
      <c r="AI4" s="1181"/>
      <c r="AJ4" s="1182"/>
      <c r="AK4" s="835" t="s">
        <v>411</v>
      </c>
      <c r="AN4" s="582" t="str">
        <f t="shared" si="0"/>
        <v xml:space="preserve">Наименование системы теплоснабжения </v>
      </c>
      <c r="AQ4" s="538">
        <v>0</v>
      </c>
    </row>
    <row r="5" spans="5:43" ht="21" hidden="1" customHeight="1">
      <c r="E5" s="1218"/>
      <c r="F5" s="1218"/>
      <c r="G5" s="1218"/>
      <c r="H5" s="1217">
        <v>1</v>
      </c>
      <c r="Q5" s="879"/>
      <c r="R5" s="837"/>
      <c r="S5" s="832" t="e">
        <f>INDEX(PT_DIFFERENTIATION_NUM_IST_TE,MATCH(D5,PT_DIFFERENTIATION_IST_TE_ID,0))</f>
        <v>#N/A</v>
      </c>
      <c r="T5" s="840" t="s">
        <v>412</v>
      </c>
      <c r="U5" s="833"/>
      <c r="V5" s="1181"/>
      <c r="W5" s="1181"/>
      <c r="X5" s="1181"/>
      <c r="Y5" s="1181"/>
      <c r="Z5" s="1181"/>
      <c r="AA5" s="1182"/>
      <c r="AB5" s="834"/>
      <c r="AC5" s="1181" t="e">
        <f>INDEX(PT_DIFFERENTIATION_IST_TE,MATCH(D5,PT_DIFFERENTIATION_IST_TE_ID,0))</f>
        <v>#N/A</v>
      </c>
      <c r="AD5" s="1181"/>
      <c r="AE5" s="1181"/>
      <c r="AF5" s="1181"/>
      <c r="AG5" s="1181"/>
      <c r="AH5" s="1181"/>
      <c r="AI5" s="1181"/>
      <c r="AJ5" s="1182"/>
      <c r="AK5" s="835" t="s">
        <v>413</v>
      </c>
      <c r="AN5" s="582" t="str">
        <f t="shared" si="0"/>
        <v xml:space="preserve">Источник тепловой энергии  </v>
      </c>
      <c r="AQ5" s="538">
        <v>0</v>
      </c>
    </row>
    <row r="6" spans="5:43" ht="0.75" hidden="1" customHeight="1">
      <c r="E6" s="1218"/>
      <c r="F6" s="1218"/>
      <c r="G6" s="1218"/>
      <c r="H6" s="1218"/>
      <c r="I6" s="1066" t="e">
        <f>S5&amp;".1"</f>
        <v>#N/A</v>
      </c>
      <c r="L6" s="878" t="s">
        <v>414</v>
      </c>
      <c r="P6" s="1193">
        <v>1</v>
      </c>
      <c r="R6" s="842"/>
      <c r="S6" s="635"/>
      <c r="T6" s="859"/>
      <c r="U6" s="860"/>
      <c r="V6" s="1223"/>
      <c r="W6" s="1223"/>
      <c r="X6" s="1223"/>
      <c r="Y6" s="1223"/>
      <c r="Z6" s="1223"/>
      <c r="AA6" s="1224"/>
      <c r="AB6" s="861"/>
      <c r="AC6" s="1223"/>
      <c r="AD6" s="1223"/>
      <c r="AE6" s="1223"/>
      <c r="AF6" s="1223"/>
      <c r="AG6" s="1223"/>
      <c r="AH6" s="1223"/>
      <c r="AI6" s="1223"/>
      <c r="AJ6" s="1224"/>
      <c r="AK6" s="862"/>
      <c r="AN6" s="582" t="str">
        <f t="shared" si="0"/>
        <v/>
      </c>
      <c r="AQ6" s="577">
        <v>0</v>
      </c>
    </row>
    <row r="7" spans="5:43" ht="0.75" hidden="1" customHeight="1">
      <c r="E7" s="1218"/>
      <c r="F7" s="1218"/>
      <c r="G7" s="1218"/>
      <c r="H7" s="1218"/>
      <c r="I7" s="1048"/>
      <c r="J7" s="1066" t="e">
        <f>S5&amp;".1"</f>
        <v>#N/A</v>
      </c>
      <c r="P7" s="1031"/>
      <c r="Q7" s="1193">
        <v>1</v>
      </c>
      <c r="R7" s="844"/>
      <c r="S7" s="635"/>
      <c r="T7" s="880"/>
      <c r="U7" s="860"/>
      <c r="V7" s="1223"/>
      <c r="W7" s="1223"/>
      <c r="X7" s="1223"/>
      <c r="Y7" s="1223"/>
      <c r="Z7" s="1223"/>
      <c r="AA7" s="1224"/>
      <c r="AB7" s="861"/>
      <c r="AC7" s="1223"/>
      <c r="AD7" s="1223"/>
      <c r="AE7" s="1223"/>
      <c r="AF7" s="1223"/>
      <c r="AG7" s="1223"/>
      <c r="AH7" s="1223"/>
      <c r="AI7" s="1223"/>
      <c r="AJ7" s="1224"/>
      <c r="AK7" s="862"/>
      <c r="AN7" s="582" t="str">
        <f t="shared" si="0"/>
        <v/>
      </c>
      <c r="AQ7" s="577">
        <v>0</v>
      </c>
    </row>
    <row r="8" spans="5:43" ht="21" hidden="1" customHeight="1">
      <c r="E8" s="1218"/>
      <c r="F8" s="1218"/>
      <c r="G8" s="1218"/>
      <c r="H8" s="1218"/>
      <c r="I8" s="1048"/>
      <c r="J8" s="1048"/>
      <c r="K8" s="583" t="e">
        <f>S5&amp;".1"</f>
        <v>#N/A</v>
      </c>
      <c r="P8" s="1031"/>
      <c r="Q8" s="1031"/>
      <c r="R8" s="881">
        <v>1</v>
      </c>
      <c r="S8" s="864" t="e">
        <f>$K8</f>
        <v>#N/A</v>
      </c>
      <c r="T8" s="349"/>
      <c r="U8" s="833"/>
      <c r="V8" s="311"/>
      <c r="W8" s="313"/>
      <c r="X8" s="203"/>
      <c r="Y8" s="56" t="s">
        <v>61</v>
      </c>
      <c r="Z8" s="203"/>
      <c r="AA8" s="56" t="s">
        <v>61</v>
      </c>
      <c r="AB8" s="372"/>
      <c r="AC8" s="373" t="s">
        <v>22</v>
      </c>
      <c r="AD8" s="311"/>
      <c r="AE8" s="313"/>
      <c r="AF8" s="203"/>
      <c r="AG8" s="56" t="s">
        <v>61</v>
      </c>
      <c r="AH8" s="203"/>
      <c r="AI8" s="56" t="s">
        <v>61</v>
      </c>
      <c r="AJ8" s="331"/>
      <c r="AK8" s="1189" t="s">
        <v>475</v>
      </c>
      <c r="AL8" s="577" t="e">
        <f ca="1">STRCHECKDATE(#REF!)</f>
        <v>#NAME?</v>
      </c>
      <c r="AN8" s="582" t="str">
        <f t="shared" si="0"/>
        <v/>
      </c>
      <c r="AQ8" s="538">
        <v>0</v>
      </c>
    </row>
    <row r="9" spans="5:43" ht="11.25" hidden="1" customHeight="1">
      <c r="E9" s="1218"/>
      <c r="F9" s="1218"/>
      <c r="G9" s="1218"/>
      <c r="H9" s="1218"/>
      <c r="I9" s="1048"/>
      <c r="J9" s="1066"/>
      <c r="P9" s="1031"/>
      <c r="Q9" s="1031"/>
      <c r="R9" s="842"/>
      <c r="S9" s="315"/>
      <c r="T9" s="318" t="s">
        <v>479</v>
      </c>
      <c r="U9" s="52"/>
      <c r="V9" s="52"/>
      <c r="W9" s="52"/>
      <c r="X9" s="52"/>
      <c r="Y9" s="52"/>
      <c r="Z9" s="52"/>
      <c r="AA9" s="52"/>
      <c r="AB9" s="52"/>
      <c r="AC9" s="52"/>
      <c r="AD9" s="52"/>
      <c r="AE9" s="52"/>
      <c r="AF9" s="52"/>
      <c r="AG9" s="52"/>
      <c r="AH9" s="52"/>
      <c r="AI9" s="52"/>
      <c r="AJ9" s="317"/>
      <c r="AK9" s="1191"/>
      <c r="AN9" s="582" t="str">
        <f t="shared" si="0"/>
        <v>Добавить строку</v>
      </c>
      <c r="AQ9" s="538">
        <v>0</v>
      </c>
    </row>
    <row r="10" spans="5:43" ht="0.75" hidden="1" customHeight="1">
      <c r="E10" s="1218"/>
      <c r="F10" s="1218"/>
      <c r="G10" s="1218"/>
      <c r="H10" s="1218"/>
      <c r="I10" s="1066"/>
      <c r="P10" s="1031"/>
      <c r="R10" s="842"/>
      <c r="S10" s="334"/>
      <c r="T10" s="335"/>
      <c r="U10" s="336"/>
      <c r="V10" s="336"/>
      <c r="W10" s="336"/>
      <c r="X10" s="336"/>
      <c r="Y10" s="336"/>
      <c r="Z10" s="336"/>
      <c r="AA10" s="336"/>
      <c r="AB10" s="336"/>
      <c r="AC10" s="336"/>
      <c r="AD10" s="336"/>
      <c r="AE10" s="336"/>
      <c r="AF10" s="336"/>
      <c r="AG10" s="336"/>
      <c r="AH10" s="336"/>
      <c r="AI10" s="336"/>
      <c r="AJ10" s="336"/>
      <c r="AK10" s="337"/>
      <c r="AN10" s="582" t="str">
        <f t="shared" si="0"/>
        <v/>
      </c>
      <c r="AQ10" s="577">
        <v>0</v>
      </c>
    </row>
    <row r="11" spans="5:43" ht="0.75" hidden="1" customHeight="1">
      <c r="E11" s="1218"/>
      <c r="F11" s="1218"/>
      <c r="G11" s="1218"/>
      <c r="H11" s="1217"/>
      <c r="R11" s="357"/>
      <c r="S11" s="334"/>
      <c r="T11" s="335"/>
      <c r="U11" s="336"/>
      <c r="V11" s="336"/>
      <c r="W11" s="336"/>
      <c r="X11" s="336"/>
      <c r="Y11" s="336"/>
      <c r="Z11" s="336"/>
      <c r="AA11" s="336"/>
      <c r="AB11" s="336"/>
      <c r="AC11" s="336"/>
      <c r="AD11" s="336"/>
      <c r="AE11" s="336"/>
      <c r="AF11" s="336"/>
      <c r="AG11" s="336"/>
      <c r="AH11" s="336"/>
      <c r="AI11" s="336"/>
      <c r="AJ11" s="336"/>
      <c r="AK11" s="337"/>
      <c r="AN11" s="582" t="str">
        <f t="shared" si="0"/>
        <v/>
      </c>
      <c r="AQ11" s="577">
        <v>0</v>
      </c>
    </row>
    <row r="12" spans="5:43" ht="0.75" hidden="1" customHeight="1">
      <c r="E12" s="1218"/>
      <c r="F12" s="1218"/>
      <c r="G12" s="1217"/>
      <c r="T12" s="326" t="s">
        <v>425</v>
      </c>
      <c r="AN12" s="582" t="str">
        <f t="shared" si="0"/>
        <v>Добавить источник для дифференциации</v>
      </c>
      <c r="AQ12" s="577">
        <v>0</v>
      </c>
    </row>
    <row r="13" spans="5:43" ht="0.75" hidden="1" customHeight="1">
      <c r="E13" s="1218"/>
      <c r="F13" s="1217"/>
      <c r="T13" s="326" t="s">
        <v>426</v>
      </c>
      <c r="AN13" s="582" t="str">
        <f t="shared" si="0"/>
        <v>Добавить централизованную систему для дифференциации</v>
      </c>
      <c r="AQ13" s="577">
        <v>0</v>
      </c>
    </row>
    <row r="14" spans="5:43" ht="0.75" hidden="1" customHeight="1">
      <c r="E14" s="1217"/>
      <c r="T14" s="326" t="s">
        <v>427</v>
      </c>
      <c r="AN14" s="582" t="str">
        <f t="shared" si="0"/>
        <v>Добавить территорию для дифференциации</v>
      </c>
      <c r="AQ14" s="577">
        <v>0</v>
      </c>
    </row>
    <row r="15" spans="5:43" ht="14.25" hidden="1" customHeight="1">
      <c r="AQ15" s="538">
        <v>0</v>
      </c>
    </row>
    <row r="16" spans="5:43" ht="14.25" hidden="1" customHeight="1">
      <c r="AD16" s="265"/>
      <c r="AE16" s="359"/>
      <c r="AF16" s="360"/>
      <c r="AG16" s="285" t="s">
        <v>61</v>
      </c>
      <c r="AH16" s="360"/>
      <c r="AI16" s="285" t="s">
        <v>61</v>
      </c>
      <c r="AQ16" s="538">
        <v>0</v>
      </c>
    </row>
    <row r="17" spans="15:43" ht="14.25" hidden="1" customHeight="1">
      <c r="AQ17" s="538">
        <v>0</v>
      </c>
    </row>
    <row r="18" spans="15:43" ht="14.25" hidden="1" customHeight="1">
      <c r="O18" s="348" t="s">
        <v>428</v>
      </c>
      <c r="X18" s="348"/>
      <c r="Z18" s="348"/>
      <c r="AF18" s="348"/>
      <c r="AH18" s="348"/>
      <c r="AQ18" s="538">
        <v>0</v>
      </c>
    </row>
    <row r="19" spans="15:43" ht="14.25" hidden="1" customHeight="1">
      <c r="AQ19" s="538">
        <v>0</v>
      </c>
    </row>
    <row r="20" spans="15:43" ht="14.25" hidden="1" customHeight="1">
      <c r="O20" s="890" t="s">
        <v>429</v>
      </c>
      <c r="Y20" s="884" t="s">
        <v>431</v>
      </c>
      <c r="AA20" s="884" t="s">
        <v>432</v>
      </c>
      <c r="AC20" s="884" t="s">
        <v>481</v>
      </c>
      <c r="AG20" s="884" t="s">
        <v>431</v>
      </c>
      <c r="AI20" s="884" t="s">
        <v>432</v>
      </c>
      <c r="AQ20" s="884">
        <v>0</v>
      </c>
    </row>
    <row r="21" spans="15:43" ht="14.25" hidden="1" customHeight="1">
      <c r="AQ21" s="538">
        <v>0</v>
      </c>
    </row>
    <row r="22" spans="15:43" ht="14.25" hidden="1" customHeight="1">
      <c r="AQ22" s="538">
        <v>0</v>
      </c>
    </row>
    <row r="23" spans="15:43" ht="14.65" customHeight="1">
      <c r="Q23" s="885"/>
      <c r="R23" s="756"/>
      <c r="S23" s="847"/>
      <c r="T23" s="556"/>
      <c r="U23" s="556"/>
      <c r="AQ23" s="538">
        <v>14</v>
      </c>
    </row>
    <row r="24" spans="15:43" ht="39.75" customHeight="1">
      <c r="Q24" s="885"/>
      <c r="R24" s="756"/>
      <c r="S24" s="117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178"/>
      <c r="U24" s="1178"/>
      <c r="V24" s="1178"/>
      <c r="W24" s="1178"/>
      <c r="X24" s="1178"/>
      <c r="Y24" s="1178"/>
      <c r="Z24" s="1178"/>
      <c r="AA24" s="1178"/>
      <c r="AB24" s="1178"/>
      <c r="AC24" s="1178"/>
      <c r="AD24" s="1178"/>
      <c r="AE24" s="1178"/>
      <c r="AF24" s="1178"/>
      <c r="AG24" s="1178"/>
      <c r="AH24" s="1178"/>
      <c r="AQ24" s="538">
        <v>38</v>
      </c>
    </row>
    <row r="25" spans="15:43" ht="14.65" customHeight="1">
      <c r="Q25" s="885"/>
      <c r="R25" s="756"/>
      <c r="S25" s="1127" t="str">
        <f>IF(org=0,"Не определено",org)</f>
        <v>АО "НИЖЕГОРОДСКИЙ ВОДОКАНАЛ"</v>
      </c>
      <c r="T25" s="1127"/>
      <c r="U25" s="1127"/>
      <c r="V25" s="1127"/>
      <c r="W25" s="1127"/>
      <c r="X25" s="1127"/>
      <c r="Y25" s="1127"/>
      <c r="Z25" s="1127"/>
      <c r="AA25" s="1127"/>
      <c r="AB25" s="1127"/>
      <c r="AC25" s="1127"/>
      <c r="AD25" s="1127"/>
      <c r="AE25" s="1127"/>
      <c r="AF25" s="1127"/>
      <c r="AG25" s="1127"/>
      <c r="AH25" s="1127"/>
      <c r="AQ25" s="538">
        <v>14</v>
      </c>
    </row>
    <row r="26" spans="15:43" ht="14.25" hidden="1" customHeight="1">
      <c r="Q26" s="885"/>
      <c r="R26" s="756"/>
      <c r="S26" s="847"/>
      <c r="T26" s="556"/>
      <c r="U26" s="556"/>
      <c r="V26" s="826"/>
      <c r="W26" s="826"/>
      <c r="X26" s="826"/>
      <c r="Y26" s="826"/>
      <c r="Z26" s="826"/>
      <c r="AA26" s="826"/>
      <c r="AB26" s="826"/>
      <c r="AC26" s="826"/>
      <c r="AD26" s="826"/>
      <c r="AE26" s="826"/>
      <c r="AF26" s="826"/>
      <c r="AG26" s="826"/>
      <c r="AH26" s="826"/>
      <c r="AI26" s="826"/>
      <c r="AQ26" s="538">
        <v>0</v>
      </c>
    </row>
    <row r="27" spans="15:43" ht="25.5" hidden="1" customHeight="1">
      <c r="S27" s="1186" t="s">
        <v>41</v>
      </c>
      <c r="T27" s="1186"/>
      <c r="U27" s="849"/>
      <c r="V27" s="1187" t="str">
        <f>IF(TITLE_NAME_OR_PR_CHANGE="",IF(TITLE_NAME_OR_PR="","",TITLE_NAME_OR_PR),TITLE_NAME_OR_PR_CHANGE)</f>
        <v/>
      </c>
      <c r="W27" s="1187"/>
      <c r="X27" s="1187"/>
      <c r="Y27" s="1187"/>
      <c r="Z27" s="1187"/>
      <c r="AC27" s="1187"/>
      <c r="AD27" s="1187"/>
      <c r="AE27" s="1187"/>
      <c r="AF27" s="1187"/>
      <c r="AG27" s="1187"/>
      <c r="AH27" s="1187"/>
      <c r="AQ27" s="592">
        <v>0</v>
      </c>
    </row>
    <row r="28" spans="15:43" ht="18.75" hidden="1" customHeight="1">
      <c r="S28" s="1186" t="s">
        <v>434</v>
      </c>
      <c r="T28" s="1186"/>
      <c r="U28" s="849"/>
      <c r="V28" s="1196" t="str">
        <f>IF(TITLE_DATE_PR_CHANGE="",IF(TITLE_DATE_PR="","",TITLE_DATE_PR),TITLE_DATE_PR_CHANGE)</f>
        <v/>
      </c>
      <c r="W28" s="1196"/>
      <c r="X28" s="1196"/>
      <c r="Y28" s="1196"/>
      <c r="Z28" s="1196"/>
      <c r="AC28" s="1196"/>
      <c r="AD28" s="1196"/>
      <c r="AE28" s="1196"/>
      <c r="AF28" s="1196"/>
      <c r="AG28" s="1196"/>
      <c r="AH28" s="1196"/>
      <c r="AQ28" s="592">
        <v>0</v>
      </c>
    </row>
    <row r="29" spans="15:43" ht="18.75" hidden="1" customHeight="1">
      <c r="S29" s="1186" t="s">
        <v>435</v>
      </c>
      <c r="T29" s="1186"/>
      <c r="U29" s="849"/>
      <c r="V29" s="1187" t="str">
        <f>IF(TITLE_NUMBER_PR_CHANGE="",IF(TITLE_NUMBER_PR="","",TITLE_NUMBER_PR),TITLE_NUMBER_PR_CHANGE)</f>
        <v/>
      </c>
      <c r="W29" s="1187"/>
      <c r="X29" s="1187"/>
      <c r="Y29" s="1187"/>
      <c r="Z29" s="1187"/>
      <c r="AC29" s="1187"/>
      <c r="AD29" s="1187"/>
      <c r="AE29" s="1187"/>
      <c r="AF29" s="1187"/>
      <c r="AG29" s="1187"/>
      <c r="AH29" s="1187"/>
      <c r="AQ29" s="592">
        <v>0</v>
      </c>
    </row>
    <row r="30" spans="15:43" ht="18.75" hidden="1" customHeight="1">
      <c r="S30" s="1186" t="s">
        <v>42</v>
      </c>
      <c r="T30" s="1186"/>
      <c r="U30" s="849"/>
      <c r="V30" s="1187" t="str">
        <f>IF(TITLE_IST_PUB_CHANGE="",IF(TITLE_IST_PUB="","",TITLE_IST_PUB),TITLE_IST_PUB_CHANGE)</f>
        <v/>
      </c>
      <c r="W30" s="1187"/>
      <c r="X30" s="1187"/>
      <c r="Y30" s="1187"/>
      <c r="Z30" s="1187"/>
      <c r="AC30" s="1187"/>
      <c r="AD30" s="1187"/>
      <c r="AE30" s="1187"/>
      <c r="AF30" s="1187"/>
      <c r="AG30" s="1187"/>
      <c r="AH30" s="1187"/>
      <c r="AQ30" s="592">
        <v>0</v>
      </c>
    </row>
    <row r="31" spans="15:43" ht="14.25" hidden="1" customHeight="1">
      <c r="Q31" s="885"/>
      <c r="R31" s="756"/>
      <c r="S31" s="847"/>
      <c r="T31" s="556"/>
      <c r="U31" s="556"/>
      <c r="V31" s="826"/>
      <c r="W31" s="826"/>
      <c r="X31" s="826"/>
      <c r="Y31" s="826"/>
      <c r="Z31" s="826"/>
      <c r="AA31" s="826"/>
      <c r="AB31" s="826"/>
      <c r="AC31" s="826"/>
      <c r="AD31" s="826"/>
      <c r="AE31" s="826"/>
      <c r="AF31" s="826"/>
      <c r="AG31" s="826"/>
      <c r="AH31" s="826"/>
      <c r="AI31" s="826"/>
      <c r="AQ31" s="538">
        <v>0</v>
      </c>
    </row>
    <row r="32" spans="15:43" ht="18.75" hidden="1" customHeight="1">
      <c r="S32" s="1186" t="s">
        <v>434</v>
      </c>
      <c r="T32" s="1186"/>
      <c r="U32" s="849"/>
      <c r="V32" s="1196" t="str">
        <f>IF(TITLE_DATE_PR_CHANGE="",IF(TITLE_DATE_PR="","",TITLE_DATE_PR),TITLE_DATE_PR_CHANGE)</f>
        <v/>
      </c>
      <c r="W32" s="1196"/>
      <c r="X32" s="1196"/>
      <c r="Y32" s="1196"/>
      <c r="Z32" s="1196"/>
      <c r="AC32" s="1196"/>
      <c r="AD32" s="1196"/>
      <c r="AE32" s="1196"/>
      <c r="AF32" s="1196"/>
      <c r="AG32" s="1196"/>
      <c r="AH32" s="1196"/>
      <c r="AQ32" s="592">
        <v>0</v>
      </c>
    </row>
    <row r="33" spans="1:43" ht="18" hidden="1" customHeight="1">
      <c r="S33" s="1186" t="s">
        <v>435</v>
      </c>
      <c r="T33" s="1186"/>
      <c r="U33" s="849"/>
      <c r="V33" s="1187" t="str">
        <f>IF(TITLE_NUMBER_PR_CHANGE="",IF(TITLE_NUMBER_PR="","",TITLE_NUMBER_PR),TITLE_NUMBER_PR_CHANGE)</f>
        <v/>
      </c>
      <c r="W33" s="1187"/>
      <c r="X33" s="1187"/>
      <c r="Y33" s="1187"/>
      <c r="Z33" s="1187"/>
      <c r="AC33" s="1187"/>
      <c r="AD33" s="1187"/>
      <c r="AE33" s="1187"/>
      <c r="AF33" s="1187"/>
      <c r="AG33" s="1187"/>
      <c r="AH33" s="1187"/>
      <c r="AQ33" s="592">
        <v>0</v>
      </c>
    </row>
    <row r="34" spans="1:43" ht="1.1499999999999999" customHeight="1">
      <c r="AA34" s="577" t="s">
        <v>438</v>
      </c>
      <c r="AI34" s="577" t="s">
        <v>438</v>
      </c>
      <c r="AQ34" s="592">
        <v>1</v>
      </c>
    </row>
    <row r="35" spans="1:43" ht="14.65" customHeight="1">
      <c r="Q35" s="885"/>
      <c r="R35" s="756"/>
      <c r="S35" s="847"/>
      <c r="T35" s="556"/>
      <c r="U35" s="850"/>
      <c r="V35" s="1188"/>
      <c r="W35" s="1188"/>
      <c r="X35" s="1188"/>
      <c r="Y35" s="1188"/>
      <c r="Z35" s="1188"/>
      <c r="AA35" s="1188"/>
      <c r="AB35" s="851"/>
      <c r="AC35" s="1188"/>
      <c r="AD35" s="1188"/>
      <c r="AE35" s="1188"/>
      <c r="AF35" s="1188"/>
      <c r="AG35" s="1188"/>
      <c r="AH35" s="1188"/>
      <c r="AI35" s="1188"/>
      <c r="AQ35" s="538">
        <v>14</v>
      </c>
    </row>
    <row r="36" spans="1:43" ht="14.65" customHeight="1">
      <c r="Q36" s="885"/>
      <c r="R36" s="756"/>
      <c r="S36" s="1066" t="s">
        <v>311</v>
      </c>
      <c r="T36" s="1066"/>
      <c r="U36" s="1066"/>
      <c r="V36" s="1066"/>
      <c r="W36" s="1066"/>
      <c r="X36" s="1066"/>
      <c r="Y36" s="1066"/>
      <c r="Z36" s="1066"/>
      <c r="AA36" s="1126"/>
      <c r="AB36" s="1126"/>
      <c r="AC36" s="1126"/>
      <c r="AD36" s="1066"/>
      <c r="AE36" s="1066"/>
      <c r="AF36" s="1066"/>
      <c r="AG36" s="1066"/>
      <c r="AH36" s="1066"/>
      <c r="AI36" s="1066"/>
      <c r="AJ36" s="1066"/>
      <c r="AK36" s="1066" t="s">
        <v>312</v>
      </c>
      <c r="AQ36" s="538">
        <v>14</v>
      </c>
    </row>
    <row r="37" spans="1:43" ht="14.65" customHeight="1">
      <c r="Q37" s="885"/>
      <c r="R37" s="756"/>
      <c r="S37" s="1202" t="s">
        <v>87</v>
      </c>
      <c r="T37" s="1154" t="s">
        <v>510</v>
      </c>
      <c r="U37" s="817"/>
      <c r="V37" s="1204"/>
      <c r="W37" s="1204"/>
      <c r="X37" s="1204"/>
      <c r="Y37" s="1204"/>
      <c r="Z37" s="1204"/>
      <c r="AA37" s="1154" t="s">
        <v>441</v>
      </c>
      <c r="AB37" s="1153" t="s">
        <v>511</v>
      </c>
      <c r="AC37" s="1153" t="s">
        <v>485</v>
      </c>
      <c r="AD37" s="1219" t="s">
        <v>440</v>
      </c>
      <c r="AE37" s="1219"/>
      <c r="AF37" s="1204"/>
      <c r="AG37" s="1204"/>
      <c r="AH37" s="1205"/>
      <c r="AI37" s="1206" t="s">
        <v>441</v>
      </c>
      <c r="AJ37" s="1209" t="s">
        <v>443</v>
      </c>
      <c r="AK37" s="1066"/>
      <c r="AQ37" s="538">
        <v>14</v>
      </c>
    </row>
    <row r="38" spans="1:43" ht="35.65" customHeight="1">
      <c r="Q38" s="885"/>
      <c r="R38" s="756"/>
      <c r="S38" s="1202"/>
      <c r="T38" s="1154"/>
      <c r="U38" s="822"/>
      <c r="V38" s="1047" t="s">
        <v>488</v>
      </c>
      <c r="W38" s="1066"/>
      <c r="X38" s="1141" t="s">
        <v>447</v>
      </c>
      <c r="Y38" s="1233"/>
      <c r="Z38" s="1233"/>
      <c r="AA38" s="1154"/>
      <c r="AB38" s="1153"/>
      <c r="AC38" s="1153"/>
      <c r="AD38" s="1047" t="s">
        <v>488</v>
      </c>
      <c r="AE38" s="1066"/>
      <c r="AF38" s="1233" t="s">
        <v>447</v>
      </c>
      <c r="AG38" s="1233"/>
      <c r="AH38" s="1142"/>
      <c r="AI38" s="1207"/>
      <c r="AJ38" s="1210"/>
      <c r="AK38" s="1066"/>
      <c r="AQ38" s="538">
        <v>34</v>
      </c>
    </row>
    <row r="39" spans="1:43" ht="14.65" customHeight="1">
      <c r="Q39" s="885"/>
      <c r="R39" s="756"/>
      <c r="S39" s="1202"/>
      <c r="T39" s="1154"/>
      <c r="U39" s="822"/>
      <c r="V39" s="1250" t="str">
        <f>IF($AD$39&lt;&gt;"",$AD$39,"")</f>
        <v/>
      </c>
      <c r="W39" s="1250"/>
      <c r="X39" s="1146"/>
      <c r="Y39" s="1234"/>
      <c r="Z39" s="1234"/>
      <c r="AA39" s="1154"/>
      <c r="AB39" s="1153"/>
      <c r="AC39" s="1153"/>
      <c r="AD39" s="1266"/>
      <c r="AE39" s="1249"/>
      <c r="AF39" s="1234"/>
      <c r="AG39" s="1234"/>
      <c r="AH39" s="1147"/>
      <c r="AI39" s="1207"/>
      <c r="AJ39" s="1210"/>
      <c r="AK39" s="1066"/>
      <c r="AQ39" s="538">
        <v>14</v>
      </c>
    </row>
    <row r="40" spans="1:43" ht="14.65" customHeight="1">
      <c r="B40" s="600" t="s">
        <v>148</v>
      </c>
      <c r="C40" s="600" t="s">
        <v>149</v>
      </c>
      <c r="D40" s="600" t="s">
        <v>150</v>
      </c>
      <c r="E40" s="873" t="s">
        <v>448</v>
      </c>
      <c r="F40" s="873" t="s">
        <v>449</v>
      </c>
      <c r="G40" s="873" t="s">
        <v>450</v>
      </c>
      <c r="H40" s="873" t="s">
        <v>451</v>
      </c>
      <c r="I40" s="873" t="s">
        <v>452</v>
      </c>
      <c r="J40" s="873" t="s">
        <v>453</v>
      </c>
      <c r="K40" s="873" t="s">
        <v>454</v>
      </c>
      <c r="L40" s="873" t="s">
        <v>429</v>
      </c>
      <c r="Q40" s="885"/>
      <c r="R40" s="756"/>
      <c r="S40" s="1202"/>
      <c r="T40" s="1154"/>
      <c r="U40" s="852"/>
      <c r="V40" s="632" t="s">
        <v>489</v>
      </c>
      <c r="W40" s="632" t="s">
        <v>490</v>
      </c>
      <c r="X40" s="602" t="s">
        <v>457</v>
      </c>
      <c r="Y40" s="1162" t="s">
        <v>458</v>
      </c>
      <c r="Z40" s="1163"/>
      <c r="AA40" s="1154"/>
      <c r="AB40" s="1153"/>
      <c r="AC40" s="1153"/>
      <c r="AD40" s="891" t="s">
        <v>489</v>
      </c>
      <c r="AE40" s="830" t="s">
        <v>490</v>
      </c>
      <c r="AF40" s="602" t="s">
        <v>457</v>
      </c>
      <c r="AG40" s="1162" t="s">
        <v>458</v>
      </c>
      <c r="AH40" s="1164"/>
      <c r="AI40" s="1208"/>
      <c r="AJ40" s="1211"/>
      <c r="AK40" s="1066"/>
      <c r="AQ40" s="538">
        <v>14</v>
      </c>
    </row>
    <row r="41" spans="1:43" ht="11.25" hidden="1" customHeight="1">
      <c r="Q41" s="854"/>
      <c r="R41" s="854">
        <v>1</v>
      </c>
      <c r="S41" s="329" t="s">
        <v>114</v>
      </c>
      <c r="T41" s="330" t="s">
        <v>102</v>
      </c>
      <c r="U41" s="855" t="str">
        <f ca="1">OFFSET(U41,0,-1)</f>
        <v>2</v>
      </c>
      <c r="V41" s="856">
        <f ca="1">OFFSET(V41,0,-1)+1</f>
        <v>3</v>
      </c>
      <c r="W41" s="856">
        <f ca="1">OFFSET(W41,0,-1)+1</f>
        <v>4</v>
      </c>
      <c r="X41" s="856">
        <f ca="1">OFFSET(X41,0,-1)+1</f>
        <v>5</v>
      </c>
      <c r="Y41" s="1201">
        <f ca="1">OFFSET(Y41,0,-1)+1</f>
        <v>6</v>
      </c>
      <c r="Z41" s="1201"/>
      <c r="AA41" s="680">
        <f ca="1">OFFSET(AA41,0,-2)+1</f>
        <v>7</v>
      </c>
      <c r="AB41" s="680"/>
      <c r="AC41" s="680"/>
      <c r="AD41" s="856">
        <f ca="1">OFFSET(AD41,0,-1)+1</f>
        <v>1</v>
      </c>
      <c r="AE41" s="856">
        <f ca="1">OFFSET(AE41,0,-1)+1</f>
        <v>2</v>
      </c>
      <c r="AF41" s="856">
        <f ca="1">OFFSET(AF41,0,-1)+1</f>
        <v>3</v>
      </c>
      <c r="AG41" s="1201">
        <f ca="1">OFFSET(AG41,0,-1)+1</f>
        <v>4</v>
      </c>
      <c r="AH41" s="1201"/>
      <c r="AI41" s="856">
        <f ca="1">OFFSET(AI41,0,-2)+1</f>
        <v>5</v>
      </c>
      <c r="AJ41" s="855">
        <f ca="1">OFFSET(AJ41,0,-1)</f>
        <v>5</v>
      </c>
      <c r="AK41" s="856">
        <f ca="1">OFFSET(AK41,0,-1)+1</f>
        <v>6</v>
      </c>
      <c r="AQ41" s="681">
        <v>0</v>
      </c>
    </row>
    <row r="42" spans="1:43" ht="107.25" customHeight="1">
      <c r="A42" s="606" t="s">
        <v>217</v>
      </c>
      <c r="E42" s="1217">
        <v>1</v>
      </c>
      <c r="R42" s="310"/>
      <c r="S42" s="832">
        <f>INDEX(PT_DIFFERENTIATION_NUM_NTAR,MATCH(A42,PT_DIFFERENTIATION_NTAR_ID,0))</f>
        <v>0</v>
      </c>
      <c r="T42" s="795" t="s">
        <v>136</v>
      </c>
      <c r="U42" s="833"/>
      <c r="V42" s="1181"/>
      <c r="W42" s="1181"/>
      <c r="X42" s="1181"/>
      <c r="Y42" s="1181"/>
      <c r="Z42" s="1181"/>
      <c r="AA42" s="1182"/>
      <c r="AB42" s="834"/>
      <c r="AC42" s="1181" t="str">
        <f>INDEX(PT_DIFFERENTIATION_NTAR,MATCH(A42,PT_DIFFERENTIATION_NTAR_ID,0))</f>
        <v/>
      </c>
      <c r="AD42" s="1181"/>
      <c r="AE42" s="1181"/>
      <c r="AF42" s="1181"/>
      <c r="AG42" s="1181"/>
      <c r="AH42" s="1181"/>
      <c r="AI42" s="1181"/>
      <c r="AJ42" s="1182"/>
      <c r="AK42" s="83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N42" s="582" t="str">
        <f t="shared" ref="AN42:AN56" si="1">IF(T42="","",T42)</f>
        <v>Наименование тарифа</v>
      </c>
      <c r="AQ42" s="538">
        <v>102</v>
      </c>
    </row>
    <row r="43" spans="1:43" ht="21.95" customHeight="1">
      <c r="A43" s="606" t="s">
        <v>217</v>
      </c>
      <c r="B43" s="606" t="s">
        <v>218</v>
      </c>
      <c r="E43" s="1218"/>
      <c r="F43" s="1217">
        <v>1</v>
      </c>
      <c r="Q43" s="879"/>
      <c r="R43" s="837"/>
      <c r="S43" s="832" t="str">
        <f>INDEX(PT_DIFFERENTIATION_NUM_TER,MATCH(B43,PT_DIFFERENTIATION_TER_ID,0))</f>
        <v>.</v>
      </c>
      <c r="T43" s="838" t="s">
        <v>408</v>
      </c>
      <c r="U43" s="833"/>
      <c r="V43" s="1181"/>
      <c r="W43" s="1181"/>
      <c r="X43" s="1181"/>
      <c r="Y43" s="1181"/>
      <c r="Z43" s="1181"/>
      <c r="AA43" s="1182"/>
      <c r="AB43" s="834"/>
      <c r="AC43" s="1181" t="str">
        <f>INDEX(PT_DIFFERENTIATION_TER,MATCH(B43,PT_DIFFERENTIATION_TER_ID,0))</f>
        <v/>
      </c>
      <c r="AD43" s="1181"/>
      <c r="AE43" s="1181"/>
      <c r="AF43" s="1181"/>
      <c r="AG43" s="1181"/>
      <c r="AH43" s="1181"/>
      <c r="AI43" s="1181"/>
      <c r="AJ43" s="1182"/>
      <c r="AK43" s="835" t="s">
        <v>409</v>
      </c>
      <c r="AN43" s="582" t="str">
        <f t="shared" si="1"/>
        <v>Территория действия тарифа</v>
      </c>
      <c r="AQ43" s="538">
        <v>21</v>
      </c>
    </row>
    <row r="44" spans="1:43" ht="24" customHeight="1">
      <c r="A44" s="606" t="s">
        <v>217</v>
      </c>
      <c r="B44" s="606" t="s">
        <v>218</v>
      </c>
      <c r="C44" s="606" t="s">
        <v>219</v>
      </c>
      <c r="E44" s="1218"/>
      <c r="F44" s="1218"/>
      <c r="G44" s="1217">
        <v>1</v>
      </c>
      <c r="Q44" s="879"/>
      <c r="R44" s="837"/>
      <c r="S44" s="832" t="str">
        <f>INDEX(PT_DIFFERENTIATION_NUM_CS,MATCH(C44,PT_DIFFERENTIATION_CS_ID,0))</f>
        <v>..</v>
      </c>
      <c r="T44" s="839" t="s">
        <v>410</v>
      </c>
      <c r="U44" s="833"/>
      <c r="V44" s="1181"/>
      <c r="W44" s="1181"/>
      <c r="X44" s="1181"/>
      <c r="Y44" s="1181"/>
      <c r="Z44" s="1181"/>
      <c r="AA44" s="1182"/>
      <c r="AB44" s="834"/>
      <c r="AC44" s="1181" t="str">
        <f>INDEX(PT_DIFFERENTIATION_CS,MATCH(C44,PT_DIFFERENTIATION_CS_ID,0))</f>
        <v/>
      </c>
      <c r="AD44" s="1181"/>
      <c r="AE44" s="1181"/>
      <c r="AF44" s="1181"/>
      <c r="AG44" s="1181"/>
      <c r="AH44" s="1181"/>
      <c r="AI44" s="1181"/>
      <c r="AJ44" s="1182"/>
      <c r="AK44" s="835" t="s">
        <v>411</v>
      </c>
      <c r="AN44" s="582" t="str">
        <f t="shared" si="1"/>
        <v xml:space="preserve">Наименование системы теплоснабжения </v>
      </c>
      <c r="AQ44" s="538">
        <v>23</v>
      </c>
    </row>
    <row r="45" spans="1:43" ht="21.95" customHeight="1">
      <c r="A45" s="606" t="s">
        <v>217</v>
      </c>
      <c r="B45" s="606" t="s">
        <v>218</v>
      </c>
      <c r="C45" s="606" t="s">
        <v>219</v>
      </c>
      <c r="D45" s="606" t="s">
        <v>220</v>
      </c>
      <c r="E45" s="1218"/>
      <c r="F45" s="1218"/>
      <c r="G45" s="1218"/>
      <c r="H45" s="1217">
        <v>1</v>
      </c>
      <c r="Q45" s="879"/>
      <c r="R45" s="837"/>
      <c r="S45" s="832" t="str">
        <f>INDEX(PT_DIFFERENTIATION_NUM_IST_TE,MATCH(D45,PT_DIFFERENTIATION_IST_TE_ID,0))</f>
        <v>...</v>
      </c>
      <c r="T45" s="840" t="s">
        <v>412</v>
      </c>
      <c r="U45" s="833"/>
      <c r="V45" s="1181"/>
      <c r="W45" s="1181"/>
      <c r="X45" s="1181"/>
      <c r="Y45" s="1181"/>
      <c r="Z45" s="1181"/>
      <c r="AA45" s="1182"/>
      <c r="AB45" s="834"/>
      <c r="AC45" s="1181" t="str">
        <f>INDEX(PT_DIFFERENTIATION_IST_TE,MATCH(D45,PT_DIFFERENTIATION_IST_TE_ID,0))</f>
        <v/>
      </c>
      <c r="AD45" s="1181"/>
      <c r="AE45" s="1181"/>
      <c r="AF45" s="1181"/>
      <c r="AG45" s="1181"/>
      <c r="AH45" s="1181"/>
      <c r="AI45" s="1181"/>
      <c r="AJ45" s="1182"/>
      <c r="AK45" s="835" t="s">
        <v>413</v>
      </c>
      <c r="AN45" s="582" t="str">
        <f t="shared" si="1"/>
        <v xml:space="preserve">Источник тепловой энергии  </v>
      </c>
      <c r="AQ45" s="538">
        <v>21</v>
      </c>
    </row>
    <row r="46" spans="1:43" ht="0" hidden="1" customHeight="1">
      <c r="A46" s="877" t="s">
        <v>217</v>
      </c>
      <c r="B46" s="877" t="s">
        <v>218</v>
      </c>
      <c r="C46" s="877" t="s">
        <v>219</v>
      </c>
      <c r="D46" s="877" t="s">
        <v>220</v>
      </c>
      <c r="E46" s="1218"/>
      <c r="F46" s="1218"/>
      <c r="G46" s="1218"/>
      <c r="H46" s="1218"/>
      <c r="I46" s="1066" t="str">
        <f>S45&amp;".1"</f>
        <v>....1</v>
      </c>
      <c r="L46" s="878" t="s">
        <v>414</v>
      </c>
      <c r="P46" s="1193">
        <v>1</v>
      </c>
      <c r="R46" s="842"/>
      <c r="S46" s="635"/>
      <c r="T46" s="859"/>
      <c r="U46" s="860"/>
      <c r="V46" s="1223"/>
      <c r="W46" s="1223"/>
      <c r="X46" s="1223"/>
      <c r="Y46" s="1223"/>
      <c r="Z46" s="1223"/>
      <c r="AA46" s="1224"/>
      <c r="AB46" s="861"/>
      <c r="AC46" s="1223"/>
      <c r="AD46" s="1223"/>
      <c r="AE46" s="1223"/>
      <c r="AF46" s="1223"/>
      <c r="AG46" s="1223"/>
      <c r="AH46" s="1223"/>
      <c r="AI46" s="1223"/>
      <c r="AJ46" s="1224"/>
      <c r="AK46" s="862"/>
      <c r="AN46" s="582" t="str">
        <f t="shared" si="1"/>
        <v/>
      </c>
      <c r="AQ46" s="577">
        <v>0</v>
      </c>
    </row>
    <row r="47" spans="1:43" ht="0" hidden="1" customHeight="1">
      <c r="A47" s="877" t="s">
        <v>217</v>
      </c>
      <c r="B47" s="877" t="s">
        <v>218</v>
      </c>
      <c r="C47" s="877" t="s">
        <v>219</v>
      </c>
      <c r="D47" s="877" t="s">
        <v>220</v>
      </c>
      <c r="E47" s="1218"/>
      <c r="F47" s="1218"/>
      <c r="G47" s="1218"/>
      <c r="H47" s="1218"/>
      <c r="I47" s="1048"/>
      <c r="J47" s="1066" t="str">
        <f>S45&amp;".1"</f>
        <v>....1</v>
      </c>
      <c r="P47" s="1031"/>
      <c r="Q47" s="1193">
        <v>1</v>
      </c>
      <c r="R47" s="844"/>
      <c r="S47" s="635"/>
      <c r="T47" s="880"/>
      <c r="U47" s="860"/>
      <c r="V47" s="1223"/>
      <c r="W47" s="1223"/>
      <c r="X47" s="1223"/>
      <c r="Y47" s="1223"/>
      <c r="Z47" s="1223"/>
      <c r="AA47" s="1224"/>
      <c r="AB47" s="861"/>
      <c r="AC47" s="1223"/>
      <c r="AD47" s="1223"/>
      <c r="AE47" s="1223"/>
      <c r="AF47" s="1223"/>
      <c r="AG47" s="1223"/>
      <c r="AH47" s="1223"/>
      <c r="AI47" s="1223"/>
      <c r="AJ47" s="1224"/>
      <c r="AK47" s="862"/>
      <c r="AN47" s="582" t="str">
        <f t="shared" si="1"/>
        <v/>
      </c>
      <c r="AQ47" s="577">
        <v>0</v>
      </c>
    </row>
    <row r="48" spans="1:43" ht="21.95" customHeight="1">
      <c r="A48" s="606" t="s">
        <v>217</v>
      </c>
      <c r="B48" s="606" t="s">
        <v>218</v>
      </c>
      <c r="C48" s="606" t="s">
        <v>219</v>
      </c>
      <c r="D48" s="606" t="s">
        <v>220</v>
      </c>
      <c r="E48" s="1218"/>
      <c r="F48" s="1218"/>
      <c r="G48" s="1218"/>
      <c r="H48" s="1218"/>
      <c r="I48" s="1048"/>
      <c r="J48" s="1048"/>
      <c r="K48" s="583" t="str">
        <f>S45&amp;".1"</f>
        <v>....1</v>
      </c>
      <c r="P48" s="1031"/>
      <c r="Q48" s="1031"/>
      <c r="R48" s="844">
        <v>1</v>
      </c>
      <c r="S48" s="864" t="str">
        <f>$K48</f>
        <v>....1</v>
      </c>
      <c r="T48" s="349"/>
      <c r="U48" s="833"/>
      <c r="V48" s="311"/>
      <c r="W48" s="313"/>
      <c r="X48" s="203"/>
      <c r="Y48" s="56" t="s">
        <v>61</v>
      </c>
      <c r="Z48" s="203"/>
      <c r="AA48" s="56" t="s">
        <v>61</v>
      </c>
      <c r="AB48" s="372"/>
      <c r="AC48" s="373" t="s">
        <v>22</v>
      </c>
      <c r="AD48" s="311"/>
      <c r="AE48" s="313"/>
      <c r="AF48" s="203"/>
      <c r="AG48" s="56" t="s">
        <v>61</v>
      </c>
      <c r="AH48" s="203"/>
      <c r="AI48" s="56" t="s">
        <v>61</v>
      </c>
      <c r="AJ48" s="331"/>
      <c r="AK48" s="1189" t="s">
        <v>491</v>
      </c>
      <c r="AL48" s="577" t="e">
        <f ca="1">STRCHECKDATE(#REF!)</f>
        <v>#NAME?</v>
      </c>
      <c r="AN48" s="582" t="str">
        <f t="shared" si="1"/>
        <v/>
      </c>
      <c r="AQ48" s="538">
        <v>21</v>
      </c>
    </row>
    <row r="49" spans="1:43" ht="11.45" customHeight="1">
      <c r="A49" s="606" t="s">
        <v>217</v>
      </c>
      <c r="B49" s="606" t="s">
        <v>218</v>
      </c>
      <c r="C49" s="606" t="s">
        <v>219</v>
      </c>
      <c r="D49" s="606" t="s">
        <v>220</v>
      </c>
      <c r="E49" s="1218"/>
      <c r="F49" s="1218"/>
      <c r="G49" s="1218"/>
      <c r="H49" s="1218"/>
      <c r="I49" s="1048"/>
      <c r="J49" s="1066"/>
      <c r="P49" s="1031"/>
      <c r="Q49" s="1031"/>
      <c r="R49" s="842"/>
      <c r="S49" s="315"/>
      <c r="T49" s="318" t="s">
        <v>479</v>
      </c>
      <c r="U49" s="52"/>
      <c r="V49" s="52"/>
      <c r="W49" s="52"/>
      <c r="X49" s="52"/>
      <c r="Y49" s="52"/>
      <c r="Z49" s="52"/>
      <c r="AA49" s="317"/>
      <c r="AB49" s="52"/>
      <c r="AC49" s="52"/>
      <c r="AD49" s="52"/>
      <c r="AE49" s="52"/>
      <c r="AF49" s="52"/>
      <c r="AG49" s="52"/>
      <c r="AH49" s="52"/>
      <c r="AI49" s="52"/>
      <c r="AJ49" s="317"/>
      <c r="AK49" s="1191"/>
      <c r="AN49" s="582" t="str">
        <f t="shared" si="1"/>
        <v>Добавить строку</v>
      </c>
      <c r="AQ49" s="538">
        <v>11</v>
      </c>
    </row>
    <row r="50" spans="1:43" ht="1.1499999999999999" customHeight="1">
      <c r="A50" s="877" t="s">
        <v>217</v>
      </c>
      <c r="B50" s="877" t="s">
        <v>218</v>
      </c>
      <c r="C50" s="877" t="s">
        <v>219</v>
      </c>
      <c r="D50" s="877" t="s">
        <v>220</v>
      </c>
      <c r="E50" s="1218"/>
      <c r="F50" s="1218"/>
      <c r="G50" s="1218"/>
      <c r="H50" s="1218"/>
      <c r="I50" s="1066"/>
      <c r="P50" s="1031"/>
      <c r="R50" s="842"/>
      <c r="S50" s="334"/>
      <c r="T50" s="335" t="s">
        <v>423</v>
      </c>
      <c r="U50" s="336"/>
      <c r="V50" s="336"/>
      <c r="W50" s="336"/>
      <c r="X50" s="336"/>
      <c r="Y50" s="336"/>
      <c r="Z50" s="336"/>
      <c r="AA50" s="336"/>
      <c r="AB50" s="336"/>
      <c r="AC50" s="336"/>
      <c r="AD50" s="336"/>
      <c r="AE50" s="336"/>
      <c r="AF50" s="336"/>
      <c r="AG50" s="336"/>
      <c r="AH50" s="336"/>
      <c r="AI50" s="336"/>
      <c r="AJ50" s="336"/>
      <c r="AK50" s="337"/>
      <c r="AN50" s="582" t="str">
        <f t="shared" si="1"/>
        <v>Добавить группу потребителей</v>
      </c>
      <c r="AQ50" s="577">
        <v>1</v>
      </c>
    </row>
    <row r="51" spans="1:43" ht="1.1499999999999999" customHeight="1">
      <c r="A51" s="877" t="s">
        <v>217</v>
      </c>
      <c r="B51" s="877" t="s">
        <v>218</v>
      </c>
      <c r="C51" s="877" t="s">
        <v>219</v>
      </c>
      <c r="D51" s="877" t="s">
        <v>220</v>
      </c>
      <c r="E51" s="1218"/>
      <c r="F51" s="1218"/>
      <c r="G51" s="1218"/>
      <c r="H51" s="1217"/>
      <c r="R51" s="362"/>
      <c r="S51" s="334"/>
      <c r="T51" s="335"/>
      <c r="U51" s="336"/>
      <c r="V51" s="336"/>
      <c r="W51" s="336"/>
      <c r="X51" s="336"/>
      <c r="Y51" s="336"/>
      <c r="Z51" s="336"/>
      <c r="AA51" s="336"/>
      <c r="AB51" s="336"/>
      <c r="AC51" s="336"/>
      <c r="AD51" s="336"/>
      <c r="AE51" s="336"/>
      <c r="AF51" s="336"/>
      <c r="AG51" s="336"/>
      <c r="AH51" s="336"/>
      <c r="AI51" s="336"/>
      <c r="AJ51" s="336"/>
      <c r="AK51" s="337"/>
      <c r="AN51" s="582" t="str">
        <f t="shared" si="1"/>
        <v/>
      </c>
      <c r="AQ51" s="681">
        <v>1</v>
      </c>
    </row>
    <row r="52" spans="1:43" ht="1.1499999999999999" customHeight="1">
      <c r="A52" s="877" t="s">
        <v>217</v>
      </c>
      <c r="B52" s="877" t="s">
        <v>218</v>
      </c>
      <c r="C52" s="877" t="s">
        <v>219</v>
      </c>
      <c r="E52" s="1218"/>
      <c r="F52" s="1218"/>
      <c r="G52" s="1217"/>
      <c r="T52" s="326" t="s">
        <v>425</v>
      </c>
      <c r="AN52" s="582" t="str">
        <f t="shared" si="1"/>
        <v>Добавить источник для дифференциации</v>
      </c>
      <c r="AQ52" s="577">
        <v>1</v>
      </c>
    </row>
    <row r="53" spans="1:43" ht="1.1499999999999999" customHeight="1">
      <c r="A53" s="877" t="s">
        <v>217</v>
      </c>
      <c r="B53" s="877" t="s">
        <v>218</v>
      </c>
      <c r="E53" s="1218"/>
      <c r="F53" s="1217"/>
      <c r="T53" s="326" t="s">
        <v>426</v>
      </c>
      <c r="AN53" s="582" t="str">
        <f t="shared" si="1"/>
        <v>Добавить централизованную систему для дифференциации</v>
      </c>
      <c r="AQ53" s="577">
        <v>1</v>
      </c>
    </row>
    <row r="54" spans="1:43" ht="1.1499999999999999" customHeight="1">
      <c r="A54" s="877" t="s">
        <v>217</v>
      </c>
      <c r="E54" s="1218"/>
      <c r="T54" s="326" t="s">
        <v>427</v>
      </c>
      <c r="AN54" s="582" t="str">
        <f t="shared" si="1"/>
        <v>Добавить территорию для дифференциации</v>
      </c>
      <c r="AQ54" s="577">
        <v>1</v>
      </c>
    </row>
    <row r="55" spans="1:43" ht="1.1499999999999999" customHeight="1">
      <c r="A55" s="877" t="s">
        <v>217</v>
      </c>
      <c r="E55" s="1217"/>
      <c r="T55" s="326" t="s">
        <v>427</v>
      </c>
      <c r="AN55" s="582" t="str">
        <f t="shared" si="1"/>
        <v>Добавить территорию для дифференциации</v>
      </c>
      <c r="AQ55" s="577">
        <v>1</v>
      </c>
    </row>
    <row r="56" spans="1:43" ht="1.1499999999999999" customHeight="1">
      <c r="T56" s="326" t="s">
        <v>459</v>
      </c>
      <c r="AN56" s="582" t="str">
        <f t="shared" si="1"/>
        <v>Добавить наименование тарифа</v>
      </c>
      <c r="AQ56" s="577">
        <v>1</v>
      </c>
    </row>
    <row r="57" spans="1:43" ht="11.45" customHeight="1">
      <c r="AQ57" s="538">
        <v>11</v>
      </c>
    </row>
    <row r="58" spans="1:43" ht="19.899999999999999" customHeight="1">
      <c r="T58" s="1031"/>
      <c r="U58" s="1031"/>
      <c r="V58" s="1031"/>
      <c r="W58" s="1031"/>
      <c r="X58" s="1031"/>
      <c r="Y58" s="1031"/>
      <c r="Z58" s="1031"/>
      <c r="AA58" s="1031"/>
      <c r="AB58" s="1031"/>
      <c r="AC58" s="1031"/>
      <c r="AD58" s="1031"/>
      <c r="AE58" s="1031"/>
      <c r="AF58" s="1031"/>
      <c r="AG58" s="1031"/>
      <c r="AH58" s="1031"/>
      <c r="AI58" s="1031"/>
      <c r="AJ58" s="1031"/>
      <c r="AK58" s="1031"/>
      <c r="AQ58" s="538">
        <v>19</v>
      </c>
    </row>
    <row r="59" spans="1:43" ht="21" customHeight="1">
      <c r="T59" s="1031"/>
      <c r="U59" s="1031"/>
      <c r="V59" s="1031"/>
      <c r="W59" s="1031"/>
      <c r="X59" s="1031"/>
      <c r="Y59" s="1031"/>
      <c r="Z59" s="1031"/>
      <c r="AA59" s="1031"/>
      <c r="AB59" s="1031"/>
      <c r="AC59" s="1031"/>
      <c r="AD59" s="1031"/>
      <c r="AE59" s="1031"/>
      <c r="AF59" s="1031"/>
      <c r="AG59" s="1031"/>
      <c r="AH59" s="1031"/>
      <c r="AI59" s="1031"/>
      <c r="AJ59" s="1031"/>
      <c r="AK59" s="1031"/>
      <c r="AQ59" s="538">
        <v>20</v>
      </c>
    </row>
    <row r="60" spans="1:43" ht="14.65" customHeight="1">
      <c r="AQ60" s="538">
        <v>14</v>
      </c>
    </row>
    <row r="61" spans="1:43" ht="19.899999999999999" customHeight="1">
      <c r="T61" s="1031"/>
      <c r="U61" s="1031"/>
      <c r="V61" s="1031"/>
      <c r="W61" s="1031"/>
      <c r="X61" s="1031"/>
      <c r="Y61" s="1031"/>
      <c r="Z61" s="1031"/>
      <c r="AA61" s="1031"/>
      <c r="AB61" s="1031"/>
      <c r="AC61" s="1031"/>
      <c r="AD61" s="1031"/>
      <c r="AE61" s="1031"/>
      <c r="AF61" s="1031"/>
      <c r="AG61" s="1031"/>
      <c r="AH61" s="1031"/>
      <c r="AI61" s="1031"/>
      <c r="AJ61" s="1031"/>
      <c r="AK61" s="1031"/>
      <c r="AQ61" s="538">
        <v>19</v>
      </c>
    </row>
    <row r="62" spans="1:43" ht="16.899999999999999" customHeight="1">
      <c r="T62" s="1031"/>
      <c r="U62" s="1031"/>
      <c r="V62" s="1031"/>
      <c r="W62" s="1031"/>
      <c r="X62" s="1031"/>
      <c r="Y62" s="1031"/>
      <c r="Z62" s="1031"/>
      <c r="AA62" s="1031"/>
      <c r="AB62" s="1031"/>
      <c r="AC62" s="1031"/>
      <c r="AD62" s="1031"/>
      <c r="AE62" s="1031"/>
      <c r="AF62" s="1031"/>
      <c r="AG62" s="1031"/>
      <c r="AH62" s="1031"/>
      <c r="AI62" s="1031"/>
      <c r="AJ62" s="1031"/>
      <c r="AK62" s="1031"/>
      <c r="AQ62" s="538">
        <v>16</v>
      </c>
    </row>
    <row r="63" spans="1:43" ht="14.65" customHeight="1">
      <c r="AQ63" s="538">
        <v>14</v>
      </c>
    </row>
    <row r="64" spans="1:43" ht="22.5" hidden="1" customHeight="1">
      <c r="A64" s="538" t="s">
        <v>81</v>
      </c>
      <c r="B64" s="538">
        <v>0</v>
      </c>
      <c r="C64" s="538">
        <v>0</v>
      </c>
      <c r="D64" s="538">
        <v>0</v>
      </c>
      <c r="E64" s="538">
        <v>0</v>
      </c>
      <c r="F64" s="538">
        <v>0</v>
      </c>
      <c r="G64" s="538">
        <v>0</v>
      </c>
      <c r="H64" s="538">
        <v>0</v>
      </c>
      <c r="I64" s="538">
        <v>0</v>
      </c>
      <c r="J64" s="538">
        <v>0</v>
      </c>
      <c r="K64" s="538">
        <v>0</v>
      </c>
      <c r="L64" s="560">
        <v>0</v>
      </c>
      <c r="M64" s="300">
        <v>0</v>
      </c>
      <c r="N64" s="300">
        <v>0</v>
      </c>
      <c r="O64" s="300">
        <v>0</v>
      </c>
      <c r="P64" s="12">
        <v>3</v>
      </c>
      <c r="Q64" s="889">
        <v>3</v>
      </c>
      <c r="R64" s="821">
        <v>3</v>
      </c>
      <c r="S64" s="553">
        <v>12</v>
      </c>
      <c r="T64" s="538">
        <v>31</v>
      </c>
      <c r="U64" s="538">
        <v>0</v>
      </c>
      <c r="V64" s="538">
        <v>0</v>
      </c>
      <c r="W64" s="538">
        <v>0</v>
      </c>
      <c r="X64" s="538">
        <v>0</v>
      </c>
      <c r="Y64" s="538">
        <v>0</v>
      </c>
      <c r="Z64" s="538">
        <v>0</v>
      </c>
      <c r="AA64" s="538">
        <v>0</v>
      </c>
      <c r="AB64" s="538">
        <v>27</v>
      </c>
      <c r="AC64" s="538">
        <v>24</v>
      </c>
      <c r="AD64" s="538">
        <v>21</v>
      </c>
      <c r="AE64" s="538">
        <v>21</v>
      </c>
      <c r="AF64" s="538">
        <v>11</v>
      </c>
      <c r="AG64" s="538">
        <v>3</v>
      </c>
      <c r="AH64" s="538">
        <v>11</v>
      </c>
      <c r="AI64" s="538">
        <v>8</v>
      </c>
      <c r="AJ64" s="538">
        <v>4</v>
      </c>
      <c r="AK64" s="538">
        <v>115</v>
      </c>
      <c r="AL64" s="577">
        <v>10</v>
      </c>
      <c r="AM64" s="577">
        <v>10</v>
      </c>
      <c r="AN64" s="577">
        <v>10</v>
      </c>
      <c r="AO64" s="577">
        <v>10</v>
      </c>
      <c r="AP64" s="577">
        <v>10</v>
      </c>
      <c r="AQ64" s="53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029" hidden="1" customWidth="1"/>
    <col min="2" max="2" width="11" style="1029" hidden="1" customWidth="1"/>
    <col min="3" max="3" width="10.5703125" style="1029" hidden="1"/>
    <col min="4" max="4" width="12.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2" style="1029" hidden="1" customWidth="1"/>
    <col min="10" max="10" width="9.85546875" style="1029" hidden="1" customWidth="1"/>
    <col min="11" max="11" width="11.42578125" style="1029" hidden="1" customWidth="1"/>
    <col min="12" max="12" width="19.140625" style="1029" hidden="1" customWidth="1"/>
    <col min="13" max="14" width="12.28515625" style="1029" hidden="1" customWidth="1"/>
    <col min="15" max="15" width="23.42578125" style="1029" hidden="1" customWidth="1"/>
    <col min="16" max="17" width="3.7109375" style="1029" hidden="1" customWidth="1"/>
    <col min="18" max="18" width="3" style="1029" customWidth="1"/>
    <col min="19" max="19" width="12" style="1029" customWidth="1"/>
    <col min="20" max="20" width="31" style="1029" customWidth="1"/>
    <col min="21" max="21" width="0.140625" style="1029" customWidth="1"/>
    <col min="22" max="25" width="21.7109375" style="1029" hidden="1" customWidth="1"/>
    <col min="26" max="26" width="11.7109375" style="1029" hidden="1" customWidth="1"/>
    <col min="27" max="27" width="3.7109375" style="1029" hidden="1" customWidth="1"/>
    <col min="28" max="28" width="11.7109375" style="1029" hidden="1" customWidth="1"/>
    <col min="29" max="29" width="8.5703125" style="1029" hidden="1" customWidth="1"/>
    <col min="30" max="30" width="3.7109375" style="1029" customWidth="1"/>
    <col min="31" max="32" width="3" style="1029" customWidth="1"/>
    <col min="33" max="33" width="24" style="1029" customWidth="1"/>
    <col min="34" max="34" width="3.7109375" style="1029" customWidth="1"/>
    <col min="35" max="36" width="3" style="1029" customWidth="1"/>
    <col min="37" max="37" width="24" style="1029" customWidth="1"/>
    <col min="38" max="38" width="3.7109375" style="1029" customWidth="1"/>
    <col min="39" max="40" width="3" style="1029" customWidth="1"/>
    <col min="41" max="41" width="18" style="1029" customWidth="1"/>
    <col min="42" max="42" width="3.7109375" style="1029" customWidth="1"/>
    <col min="43" max="44" width="3" style="1029" customWidth="1"/>
    <col min="45" max="45" width="18" style="1029" customWidth="1"/>
    <col min="46" max="49" width="21" style="1029" customWidth="1"/>
    <col min="50" max="50" width="11" style="1029" customWidth="1"/>
    <col min="51" max="51" width="3.7109375" style="1029" customWidth="1"/>
    <col min="52" max="52" width="11" style="1029" customWidth="1"/>
    <col min="53" max="53" width="8.5703125" style="1029" hidden="1" customWidth="1"/>
    <col min="54" max="54" width="4" style="1029" customWidth="1"/>
    <col min="55" max="55" width="115" style="1029" customWidth="1"/>
    <col min="56" max="60" width="10" style="1029" customWidth="1"/>
    <col min="61" max="61" width="10.5703125" style="1029" hidden="1"/>
  </cols>
  <sheetData>
    <row r="1" spans="5:61" ht="22.5" hidden="1" customHeight="1">
      <c r="BI1" s="538" t="s">
        <v>14</v>
      </c>
    </row>
    <row r="2" spans="5:61" ht="21" hidden="1" customHeight="1">
      <c r="E2" s="1194">
        <v>1</v>
      </c>
      <c r="R2" s="310"/>
      <c r="S2" s="832" t="e">
        <f>INDEX(PT_DIFFERENTIATION_NUM_NTAR,MATCH(A2,PT_DIFFERENTIATION_NTAR_ID,0))</f>
        <v>#N/A</v>
      </c>
      <c r="T2" s="795" t="s">
        <v>136</v>
      </c>
      <c r="U2" s="833"/>
      <c r="V2" s="1181"/>
      <c r="W2" s="1181"/>
      <c r="X2" s="1181"/>
      <c r="Y2" s="1181"/>
      <c r="Z2" s="1181"/>
      <c r="AA2" s="1181"/>
      <c r="AB2" s="1181"/>
      <c r="AC2" s="1182"/>
      <c r="AD2" s="1180" t="e">
        <f>INDEX(PT_DIFFERENTIATION_NTAR,MATCH(A2,PT_DIFFERENTIATION_NTAR_ID,0))</f>
        <v>#N/A</v>
      </c>
      <c r="AE2" s="1181"/>
      <c r="AF2" s="1181"/>
      <c r="AG2" s="1181"/>
      <c r="AH2" s="1181"/>
      <c r="AI2" s="1181"/>
      <c r="AJ2" s="1181"/>
      <c r="AK2" s="1181"/>
      <c r="AL2" s="1181"/>
      <c r="AM2" s="1181"/>
      <c r="AN2" s="1181"/>
      <c r="AO2" s="1181"/>
      <c r="AP2" s="1181"/>
      <c r="AQ2" s="1181"/>
      <c r="AR2" s="1181"/>
      <c r="AS2" s="1181"/>
      <c r="AT2" s="1181"/>
      <c r="AU2" s="1181"/>
      <c r="AV2" s="1181"/>
      <c r="AW2" s="1181"/>
      <c r="AX2" s="1181"/>
      <c r="AY2" s="1181"/>
      <c r="AZ2" s="1181"/>
      <c r="BA2" s="1181"/>
      <c r="BB2" s="1182"/>
      <c r="BC2"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2" s="582" t="str">
        <f t="shared" ref="BF2:BF8" si="0">IF(T2="","",T2)</f>
        <v>Наименование тарифа</v>
      </c>
      <c r="BI2" s="538">
        <v>0</v>
      </c>
    </row>
    <row r="3" spans="5:61" ht="21" hidden="1" customHeight="1">
      <c r="E3" s="1195"/>
      <c r="F3" s="1194">
        <v>1</v>
      </c>
      <c r="Q3" s="879"/>
      <c r="R3" s="837"/>
      <c r="S3" s="832" t="e">
        <f>INDEX(PT_DIFFERENTIATION_NUM_TER,MATCH(B3,PT_DIFFERENTIATION_TER_ID,0))</f>
        <v>#N/A</v>
      </c>
      <c r="T3" s="838" t="s">
        <v>408</v>
      </c>
      <c r="U3" s="833"/>
      <c r="V3" s="1181"/>
      <c r="W3" s="1181"/>
      <c r="X3" s="1181"/>
      <c r="Y3" s="1181"/>
      <c r="Z3" s="1181"/>
      <c r="AA3" s="1181"/>
      <c r="AB3" s="1181"/>
      <c r="AC3" s="1182"/>
      <c r="AD3" s="1180" t="e">
        <f>INDEX(PT_DIFFERENTIATION_TER,MATCH(B3,PT_DIFFERENTIATION_TER_ID,0))</f>
        <v>#N/A</v>
      </c>
      <c r="AE3" s="1181"/>
      <c r="AF3" s="1181"/>
      <c r="AG3" s="1181"/>
      <c r="AH3" s="1181"/>
      <c r="AI3" s="1181"/>
      <c r="AJ3" s="1181"/>
      <c r="AK3" s="1181"/>
      <c r="AL3" s="1181"/>
      <c r="AM3" s="1181"/>
      <c r="AN3" s="1181"/>
      <c r="AO3" s="1181"/>
      <c r="AP3" s="1181"/>
      <c r="AQ3" s="1181"/>
      <c r="AR3" s="1181"/>
      <c r="AS3" s="1181"/>
      <c r="AT3" s="1181"/>
      <c r="AU3" s="1181"/>
      <c r="AV3" s="1181"/>
      <c r="AW3" s="1181"/>
      <c r="AX3" s="1181"/>
      <c r="AY3" s="1181"/>
      <c r="AZ3" s="1181"/>
      <c r="BA3" s="1181"/>
      <c r="BB3" s="1182"/>
      <c r="BC3" s="835" t="s">
        <v>409</v>
      </c>
      <c r="BF3" s="582" t="str">
        <f t="shared" si="0"/>
        <v>Территория действия тарифа</v>
      </c>
      <c r="BI3" s="538">
        <v>0</v>
      </c>
    </row>
    <row r="4" spans="5:61" ht="42" hidden="1" customHeight="1">
      <c r="E4" s="1195"/>
      <c r="F4" s="1195"/>
      <c r="G4" s="1194">
        <v>1</v>
      </c>
      <c r="Q4" s="879"/>
      <c r="R4" s="837"/>
      <c r="S4" s="832" t="e">
        <f>INDEX(PT_DIFFERENTIATION_NUM_CS,MATCH(C4,PT_DIFFERENTIATION_CS_ID,0))</f>
        <v>#N/A</v>
      </c>
      <c r="T4" s="839" t="s">
        <v>492</v>
      </c>
      <c r="U4" s="833"/>
      <c r="V4" s="1181"/>
      <c r="W4" s="1181"/>
      <c r="X4" s="1181"/>
      <c r="Y4" s="1181"/>
      <c r="Z4" s="1181"/>
      <c r="AA4" s="1181"/>
      <c r="AB4" s="1181"/>
      <c r="AC4" s="1182"/>
      <c r="AD4" s="1180" t="e">
        <f>INDEX(PT_DIFFERENTIATION_CS,MATCH(C4,PT_DIFFERENTIATION_CS_ID,0))</f>
        <v>#N/A</v>
      </c>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1"/>
      <c r="BB4" s="1182"/>
      <c r="BC4" s="835" t="s">
        <v>493</v>
      </c>
      <c r="BF4" s="582" t="str">
        <f t="shared" si="0"/>
        <v>Наименование централизованной системы холодного водоснабжения</v>
      </c>
      <c r="BI4" s="538">
        <v>0</v>
      </c>
    </row>
    <row r="5" spans="5:61" ht="14.25" hidden="1" customHeight="1">
      <c r="E5" s="1195"/>
      <c r="F5" s="1195"/>
      <c r="G5" s="1195"/>
      <c r="H5" s="1194">
        <v>1</v>
      </c>
      <c r="Q5" s="908"/>
      <c r="R5" s="844"/>
      <c r="S5" s="635"/>
      <c r="T5" s="909"/>
      <c r="U5" s="860"/>
      <c r="V5" s="1223"/>
      <c r="W5" s="1223"/>
      <c r="X5" s="1223"/>
      <c r="Y5" s="1223"/>
      <c r="Z5" s="1223"/>
      <c r="AA5" s="1223"/>
      <c r="AB5" s="1223"/>
      <c r="AC5" s="1224"/>
      <c r="AD5" s="1222"/>
      <c r="AE5" s="1223"/>
      <c r="AF5" s="1223"/>
      <c r="AG5" s="1223"/>
      <c r="AH5" s="1223"/>
      <c r="AI5" s="1223"/>
      <c r="AJ5" s="1223"/>
      <c r="AK5" s="1223"/>
      <c r="AL5" s="1223"/>
      <c r="AM5" s="1223"/>
      <c r="AN5" s="1223"/>
      <c r="AO5" s="1223"/>
      <c r="AP5" s="1223"/>
      <c r="AQ5" s="1223"/>
      <c r="AR5" s="1223"/>
      <c r="AS5" s="1223"/>
      <c r="AT5" s="1223"/>
      <c r="AU5" s="1223"/>
      <c r="AV5" s="1223"/>
      <c r="AW5" s="1223"/>
      <c r="AX5" s="1223"/>
      <c r="AY5" s="1223"/>
      <c r="AZ5" s="1223"/>
      <c r="BA5" s="1223"/>
      <c r="BB5" s="1224"/>
      <c r="BC5" s="862" t="s">
        <v>413</v>
      </c>
      <c r="BF5" s="582" t="str">
        <f t="shared" si="0"/>
        <v/>
      </c>
      <c r="BI5" s="577">
        <v>0</v>
      </c>
    </row>
    <row r="6" spans="5:61" ht="14.25" hidden="1" customHeight="1">
      <c r="E6" s="1195"/>
      <c r="F6" s="1195"/>
      <c r="G6" s="1195"/>
      <c r="H6" s="1195"/>
      <c r="I6" s="1192" t="str">
        <f>S5&amp;".1"</f>
        <v>.1</v>
      </c>
      <c r="L6" s="863" t="s">
        <v>414</v>
      </c>
      <c r="P6" s="1193">
        <v>1</v>
      </c>
      <c r="R6" s="842"/>
      <c r="S6" s="635"/>
      <c r="T6" s="859"/>
      <c r="U6" s="860"/>
      <c r="V6" s="1223"/>
      <c r="W6" s="1223"/>
      <c r="X6" s="1223"/>
      <c r="Y6" s="1223"/>
      <c r="Z6" s="1223"/>
      <c r="AA6" s="1223"/>
      <c r="AB6" s="1223"/>
      <c r="AC6" s="1224"/>
      <c r="AD6" s="1222"/>
      <c r="AE6" s="1223"/>
      <c r="AF6" s="1223"/>
      <c r="AG6" s="1223"/>
      <c r="AH6" s="1223"/>
      <c r="AI6" s="1223"/>
      <c r="AJ6" s="1223"/>
      <c r="AK6" s="1223"/>
      <c r="AL6" s="1223"/>
      <c r="AM6" s="1223"/>
      <c r="AN6" s="1223"/>
      <c r="AO6" s="1223"/>
      <c r="AP6" s="1223"/>
      <c r="AQ6" s="1223"/>
      <c r="AR6" s="1223"/>
      <c r="AS6" s="1223"/>
      <c r="AT6" s="1223"/>
      <c r="AU6" s="1223"/>
      <c r="AV6" s="1223"/>
      <c r="AW6" s="1223"/>
      <c r="AX6" s="1223"/>
      <c r="AY6" s="1223"/>
      <c r="AZ6" s="1223"/>
      <c r="BA6" s="1223"/>
      <c r="BB6" s="1224"/>
      <c r="BC6" s="862"/>
      <c r="BF6" s="582" t="str">
        <f t="shared" si="0"/>
        <v/>
      </c>
      <c r="BI6" s="577">
        <v>0</v>
      </c>
    </row>
    <row r="7" spans="5:61" ht="14.25" hidden="1" customHeight="1">
      <c r="E7" s="1195"/>
      <c r="F7" s="1195"/>
      <c r="G7" s="1195"/>
      <c r="H7" s="1195"/>
      <c r="I7" s="1214"/>
      <c r="J7" s="1192" t="str">
        <f>S5&amp;".1"</f>
        <v>.1</v>
      </c>
      <c r="P7" s="1031"/>
      <c r="Q7" s="1193">
        <v>1</v>
      </c>
      <c r="R7" s="844"/>
      <c r="S7" s="635"/>
      <c r="T7" s="880"/>
      <c r="U7" s="860"/>
      <c r="V7" s="1223"/>
      <c r="W7" s="1223"/>
      <c r="X7" s="1223"/>
      <c r="Y7" s="1223"/>
      <c r="Z7" s="1223"/>
      <c r="AA7" s="1223"/>
      <c r="AB7" s="1223"/>
      <c r="AC7" s="1224"/>
      <c r="AD7" s="1222"/>
      <c r="AE7" s="1223"/>
      <c r="AF7" s="1223"/>
      <c r="AG7" s="1223"/>
      <c r="AH7" s="1223"/>
      <c r="AI7" s="1223"/>
      <c r="AJ7" s="1223"/>
      <c r="AK7" s="1223"/>
      <c r="AL7" s="1223"/>
      <c r="AM7" s="1223"/>
      <c r="AN7" s="1223"/>
      <c r="AO7" s="1223"/>
      <c r="AP7" s="1223"/>
      <c r="AQ7" s="1223"/>
      <c r="AR7" s="1223"/>
      <c r="AS7" s="1223"/>
      <c r="AT7" s="1223"/>
      <c r="AU7" s="1223"/>
      <c r="AV7" s="1223"/>
      <c r="AW7" s="1223"/>
      <c r="AX7" s="1223"/>
      <c r="AY7" s="1223"/>
      <c r="AZ7" s="1223"/>
      <c r="BA7" s="1223"/>
      <c r="BB7" s="1224"/>
      <c r="BC7" s="862"/>
      <c r="BF7" s="582" t="str">
        <f t="shared" si="0"/>
        <v/>
      </c>
      <c r="BI7" s="577">
        <v>0</v>
      </c>
    </row>
    <row r="8" spans="5:61" ht="11.25" hidden="1" customHeight="1">
      <c r="E8" s="1195"/>
      <c r="F8" s="1195"/>
      <c r="G8" s="1195"/>
      <c r="H8" s="1195"/>
      <c r="I8" s="1214"/>
      <c r="J8" s="1214"/>
      <c r="K8" s="1192" t="e">
        <f>S4&amp;".1"</f>
        <v>#N/A</v>
      </c>
      <c r="P8" s="1031"/>
      <c r="Q8" s="1031"/>
      <c r="R8" s="1257">
        <v>1</v>
      </c>
      <c r="S8" s="1251" t="e">
        <f>$K8</f>
        <v>#N/A</v>
      </c>
      <c r="T8" s="1270"/>
      <c r="U8" s="833"/>
      <c r="V8" s="311"/>
      <c r="W8" s="313"/>
      <c r="X8" s="311"/>
      <c r="Y8" s="313"/>
      <c r="Z8" s="203"/>
      <c r="AA8" s="56" t="s">
        <v>61</v>
      </c>
      <c r="AB8" s="203"/>
      <c r="AC8" s="56" t="s">
        <v>61</v>
      </c>
      <c r="AD8" s="1134" t="s">
        <v>61</v>
      </c>
      <c r="AE8" s="1236"/>
      <c r="AF8" s="1150">
        <v>1</v>
      </c>
      <c r="AG8" s="1273"/>
      <c r="AH8" s="1058" t="s">
        <v>61</v>
      </c>
      <c r="AI8" s="1236"/>
      <c r="AJ8" s="1150">
        <v>1</v>
      </c>
      <c r="AK8" s="1237" t="s">
        <v>22</v>
      </c>
      <c r="AL8" s="1058" t="s">
        <v>61</v>
      </c>
      <c r="AM8" s="1141"/>
      <c r="AN8" s="1150">
        <v>1</v>
      </c>
      <c r="AO8" s="1267"/>
      <c r="AP8" s="1268" t="s">
        <v>61</v>
      </c>
      <c r="AQ8" s="882"/>
      <c r="AR8" s="92">
        <v>1</v>
      </c>
      <c r="AS8" s="14" t="s">
        <v>22</v>
      </c>
      <c r="AT8" s="311"/>
      <c r="AU8" s="313"/>
      <c r="AV8" s="311"/>
      <c r="AW8" s="313"/>
      <c r="AX8" s="203"/>
      <c r="AY8" s="56" t="s">
        <v>61</v>
      </c>
      <c r="AZ8" s="203"/>
      <c r="BA8" s="56" t="s">
        <v>61</v>
      </c>
      <c r="BB8" s="331"/>
      <c r="BC8" s="1189" t="s">
        <v>512</v>
      </c>
      <c r="BF8" s="582" t="str">
        <f t="shared" si="0"/>
        <v/>
      </c>
      <c r="BI8" s="538">
        <v>0</v>
      </c>
    </row>
    <row r="9" spans="5:61" ht="11.25" hidden="1" customHeight="1">
      <c r="E9" s="1195"/>
      <c r="F9" s="1195"/>
      <c r="G9" s="1195"/>
      <c r="H9" s="1195"/>
      <c r="I9" s="1214"/>
      <c r="J9" s="1214"/>
      <c r="K9" s="1192"/>
      <c r="P9" s="1031"/>
      <c r="Q9" s="1031"/>
      <c r="R9" s="1257"/>
      <c r="S9" s="1252"/>
      <c r="T9" s="1271"/>
      <c r="U9" s="833"/>
      <c r="V9" s="344"/>
      <c r="W9" s="351"/>
      <c r="X9" s="344"/>
      <c r="Y9" s="351"/>
      <c r="Z9" s="344"/>
      <c r="AA9" s="344"/>
      <c r="AB9" s="344"/>
      <c r="AC9" s="344"/>
      <c r="AD9" s="1135"/>
      <c r="AE9" s="1236"/>
      <c r="AF9" s="1150"/>
      <c r="AG9" s="1273"/>
      <c r="AH9" s="1058"/>
      <c r="AI9" s="1236"/>
      <c r="AJ9" s="1150"/>
      <c r="AK9" s="1237"/>
      <c r="AL9" s="1058"/>
      <c r="AM9" s="1146"/>
      <c r="AN9" s="1150"/>
      <c r="AO9" s="1267"/>
      <c r="AP9" s="1269"/>
      <c r="AQ9" s="264"/>
      <c r="AR9" s="49"/>
      <c r="AS9" s="49" t="s">
        <v>513</v>
      </c>
      <c r="AT9" s="344"/>
      <c r="AU9" s="351"/>
      <c r="AV9" s="344"/>
      <c r="AW9" s="351"/>
      <c r="AX9" s="344"/>
      <c r="AY9" s="344"/>
      <c r="AZ9" s="344"/>
      <c r="BA9" s="344"/>
      <c r="BB9" s="350"/>
      <c r="BC9" s="1190"/>
      <c r="BI9" s="538">
        <v>0</v>
      </c>
    </row>
    <row r="10" spans="5:61" ht="11.25" hidden="1" customHeight="1">
      <c r="E10" s="1195"/>
      <c r="F10" s="1195"/>
      <c r="G10" s="1195"/>
      <c r="H10" s="1195"/>
      <c r="I10" s="1214"/>
      <c r="J10" s="1214"/>
      <c r="K10" s="1192"/>
      <c r="P10" s="1031"/>
      <c r="Q10" s="1031"/>
      <c r="R10" s="1257"/>
      <c r="S10" s="1252"/>
      <c r="T10" s="1271"/>
      <c r="U10" s="833"/>
      <c r="V10" s="344"/>
      <c r="W10" s="351"/>
      <c r="X10" s="344"/>
      <c r="Y10" s="351"/>
      <c r="Z10" s="344"/>
      <c r="AA10" s="344"/>
      <c r="AB10" s="344"/>
      <c r="AC10" s="344"/>
      <c r="AD10" s="1135"/>
      <c r="AE10" s="1236"/>
      <c r="AF10" s="1150"/>
      <c r="AG10" s="1273"/>
      <c r="AH10" s="1058"/>
      <c r="AI10" s="1236"/>
      <c r="AJ10" s="1150"/>
      <c r="AK10" s="1237"/>
      <c r="AL10" s="1058"/>
      <c r="AM10" s="264"/>
      <c r="AN10" s="303"/>
      <c r="AO10" s="303" t="s">
        <v>514</v>
      </c>
      <c r="AP10" s="49"/>
      <c r="AQ10" s="49"/>
      <c r="AR10" s="49"/>
      <c r="AS10" s="344"/>
      <c r="AT10" s="344"/>
      <c r="AU10" s="351"/>
      <c r="AV10" s="344"/>
      <c r="AW10" s="351"/>
      <c r="AX10" s="344"/>
      <c r="AY10" s="344"/>
      <c r="AZ10" s="344"/>
      <c r="BA10" s="344"/>
      <c r="BB10" s="350"/>
      <c r="BC10" s="1190"/>
      <c r="BI10" s="538">
        <v>0</v>
      </c>
    </row>
    <row r="11" spans="5:61" ht="11.25" hidden="1" customHeight="1">
      <c r="E11" s="1195"/>
      <c r="F11" s="1195"/>
      <c r="G11" s="1195"/>
      <c r="H11" s="1195"/>
      <c r="I11" s="1214"/>
      <c r="J11" s="1214"/>
      <c r="K11" s="1192"/>
      <c r="P11" s="1031"/>
      <c r="Q11" s="1031"/>
      <c r="R11" s="1257"/>
      <c r="S11" s="1252"/>
      <c r="T11" s="1271"/>
      <c r="U11" s="833"/>
      <c r="V11" s="344"/>
      <c r="W11" s="351"/>
      <c r="X11" s="344"/>
      <c r="Y11" s="351"/>
      <c r="Z11" s="344"/>
      <c r="AA11" s="344"/>
      <c r="AB11" s="344"/>
      <c r="AC11" s="344"/>
      <c r="AD11" s="1135"/>
      <c r="AE11" s="1236"/>
      <c r="AF11" s="1150"/>
      <c r="AG11" s="1273"/>
      <c r="AH11" s="1058"/>
      <c r="AI11" s="353"/>
      <c r="AJ11" s="44"/>
      <c r="AK11" s="120" t="s">
        <v>515</v>
      </c>
      <c r="AL11" s="344"/>
      <c r="AM11" s="344"/>
      <c r="AN11" s="344"/>
      <c r="AO11" s="344"/>
      <c r="AP11" s="344"/>
      <c r="AQ11" s="344"/>
      <c r="AR11" s="344"/>
      <c r="AS11" s="344"/>
      <c r="AT11" s="344"/>
      <c r="AU11" s="351"/>
      <c r="AV11" s="344"/>
      <c r="AW11" s="351"/>
      <c r="AX11" s="344"/>
      <c r="AY11" s="344"/>
      <c r="AZ11" s="344"/>
      <c r="BA11" s="344"/>
      <c r="BB11" s="350"/>
      <c r="BC11" s="1190"/>
      <c r="BI11" s="538">
        <v>0</v>
      </c>
    </row>
    <row r="12" spans="5:61" ht="11.25" hidden="1" customHeight="1">
      <c r="E12" s="1195"/>
      <c r="F12" s="1195"/>
      <c r="G12" s="1195"/>
      <c r="H12" s="1195"/>
      <c r="I12" s="1214"/>
      <c r="J12" s="1214"/>
      <c r="K12" s="1192"/>
      <c r="P12" s="1031"/>
      <c r="Q12" s="1031"/>
      <c r="R12" s="1257"/>
      <c r="S12" s="1253"/>
      <c r="T12" s="1272"/>
      <c r="U12" s="833"/>
      <c r="V12" s="344"/>
      <c r="W12" s="345" t="str">
        <f>Z8&amp;"-"&amp;AB8</f>
        <v>-</v>
      </c>
      <c r="X12" s="344"/>
      <c r="Y12" s="345" t="str">
        <f>AB8&amp;"-"&amp;AD8</f>
        <v>-да</v>
      </c>
      <c r="Z12" s="344"/>
      <c r="AA12" s="344"/>
      <c r="AB12" s="344"/>
      <c r="AC12" s="344"/>
      <c r="AD12" s="1072"/>
      <c r="AE12" s="355"/>
      <c r="AF12" s="356"/>
      <c r="AG12" s="49" t="s">
        <v>516</v>
      </c>
      <c r="AH12" s="344"/>
      <c r="AI12" s="344"/>
      <c r="AJ12" s="344"/>
      <c r="AK12" s="344"/>
      <c r="AL12" s="344"/>
      <c r="AM12" s="344"/>
      <c r="AN12" s="344"/>
      <c r="AO12" s="344"/>
      <c r="AP12" s="344"/>
      <c r="AQ12" s="344"/>
      <c r="AR12" s="344"/>
      <c r="AS12" s="344"/>
      <c r="AT12" s="344"/>
      <c r="AU12" s="345" t="str">
        <f>AX8&amp;"-"&amp;AZ8</f>
        <v>-</v>
      </c>
      <c r="AV12" s="344"/>
      <c r="AW12" s="345" t="str">
        <f>AZ8&amp;"-"&amp;BB8</f>
        <v>-</v>
      </c>
      <c r="AX12" s="344"/>
      <c r="AY12" s="344"/>
      <c r="AZ12" s="344"/>
      <c r="BA12" s="344"/>
      <c r="BB12" s="354" t="str">
        <f>BE8&amp;"-"&amp;BG8</f>
        <v>-</v>
      </c>
      <c r="BC12" s="1190"/>
      <c r="BF12" s="582" t="str">
        <f t="shared" ref="BF12:BF18" si="1">IF(T12="","",T12)</f>
        <v/>
      </c>
      <c r="BI12" s="538">
        <v>0</v>
      </c>
    </row>
    <row r="13" spans="5:61" ht="11.25" hidden="1" customHeight="1">
      <c r="E13" s="1195"/>
      <c r="F13" s="1195"/>
      <c r="G13" s="1195"/>
      <c r="H13" s="1195"/>
      <c r="I13" s="1214"/>
      <c r="J13" s="1192"/>
      <c r="P13" s="1031"/>
      <c r="Q13" s="1031"/>
      <c r="R13" s="842"/>
      <c r="S13" s="315"/>
      <c r="T13" s="318" t="s">
        <v>479</v>
      </c>
      <c r="U13" s="52"/>
      <c r="V13" s="52"/>
      <c r="W13" s="52"/>
      <c r="X13" s="52"/>
      <c r="Y13" s="52"/>
      <c r="Z13" s="52"/>
      <c r="AA13" s="52"/>
      <c r="AB13" s="52"/>
      <c r="AC13" s="52"/>
      <c r="AD13" s="361"/>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317"/>
      <c r="BC13" s="1191"/>
      <c r="BF13" s="582" t="str">
        <f t="shared" si="1"/>
        <v>Добавить строку</v>
      </c>
      <c r="BI13" s="538">
        <v>0</v>
      </c>
    </row>
    <row r="14" spans="5:61" ht="14.25" hidden="1" customHeight="1">
      <c r="E14" s="1195"/>
      <c r="F14" s="1195"/>
      <c r="G14" s="1195"/>
      <c r="H14" s="1195"/>
      <c r="I14" s="1192"/>
      <c r="P14" s="1031"/>
      <c r="R14" s="842"/>
      <c r="S14" s="334"/>
      <c r="T14" s="335"/>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c r="AT14" s="336"/>
      <c r="AU14" s="336"/>
      <c r="AV14" s="336"/>
      <c r="AW14" s="336"/>
      <c r="AX14" s="336"/>
      <c r="AY14" s="336"/>
      <c r="AZ14" s="336"/>
      <c r="BA14" s="336"/>
      <c r="BB14" s="336"/>
      <c r="BC14" s="337"/>
      <c r="BF14" s="582" t="str">
        <f t="shared" si="1"/>
        <v/>
      </c>
      <c r="BI14" s="577">
        <v>0</v>
      </c>
    </row>
    <row r="15" spans="5:61" ht="14.25" hidden="1" customHeight="1">
      <c r="E15" s="1195"/>
      <c r="F15" s="1195"/>
      <c r="G15" s="1195"/>
      <c r="H15" s="1194"/>
      <c r="R15" s="357"/>
      <c r="S15" s="334"/>
      <c r="T15" s="335"/>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7"/>
      <c r="BF15" s="582" t="str">
        <f t="shared" si="1"/>
        <v/>
      </c>
      <c r="BI15" s="577">
        <v>0</v>
      </c>
    </row>
    <row r="16" spans="5:61" ht="14.25" hidden="1" customHeight="1">
      <c r="E16" s="1195"/>
      <c r="F16" s="1195"/>
      <c r="G16" s="1194"/>
      <c r="BF16" s="582" t="str">
        <f t="shared" si="1"/>
        <v/>
      </c>
      <c r="BI16" s="577">
        <v>0</v>
      </c>
    </row>
    <row r="17" spans="5:61" ht="14.25" hidden="1" customHeight="1">
      <c r="E17" s="1195"/>
      <c r="F17" s="1194"/>
      <c r="T17" s="326" t="s">
        <v>426</v>
      </c>
      <c r="BF17" s="582" t="str">
        <f t="shared" si="1"/>
        <v>Добавить централизованную систему для дифференциации</v>
      </c>
      <c r="BI17" s="577">
        <v>0</v>
      </c>
    </row>
    <row r="18" spans="5:61" ht="14.25" hidden="1" customHeight="1">
      <c r="E18" s="1194"/>
      <c r="T18" s="326" t="s">
        <v>427</v>
      </c>
      <c r="BF18" s="582" t="str">
        <f t="shared" si="1"/>
        <v>Добавить территорию для дифференциации</v>
      </c>
      <c r="BI18" s="577">
        <v>0</v>
      </c>
    </row>
    <row r="19" spans="5:61" ht="14.25" hidden="1" customHeight="1">
      <c r="BI19" s="538">
        <v>0</v>
      </c>
    </row>
    <row r="20" spans="5:61" ht="14.25" hidden="1" customHeight="1">
      <c r="AD20" s="358" t="s">
        <v>19</v>
      </c>
      <c r="AF20" s="358">
        <v>1</v>
      </c>
      <c r="AH20" s="358" t="s">
        <v>19</v>
      </c>
      <c r="AJ20" s="358">
        <v>1</v>
      </c>
      <c r="AL20" s="358" t="s">
        <v>19</v>
      </c>
      <c r="AN20" s="358">
        <v>1</v>
      </c>
      <c r="AP20" s="358" t="s">
        <v>19</v>
      </c>
      <c r="AR20" s="358">
        <v>1</v>
      </c>
      <c r="AT20" s="312"/>
      <c r="AU20" s="333"/>
      <c r="AV20" s="312"/>
      <c r="AW20" s="333"/>
      <c r="AX20" s="360"/>
      <c r="AY20" s="285" t="s">
        <v>61</v>
      </c>
      <c r="AZ20" s="360"/>
      <c r="BA20" s="285" t="s">
        <v>61</v>
      </c>
      <c r="BI20" s="538">
        <v>0</v>
      </c>
    </row>
    <row r="21" spans="5:61" ht="14.25" hidden="1" customHeight="1">
      <c r="BI21" s="538">
        <v>0</v>
      </c>
    </row>
    <row r="22" spans="5:61" ht="14.25" hidden="1" customHeight="1">
      <c r="O22" s="328" t="s">
        <v>428</v>
      </c>
      <c r="Z22" s="348"/>
      <c r="AB22" s="348"/>
      <c r="AX22" s="348"/>
      <c r="AZ22" s="348"/>
      <c r="BI22" s="538">
        <v>0</v>
      </c>
    </row>
    <row r="23" spans="5:61" ht="14.25" hidden="1" customHeight="1">
      <c r="BI23" s="538">
        <v>0</v>
      </c>
    </row>
    <row r="24" spans="5:61" ht="14.25" hidden="1" customHeight="1">
      <c r="O24" s="884" t="s">
        <v>429</v>
      </c>
      <c r="AA24" s="884" t="s">
        <v>431</v>
      </c>
      <c r="AC24" s="884" t="s">
        <v>432</v>
      </c>
      <c r="AD24" s="884" t="s">
        <v>480</v>
      </c>
      <c r="AH24" s="884" t="s">
        <v>480</v>
      </c>
      <c r="AK24" s="884" t="s">
        <v>517</v>
      </c>
      <c r="AL24" s="884" t="s">
        <v>480</v>
      </c>
      <c r="AP24" s="884" t="s">
        <v>480</v>
      </c>
      <c r="AY24" s="884" t="s">
        <v>431</v>
      </c>
      <c r="BA24" s="884" t="s">
        <v>432</v>
      </c>
      <c r="BI24" s="884">
        <v>0</v>
      </c>
    </row>
    <row r="25" spans="5:61" ht="14.25" hidden="1" customHeight="1">
      <c r="BI25" s="538">
        <v>0</v>
      </c>
    </row>
    <row r="26" spans="5:61" ht="14.25" hidden="1" customHeight="1">
      <c r="BI26" s="538">
        <v>0</v>
      </c>
    </row>
    <row r="27" spans="5:61" ht="14.65" customHeight="1">
      <c r="Q27" s="885"/>
      <c r="R27" s="756"/>
      <c r="S27" s="847"/>
      <c r="T27" s="556"/>
      <c r="U27" s="556"/>
      <c r="BI27" s="538">
        <v>14</v>
      </c>
    </row>
    <row r="28" spans="5:61" ht="14.65" customHeight="1">
      <c r="Q28" s="885"/>
      <c r="R28" s="756"/>
      <c r="S28" s="117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178"/>
      <c r="U28" s="1178"/>
      <c r="V28" s="1178"/>
      <c r="W28" s="1178"/>
      <c r="X28" s="1178"/>
      <c r="Y28" s="1178"/>
      <c r="Z28" s="1178"/>
      <c r="AA28" s="1178"/>
      <c r="AB28" s="1178"/>
      <c r="AC28" s="1178"/>
      <c r="AD28" s="1178"/>
      <c r="AE28" s="1178"/>
      <c r="AF28" s="1178"/>
      <c r="AG28" s="1178"/>
      <c r="AH28" s="1178"/>
      <c r="AI28" s="1178"/>
      <c r="AJ28" s="1178"/>
      <c r="AK28" s="1178"/>
      <c r="AL28" s="1178"/>
      <c r="AM28" s="1178"/>
      <c r="AN28" s="1178"/>
      <c r="AO28" s="1178"/>
      <c r="AP28" s="1178"/>
      <c r="AQ28" s="1178"/>
      <c r="AR28" s="1178"/>
      <c r="AS28" s="1178"/>
      <c r="AT28" s="1178"/>
      <c r="AU28" s="1178"/>
      <c r="AV28" s="1178"/>
      <c r="AW28" s="1178"/>
      <c r="AX28" s="1178"/>
      <c r="AY28" s="1178"/>
      <c r="AZ28" s="1178"/>
      <c r="BI28" s="538">
        <v>14</v>
      </c>
    </row>
    <row r="29" spans="5:61" ht="14.65" customHeight="1">
      <c r="Q29" s="885"/>
      <c r="R29" s="756"/>
      <c r="S29" s="1127" t="str">
        <f>IF(org=0,"Не определено",org)</f>
        <v>АО "НИЖЕГОРОДСКИЙ ВОДОКАНАЛ"</v>
      </c>
      <c r="T29" s="1127"/>
      <c r="U29" s="1127"/>
      <c r="V29" s="1127"/>
      <c r="W29" s="1127"/>
      <c r="X29" s="1127"/>
      <c r="Y29" s="1127"/>
      <c r="Z29" s="1127"/>
      <c r="AA29" s="1127"/>
      <c r="AB29" s="1127"/>
      <c r="AC29" s="1127"/>
      <c r="AD29" s="1127"/>
      <c r="AE29" s="1127"/>
      <c r="AF29" s="1127"/>
      <c r="AG29" s="1127"/>
      <c r="AH29" s="1127"/>
      <c r="AI29" s="1127"/>
      <c r="AJ29" s="1127"/>
      <c r="AK29" s="1127"/>
      <c r="AL29" s="1127"/>
      <c r="AM29" s="1127"/>
      <c r="AN29" s="1127"/>
      <c r="AO29" s="1127"/>
      <c r="AP29" s="1127"/>
      <c r="AQ29" s="1127"/>
      <c r="AR29" s="1127"/>
      <c r="AS29" s="1127"/>
      <c r="AT29" s="1127"/>
      <c r="AU29" s="1127"/>
      <c r="AV29" s="1127"/>
      <c r="AW29" s="1127"/>
      <c r="AX29" s="1127"/>
      <c r="AY29" s="1127"/>
      <c r="AZ29" s="1127"/>
      <c r="BI29" s="538">
        <v>14</v>
      </c>
    </row>
    <row r="30" spans="5:61" ht="14.25" hidden="1" customHeight="1">
      <c r="Q30" s="885"/>
      <c r="R30" s="756"/>
      <c r="S30" s="847"/>
      <c r="T30" s="556"/>
      <c r="U30" s="556"/>
      <c r="V30" s="826"/>
      <c r="W30" s="826"/>
      <c r="X30" s="826"/>
      <c r="Y30" s="826"/>
      <c r="Z30" s="826"/>
      <c r="AA30" s="826"/>
      <c r="AB30" s="826"/>
      <c r="AC30" s="826"/>
      <c r="AD30" s="826"/>
      <c r="AE30" s="826"/>
      <c r="AF30" s="826"/>
      <c r="AG30" s="826"/>
      <c r="AH30" s="826"/>
      <c r="AI30" s="826"/>
      <c r="AJ30" s="826"/>
      <c r="AK30" s="826"/>
      <c r="AL30" s="826"/>
      <c r="AM30" s="826"/>
      <c r="AN30" s="826"/>
      <c r="AO30" s="826"/>
      <c r="AP30" s="826"/>
      <c r="AQ30" s="826"/>
      <c r="AR30" s="826"/>
      <c r="AS30" s="826"/>
      <c r="AT30" s="826"/>
      <c r="AU30" s="826"/>
      <c r="AV30" s="826"/>
      <c r="AW30" s="826"/>
      <c r="AX30" s="826"/>
      <c r="AY30" s="826"/>
      <c r="AZ30" s="826"/>
      <c r="BA30" s="826"/>
      <c r="BI30" s="538">
        <v>0</v>
      </c>
    </row>
    <row r="31" spans="5:61" ht="25.5" hidden="1" customHeight="1">
      <c r="S31" s="1186" t="s">
        <v>41</v>
      </c>
      <c r="T31" s="1186"/>
      <c r="U31" s="849"/>
      <c r="V31" s="1187" t="str">
        <f>IF(TITLE_NAME_OR_PR_CHANGE="",IF(TITLE_NAME_OR_PR="","",TITLE_NAME_OR_PR),TITLE_NAME_OR_PR_CHANGE)</f>
        <v/>
      </c>
      <c r="W31" s="1187"/>
      <c r="X31" s="1187"/>
      <c r="Y31" s="1187"/>
      <c r="Z31" s="1187"/>
      <c r="AA31" s="1187"/>
      <c r="AB31" s="1187"/>
      <c r="AD31" s="1187" t="str">
        <f>IF(TITLE_NAME_OR_PR_CHANGE="",IF(TITLE_NAME_OR_PR="","",TITLE_NAME_OR_PR),TITLE_NAME_OR_PR_CHANGE)</f>
        <v/>
      </c>
      <c r="AE31" s="1187"/>
      <c r="AF31" s="1187"/>
      <c r="AG31" s="1187"/>
      <c r="AH31" s="1187"/>
      <c r="AI31" s="1187"/>
      <c r="AJ31" s="1187"/>
      <c r="AK31" s="1187"/>
      <c r="AL31" s="1187"/>
      <c r="AM31" s="1187"/>
      <c r="AN31" s="1187"/>
      <c r="AO31" s="1187"/>
      <c r="AP31" s="1187"/>
      <c r="AQ31" s="1187"/>
      <c r="AR31" s="1187"/>
      <c r="AS31" s="1187"/>
      <c r="AT31" s="1187"/>
      <c r="AU31" s="1187"/>
      <c r="AV31" s="1187"/>
      <c r="AW31" s="1187"/>
      <c r="AX31" s="1187"/>
      <c r="AY31" s="1187"/>
      <c r="AZ31" s="1187"/>
      <c r="BI31" s="592">
        <v>0</v>
      </c>
    </row>
    <row r="32" spans="5:61" ht="18.75" hidden="1" customHeight="1">
      <c r="S32" s="1186" t="s">
        <v>434</v>
      </c>
      <c r="T32" s="1186"/>
      <c r="U32" s="849"/>
      <c r="V32" s="1196" t="str">
        <f>IF(TITLE_DATE_PR_CHANGE="",IF(TITLE_DATE_PR="","",TITLE_DATE_PR),TITLE_DATE_PR_CHANGE)</f>
        <v/>
      </c>
      <c r="W32" s="1196"/>
      <c r="X32" s="1196"/>
      <c r="Y32" s="1196"/>
      <c r="Z32" s="1196"/>
      <c r="AA32" s="1196"/>
      <c r="AB32" s="1196"/>
      <c r="AD32" s="1196" t="str">
        <f>IF(TITLE_DATE_PR_CHANGE="",IF(TITLE_DATE_PR="","",TITLE_DATE_PR),TITLE_DATE_PR_CHANGE)</f>
        <v/>
      </c>
      <c r="AE32" s="1196"/>
      <c r="AF32" s="1196"/>
      <c r="AG32" s="1196"/>
      <c r="AH32" s="1196"/>
      <c r="AI32" s="1196"/>
      <c r="AJ32" s="1196"/>
      <c r="AK32" s="1196"/>
      <c r="AL32" s="1196"/>
      <c r="AM32" s="1196"/>
      <c r="AN32" s="1196"/>
      <c r="AO32" s="1196"/>
      <c r="AP32" s="1196"/>
      <c r="AQ32" s="1196"/>
      <c r="AR32" s="1196"/>
      <c r="AS32" s="1196"/>
      <c r="AT32" s="1196"/>
      <c r="AU32" s="1196"/>
      <c r="AV32" s="1196"/>
      <c r="AW32" s="1196"/>
      <c r="AX32" s="1196"/>
      <c r="AY32" s="1196"/>
      <c r="AZ32" s="1196"/>
      <c r="BI32" s="592">
        <v>0</v>
      </c>
    </row>
    <row r="33" spans="1:61" ht="18.75" hidden="1" customHeight="1">
      <c r="S33" s="1186" t="s">
        <v>435</v>
      </c>
      <c r="T33" s="1186"/>
      <c r="U33" s="849"/>
      <c r="V33" s="1187" t="str">
        <f>IF(TITLE_NUMBER_PR_CHANGE="",IF(TITLE_NUMBER_PR="","",TITLE_NUMBER_PR),TITLE_NUMBER_PR_CHANGE)</f>
        <v/>
      </c>
      <c r="W33" s="1187"/>
      <c r="X33" s="1187"/>
      <c r="Y33" s="1187"/>
      <c r="Z33" s="1187"/>
      <c r="AA33" s="1187"/>
      <c r="AB33" s="1187"/>
      <c r="AD33" s="1187" t="str">
        <f>IF(TITLE_NUMBER_PR_CHANGE="",IF(TITLE_NUMBER_PR="","",TITLE_NUMBER_PR),TITLE_NUMBER_PR_CHANGE)</f>
        <v/>
      </c>
      <c r="AE33" s="1187"/>
      <c r="AF33" s="1187"/>
      <c r="AG33" s="1187"/>
      <c r="AH33" s="1187"/>
      <c r="AI33" s="1187"/>
      <c r="AJ33" s="1187"/>
      <c r="AK33" s="1187"/>
      <c r="AL33" s="1187"/>
      <c r="AM33" s="1187"/>
      <c r="AN33" s="1187"/>
      <c r="AO33" s="1187"/>
      <c r="AP33" s="1187"/>
      <c r="AQ33" s="1187"/>
      <c r="AR33" s="1187"/>
      <c r="AS33" s="1187"/>
      <c r="AT33" s="1187"/>
      <c r="AU33" s="1187"/>
      <c r="AV33" s="1187"/>
      <c r="AW33" s="1187"/>
      <c r="AX33" s="1187"/>
      <c r="AY33" s="1187"/>
      <c r="AZ33" s="1187"/>
      <c r="BI33" s="592">
        <v>0</v>
      </c>
    </row>
    <row r="34" spans="1:61" ht="18.75" hidden="1" customHeight="1">
      <c r="S34" s="1186" t="s">
        <v>42</v>
      </c>
      <c r="T34" s="1186"/>
      <c r="U34" s="849"/>
      <c r="V34" s="1187" t="str">
        <f>IF(TITLE_IST_PUB_CHANGE="",IF(TITLE_IST_PUB="","",TITLE_IST_PUB),TITLE_IST_PUB_CHANGE)</f>
        <v/>
      </c>
      <c r="W34" s="1187"/>
      <c r="X34" s="1187"/>
      <c r="Y34" s="1187"/>
      <c r="Z34" s="1187"/>
      <c r="AA34" s="1187"/>
      <c r="AB34" s="1187"/>
      <c r="AD34" s="1187" t="str">
        <f>IF(TITLE_IST_PUB_CHANGE="",IF(TITLE_IST_PUB="","",TITLE_IST_PUB),TITLE_IST_PUB_CHANGE)</f>
        <v/>
      </c>
      <c r="AE34" s="1187"/>
      <c r="AF34" s="1187"/>
      <c r="AG34" s="1187"/>
      <c r="AH34" s="1187"/>
      <c r="AI34" s="1187"/>
      <c r="AJ34" s="1187"/>
      <c r="AK34" s="1187"/>
      <c r="AL34" s="1187"/>
      <c r="AM34" s="1187"/>
      <c r="AN34" s="1187"/>
      <c r="AO34" s="1187"/>
      <c r="AP34" s="1187"/>
      <c r="AQ34" s="1187"/>
      <c r="AR34" s="1187"/>
      <c r="AS34" s="1187"/>
      <c r="AT34" s="1187"/>
      <c r="AU34" s="1187"/>
      <c r="AV34" s="1187"/>
      <c r="AW34" s="1187"/>
      <c r="AX34" s="1187"/>
      <c r="AY34" s="1187"/>
      <c r="AZ34" s="1187"/>
      <c r="BI34" s="592">
        <v>0</v>
      </c>
    </row>
    <row r="35" spans="1:61" ht="14.25" hidden="1" customHeight="1">
      <c r="Q35" s="885"/>
      <c r="R35" s="756"/>
      <c r="S35" s="847"/>
      <c r="T35" s="556"/>
      <c r="U35" s="556"/>
      <c r="V35" s="826"/>
      <c r="W35" s="826"/>
      <c r="X35" s="826"/>
      <c r="Y35" s="826"/>
      <c r="Z35" s="826"/>
      <c r="AA35" s="826"/>
      <c r="AB35" s="826"/>
      <c r="AC35" s="826"/>
      <c r="AD35" s="826"/>
      <c r="AE35" s="826"/>
      <c r="AF35" s="826"/>
      <c r="AG35" s="826"/>
      <c r="AH35" s="826"/>
      <c r="AI35" s="826"/>
      <c r="AJ35" s="826"/>
      <c r="AK35" s="826"/>
      <c r="AL35" s="826"/>
      <c r="AM35" s="826"/>
      <c r="AN35" s="826"/>
      <c r="AO35" s="826"/>
      <c r="AP35" s="826"/>
      <c r="AQ35" s="826"/>
      <c r="AR35" s="826"/>
      <c r="AS35" s="826"/>
      <c r="AT35" s="826"/>
      <c r="AU35" s="826"/>
      <c r="AV35" s="826"/>
      <c r="AW35" s="826"/>
      <c r="AX35" s="826"/>
      <c r="AY35" s="826"/>
      <c r="AZ35" s="826"/>
      <c r="BA35" s="826"/>
      <c r="BI35" s="538">
        <v>0</v>
      </c>
    </row>
    <row r="36" spans="1:61" ht="18.75" hidden="1" customHeight="1">
      <c r="S36" s="1186" t="s">
        <v>434</v>
      </c>
      <c r="T36" s="1186"/>
      <c r="U36" s="849"/>
      <c r="V36" s="1196" t="str">
        <f>IF(TITLE_DATE_PR_CHANGE="",IF(TITLE_DATE_PR="","",TITLE_DATE_PR),TITLE_DATE_PR_CHANGE)</f>
        <v/>
      </c>
      <c r="W36" s="1196"/>
      <c r="X36" s="1196"/>
      <c r="Y36" s="1196"/>
      <c r="Z36" s="1196"/>
      <c r="AA36" s="1196"/>
      <c r="AB36" s="1196"/>
      <c r="AD36" s="1196" t="str">
        <f>IF(TITLE_DATE_PR_CHANGE="",IF(TITLE_DATE_PR="","",TITLE_DATE_PR),TITLE_DATE_PR_CHANGE)</f>
        <v/>
      </c>
      <c r="AE36" s="1196"/>
      <c r="AF36" s="1196"/>
      <c r="AG36" s="1196"/>
      <c r="AH36" s="1196"/>
      <c r="AI36" s="1196"/>
      <c r="AJ36" s="1196"/>
      <c r="AK36" s="1196"/>
      <c r="AL36" s="1196"/>
      <c r="AM36" s="1196"/>
      <c r="AN36" s="1196"/>
      <c r="AO36" s="1196"/>
      <c r="AP36" s="1196"/>
      <c r="AQ36" s="1196"/>
      <c r="AR36" s="1196"/>
      <c r="AS36" s="1196"/>
      <c r="AT36" s="1196"/>
      <c r="AU36" s="1196"/>
      <c r="AV36" s="1196"/>
      <c r="AW36" s="1196"/>
      <c r="AX36" s="1196"/>
      <c r="AY36" s="1196"/>
      <c r="AZ36" s="1196"/>
      <c r="BI36" s="592">
        <v>0</v>
      </c>
    </row>
    <row r="37" spans="1:61" ht="18.75" hidden="1" customHeight="1">
      <c r="S37" s="1186" t="s">
        <v>435</v>
      </c>
      <c r="T37" s="1186"/>
      <c r="U37" s="849"/>
      <c r="V37" s="1187" t="str">
        <f>IF(TITLE_NUMBER_PR_CHANGE="",IF(TITLE_NUMBER_PR="","",TITLE_NUMBER_PR),TITLE_NUMBER_PR_CHANGE)</f>
        <v/>
      </c>
      <c r="W37" s="1187"/>
      <c r="X37" s="1187"/>
      <c r="Y37" s="1187"/>
      <c r="Z37" s="1187"/>
      <c r="AA37" s="1187"/>
      <c r="AB37" s="1187"/>
      <c r="AD37" s="1187" t="str">
        <f>IF(TITLE_NUMBER_PR_CHANGE="",IF(TITLE_NUMBER_PR="","",TITLE_NUMBER_PR),TITLE_NUMBER_PR_CHANGE)</f>
        <v/>
      </c>
      <c r="AE37" s="1187"/>
      <c r="AF37" s="1187"/>
      <c r="AG37" s="1187"/>
      <c r="AH37" s="1187"/>
      <c r="AI37" s="1187"/>
      <c r="AJ37" s="1187"/>
      <c r="AK37" s="1187"/>
      <c r="AL37" s="1187"/>
      <c r="AM37" s="1187"/>
      <c r="AN37" s="1187"/>
      <c r="AO37" s="1187"/>
      <c r="AP37" s="1187"/>
      <c r="AQ37" s="1187"/>
      <c r="AR37" s="1187"/>
      <c r="AS37" s="1187"/>
      <c r="AT37" s="1187"/>
      <c r="AU37" s="1187"/>
      <c r="AV37" s="1187"/>
      <c r="AW37" s="1187"/>
      <c r="AX37" s="1187"/>
      <c r="AY37" s="1187"/>
      <c r="AZ37" s="1187"/>
      <c r="BI37" s="592">
        <v>0</v>
      </c>
    </row>
    <row r="38" spans="1:61" ht="0" hidden="1" customHeight="1">
      <c r="AC38" s="577" t="s">
        <v>438</v>
      </c>
      <c r="BA38" s="577" t="s">
        <v>438</v>
      </c>
      <c r="BI38" s="592">
        <v>0</v>
      </c>
    </row>
    <row r="39" spans="1:61" ht="14.65" customHeight="1">
      <c r="Q39" s="885"/>
      <c r="R39" s="756"/>
      <c r="S39" s="847"/>
      <c r="T39" s="556"/>
      <c r="U39" s="850"/>
      <c r="V39" s="1188"/>
      <c r="W39" s="1188"/>
      <c r="X39" s="1188"/>
      <c r="Y39" s="1188"/>
      <c r="Z39" s="1188"/>
      <c r="AA39" s="1188"/>
      <c r="AB39" s="1188"/>
      <c r="AC39" s="1188"/>
      <c r="AD39" s="1188"/>
      <c r="AE39" s="1188"/>
      <c r="AF39" s="1188"/>
      <c r="AG39" s="1188"/>
      <c r="AH39" s="1188"/>
      <c r="AI39" s="1188"/>
      <c r="AJ39" s="1188"/>
      <c r="AK39" s="1188"/>
      <c r="AL39" s="1188"/>
      <c r="AM39" s="1188"/>
      <c r="AN39" s="1188"/>
      <c r="AO39" s="1188"/>
      <c r="AP39" s="1188"/>
      <c r="AQ39" s="1188"/>
      <c r="AR39" s="1188"/>
      <c r="AS39" s="1188"/>
      <c r="AT39" s="1188"/>
      <c r="AU39" s="1188"/>
      <c r="AV39" s="1188"/>
      <c r="AW39" s="1188"/>
      <c r="AX39" s="1188"/>
      <c r="AY39" s="1188"/>
      <c r="AZ39" s="1188"/>
      <c r="BA39" s="1188"/>
      <c r="BI39" s="538">
        <v>14</v>
      </c>
    </row>
    <row r="40" spans="1:61" ht="14.65" customHeight="1">
      <c r="Q40" s="885"/>
      <c r="R40" s="756"/>
      <c r="S40" s="1066" t="s">
        <v>311</v>
      </c>
      <c r="T40" s="1066"/>
      <c r="U40" s="1066"/>
      <c r="V40" s="1066"/>
      <c r="W40" s="1066"/>
      <c r="X40" s="1066"/>
      <c r="Y40" s="1066"/>
      <c r="Z40" s="1066"/>
      <c r="AA40" s="1066"/>
      <c r="AB40" s="1066"/>
      <c r="AC40" s="1066"/>
      <c r="AD40" s="1066"/>
      <c r="AE40" s="1066"/>
      <c r="AF40" s="1066"/>
      <c r="AG40" s="1066"/>
      <c r="AH40" s="1066"/>
      <c r="AI40" s="1066"/>
      <c r="AJ40" s="1066"/>
      <c r="AK40" s="1066"/>
      <c r="AL40" s="1066"/>
      <c r="AM40" s="1066"/>
      <c r="AN40" s="1066"/>
      <c r="AO40" s="1066"/>
      <c r="AP40" s="1066"/>
      <c r="AQ40" s="1066"/>
      <c r="AR40" s="1066"/>
      <c r="AS40" s="1066"/>
      <c r="AT40" s="1066"/>
      <c r="AU40" s="1066"/>
      <c r="AV40" s="1066"/>
      <c r="AW40" s="1066"/>
      <c r="AX40" s="1066"/>
      <c r="AY40" s="1066"/>
      <c r="AZ40" s="1066"/>
      <c r="BA40" s="1066"/>
      <c r="BB40" s="1066"/>
      <c r="BC40" s="1066" t="s">
        <v>312</v>
      </c>
      <c r="BI40" s="538">
        <v>14</v>
      </c>
    </row>
    <row r="41" spans="1:61" ht="14.65" customHeight="1">
      <c r="Q41" s="885"/>
      <c r="R41" s="756"/>
      <c r="S41" s="1202" t="s">
        <v>87</v>
      </c>
      <c r="T41" s="1154" t="s">
        <v>518</v>
      </c>
      <c r="U41" s="817"/>
      <c r="V41" s="1203" t="s">
        <v>440</v>
      </c>
      <c r="W41" s="1204"/>
      <c r="X41" s="1204"/>
      <c r="Y41" s="1204"/>
      <c r="Z41" s="1204"/>
      <c r="AA41" s="1204"/>
      <c r="AB41" s="1205"/>
      <c r="AC41" s="1206" t="s">
        <v>441</v>
      </c>
      <c r="AD41" s="1238" t="s">
        <v>519</v>
      </c>
      <c r="AE41" s="1219"/>
      <c r="AF41" s="1219"/>
      <c r="AG41" s="1239"/>
      <c r="AH41" s="1238" t="s">
        <v>520</v>
      </c>
      <c r="AI41" s="1219"/>
      <c r="AJ41" s="1219"/>
      <c r="AK41" s="1239"/>
      <c r="AL41" s="1238" t="s">
        <v>521</v>
      </c>
      <c r="AM41" s="1219"/>
      <c r="AN41" s="1219"/>
      <c r="AO41" s="1239"/>
      <c r="AP41" s="1238" t="s">
        <v>522</v>
      </c>
      <c r="AQ41" s="1219"/>
      <c r="AR41" s="1219"/>
      <c r="AS41" s="1239"/>
      <c r="AT41" s="1203" t="s">
        <v>440</v>
      </c>
      <c r="AU41" s="1204"/>
      <c r="AV41" s="1204"/>
      <c r="AW41" s="1204"/>
      <c r="AX41" s="1204"/>
      <c r="AY41" s="1204"/>
      <c r="AZ41" s="1205"/>
      <c r="BA41" s="1206" t="s">
        <v>441</v>
      </c>
      <c r="BB41" s="1209" t="s">
        <v>443</v>
      </c>
      <c r="BC41" s="1066"/>
      <c r="BI41" s="538">
        <v>14</v>
      </c>
    </row>
    <row r="42" spans="1:61" ht="35.65" customHeight="1">
      <c r="Q42" s="885"/>
      <c r="R42" s="756"/>
      <c r="S42" s="1202"/>
      <c r="T42" s="1154"/>
      <c r="U42" s="822"/>
      <c r="V42" s="1141" t="s">
        <v>523</v>
      </c>
      <c r="W42" s="1142"/>
      <c r="X42" s="1141" t="s">
        <v>524</v>
      </c>
      <c r="Y42" s="1142"/>
      <c r="Z42" s="1141" t="s">
        <v>525</v>
      </c>
      <c r="AA42" s="1233"/>
      <c r="AB42" s="1142"/>
      <c r="AC42" s="1207"/>
      <c r="AD42" s="1240"/>
      <c r="AE42" s="1241"/>
      <c r="AF42" s="1241"/>
      <c r="AG42" s="1242"/>
      <c r="AH42" s="1240"/>
      <c r="AI42" s="1241"/>
      <c r="AJ42" s="1241"/>
      <c r="AK42" s="1242"/>
      <c r="AL42" s="1240"/>
      <c r="AM42" s="1241"/>
      <c r="AN42" s="1241"/>
      <c r="AO42" s="1242"/>
      <c r="AP42" s="1240"/>
      <c r="AQ42" s="1241"/>
      <c r="AR42" s="1241"/>
      <c r="AS42" s="1242"/>
      <c r="AT42" s="1141" t="s">
        <v>523</v>
      </c>
      <c r="AU42" s="1142"/>
      <c r="AV42" s="1141" t="s">
        <v>524</v>
      </c>
      <c r="AW42" s="1142"/>
      <c r="AX42" s="1141" t="s">
        <v>525</v>
      </c>
      <c r="AY42" s="1233"/>
      <c r="AZ42" s="1142"/>
      <c r="BA42" s="1207"/>
      <c r="BB42" s="1210"/>
      <c r="BC42" s="1066"/>
      <c r="BI42" s="538">
        <v>34</v>
      </c>
    </row>
    <row r="43" spans="1:61" ht="14.65" customHeight="1">
      <c r="Q43" s="885"/>
      <c r="R43" s="756"/>
      <c r="S43" s="1202"/>
      <c r="T43" s="1154"/>
      <c r="U43" s="822"/>
      <c r="V43" s="1146"/>
      <c r="W43" s="1147"/>
      <c r="X43" s="1146"/>
      <c r="Y43" s="1147"/>
      <c r="Z43" s="1146"/>
      <c r="AA43" s="1234"/>
      <c r="AB43" s="1147"/>
      <c r="AC43" s="1207"/>
      <c r="AD43" s="1240"/>
      <c r="AE43" s="1241"/>
      <c r="AF43" s="1241"/>
      <c r="AG43" s="1242"/>
      <c r="AH43" s="1240"/>
      <c r="AI43" s="1241"/>
      <c r="AJ43" s="1241"/>
      <c r="AK43" s="1242"/>
      <c r="AL43" s="1240"/>
      <c r="AM43" s="1241"/>
      <c r="AN43" s="1241"/>
      <c r="AO43" s="1242"/>
      <c r="AP43" s="1240"/>
      <c r="AQ43" s="1241"/>
      <c r="AR43" s="1241"/>
      <c r="AS43" s="1242"/>
      <c r="AT43" s="1146"/>
      <c r="AU43" s="1147"/>
      <c r="AV43" s="1146"/>
      <c r="AW43" s="1147"/>
      <c r="AX43" s="1146"/>
      <c r="AY43" s="1234"/>
      <c r="AZ43" s="1147"/>
      <c r="BA43" s="1207"/>
      <c r="BB43" s="1210"/>
      <c r="BC43" s="1066"/>
      <c r="BI43" s="538">
        <v>14</v>
      </c>
    </row>
    <row r="44" spans="1:61" ht="14.65" customHeight="1">
      <c r="B44" s="598" t="s">
        <v>148</v>
      </c>
      <c r="C44" s="598" t="s">
        <v>149</v>
      </c>
      <c r="D44" s="598" t="s">
        <v>150</v>
      </c>
      <c r="E44" s="841" t="s">
        <v>448</v>
      </c>
      <c r="F44" s="841" t="s">
        <v>449</v>
      </c>
      <c r="G44" s="841" t="s">
        <v>450</v>
      </c>
      <c r="H44" s="841" t="s">
        <v>451</v>
      </c>
      <c r="I44" s="841" t="s">
        <v>452</v>
      </c>
      <c r="J44" s="841" t="s">
        <v>453</v>
      </c>
      <c r="K44" s="841" t="s">
        <v>454</v>
      </c>
      <c r="L44" s="841" t="s">
        <v>429</v>
      </c>
      <c r="Q44" s="885"/>
      <c r="R44" s="756"/>
      <c r="S44" s="1202"/>
      <c r="T44" s="1154"/>
      <c r="U44" s="852"/>
      <c r="V44" s="632" t="s">
        <v>489</v>
      </c>
      <c r="W44" s="632" t="s">
        <v>490</v>
      </c>
      <c r="X44" s="632" t="s">
        <v>489</v>
      </c>
      <c r="Y44" s="632" t="s">
        <v>490</v>
      </c>
      <c r="Z44" s="602" t="s">
        <v>457</v>
      </c>
      <c r="AA44" s="1162" t="s">
        <v>458</v>
      </c>
      <c r="AB44" s="1164"/>
      <c r="AC44" s="1208"/>
      <c r="AD44" s="1243"/>
      <c r="AE44" s="1244"/>
      <c r="AF44" s="1244"/>
      <c r="AG44" s="1245"/>
      <c r="AH44" s="1243"/>
      <c r="AI44" s="1244"/>
      <c r="AJ44" s="1244"/>
      <c r="AK44" s="1245"/>
      <c r="AL44" s="1243"/>
      <c r="AM44" s="1244"/>
      <c r="AN44" s="1244"/>
      <c r="AO44" s="1245"/>
      <c r="AP44" s="1243"/>
      <c r="AQ44" s="1244"/>
      <c r="AR44" s="1244"/>
      <c r="AS44" s="1245"/>
      <c r="AT44" s="632" t="s">
        <v>489</v>
      </c>
      <c r="AU44" s="632" t="s">
        <v>490</v>
      </c>
      <c r="AV44" s="632" t="s">
        <v>489</v>
      </c>
      <c r="AW44" s="632" t="s">
        <v>490</v>
      </c>
      <c r="AX44" s="602" t="s">
        <v>457</v>
      </c>
      <c r="AY44" s="1162" t="s">
        <v>458</v>
      </c>
      <c r="AZ44" s="1164"/>
      <c r="BA44" s="1208"/>
      <c r="BB44" s="1211"/>
      <c r="BC44" s="1066"/>
      <c r="BI44" s="538">
        <v>14</v>
      </c>
    </row>
    <row r="45" spans="1:61" ht="11.25" hidden="1" customHeight="1">
      <c r="Q45" s="854"/>
      <c r="R45" s="854">
        <v>1</v>
      </c>
      <c r="S45" s="329" t="s">
        <v>114</v>
      </c>
      <c r="T45" s="330" t="s">
        <v>102</v>
      </c>
      <c r="U45" s="855" t="str">
        <f ca="1">OFFSET(U45,0,-1)</f>
        <v>2</v>
      </c>
      <c r="V45" s="856">
        <f t="shared" ref="V45:AA45" ca="1" si="2">OFFSET(V45,0,-1)+1</f>
        <v>3</v>
      </c>
      <c r="W45" s="856">
        <f t="shared" ca="1" si="2"/>
        <v>4</v>
      </c>
      <c r="X45" s="856">
        <f t="shared" ca="1" si="2"/>
        <v>5</v>
      </c>
      <c r="Y45" s="856">
        <f t="shared" ca="1" si="2"/>
        <v>6</v>
      </c>
      <c r="Z45" s="856">
        <f t="shared" ca="1" si="2"/>
        <v>7</v>
      </c>
      <c r="AA45" s="1201">
        <f t="shared" ca="1" si="2"/>
        <v>8</v>
      </c>
      <c r="AB45" s="1201"/>
      <c r="AC45" s="856">
        <f ca="1">OFFSET(AC45,0,-2)+1</f>
        <v>9</v>
      </c>
      <c r="AD45" s="856">
        <f ca="1">OFFSET(AD45,0,-1)+1</f>
        <v>10</v>
      </c>
      <c r="AE45" s="856"/>
      <c r="AF45" s="856"/>
      <c r="AG45" s="856"/>
      <c r="AH45" s="856"/>
      <c r="AI45" s="856"/>
      <c r="AJ45" s="856"/>
      <c r="AK45" s="856"/>
      <c r="AL45" s="856"/>
      <c r="AM45" s="856"/>
      <c r="AN45" s="856"/>
      <c r="AO45" s="856"/>
      <c r="AP45" s="856"/>
      <c r="AQ45" s="856"/>
      <c r="AR45" s="856"/>
      <c r="AS45" s="856"/>
      <c r="AT45" s="856"/>
      <c r="AU45" s="856"/>
      <c r="AV45" s="856"/>
      <c r="AW45" s="856">
        <f ca="1">OFFSET(AW45,0,-1)+1</f>
        <v>1</v>
      </c>
      <c r="AX45" s="856">
        <f ca="1">OFFSET(AX45,0,-1)+1</f>
        <v>2</v>
      </c>
      <c r="AY45" s="1201">
        <f ca="1">OFFSET(AY45,0,-1)+1</f>
        <v>3</v>
      </c>
      <c r="AZ45" s="1201"/>
      <c r="BA45" s="856">
        <f ca="1">OFFSET(BA45,0,-2)+1</f>
        <v>4</v>
      </c>
      <c r="BB45" s="855">
        <f ca="1">OFFSET(BB45,0,-1)</f>
        <v>4</v>
      </c>
      <c r="BC45" s="856">
        <f ca="1">OFFSET(BC45,0,-1)+1</f>
        <v>5</v>
      </c>
      <c r="BI45" s="681">
        <v>0</v>
      </c>
    </row>
    <row r="46" spans="1:61" ht="21.95" customHeight="1">
      <c r="A46" s="857" t="s">
        <v>257</v>
      </c>
      <c r="E46" s="1194">
        <v>1</v>
      </c>
      <c r="R46" s="310"/>
      <c r="S46" s="832">
        <f>INDEX(PT_DIFFERENTIATION_NUM_NTAR,MATCH(A46,PT_DIFFERENTIATION_NTAR_ID,0))</f>
        <v>0</v>
      </c>
      <c r="T46" s="795" t="s">
        <v>136</v>
      </c>
      <c r="U46" s="833"/>
      <c r="V46" s="1181"/>
      <c r="W46" s="1181"/>
      <c r="X46" s="1181"/>
      <c r="Y46" s="1181"/>
      <c r="Z46" s="1181"/>
      <c r="AA46" s="1181"/>
      <c r="AB46" s="1181"/>
      <c r="AC46" s="1182"/>
      <c r="AD46" s="1180" t="str">
        <f>INDEX(PT_DIFFERENTIATION_NTAR,MATCH(A46,PT_DIFFERENTIATION_NTAR_ID,0))</f>
        <v/>
      </c>
      <c r="AE46" s="1181"/>
      <c r="AF46" s="1181"/>
      <c r="AG46" s="1181"/>
      <c r="AH46" s="1181"/>
      <c r="AI46" s="1181"/>
      <c r="AJ46" s="1181"/>
      <c r="AK46" s="1181"/>
      <c r="AL46" s="1181"/>
      <c r="AM46" s="1181"/>
      <c r="AN46" s="1181"/>
      <c r="AO46" s="1181"/>
      <c r="AP46" s="1181"/>
      <c r="AQ46" s="1181"/>
      <c r="AR46" s="1181"/>
      <c r="AS46" s="1181"/>
      <c r="AT46" s="1181"/>
      <c r="AU46" s="1181"/>
      <c r="AV46" s="1181"/>
      <c r="AW46" s="1181"/>
      <c r="AX46" s="1181"/>
      <c r="AY46" s="1181"/>
      <c r="AZ46" s="1181"/>
      <c r="BA46" s="1181"/>
      <c r="BB46" s="1182"/>
      <c r="BC46"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46" s="582" t="str">
        <f t="shared" ref="BF46:BF52" si="3">IF(T46="","",T46)</f>
        <v>Наименование тарифа</v>
      </c>
      <c r="BI46" s="538">
        <v>21</v>
      </c>
    </row>
    <row r="47" spans="1:61" ht="21.95" customHeight="1">
      <c r="A47" s="857" t="s">
        <v>257</v>
      </c>
      <c r="B47" s="857" t="s">
        <v>258</v>
      </c>
      <c r="E47" s="1195"/>
      <c r="F47" s="1194">
        <v>1</v>
      </c>
      <c r="Q47" s="879"/>
      <c r="R47" s="837"/>
      <c r="S47" s="832" t="str">
        <f>INDEX(PT_DIFFERENTIATION_NUM_TER,MATCH(B47,PT_DIFFERENTIATION_TER_ID,0))</f>
        <v>.</v>
      </c>
      <c r="T47" s="838" t="s">
        <v>408</v>
      </c>
      <c r="U47" s="833"/>
      <c r="V47" s="1181"/>
      <c r="W47" s="1181"/>
      <c r="X47" s="1181"/>
      <c r="Y47" s="1181"/>
      <c r="Z47" s="1181"/>
      <c r="AA47" s="1181"/>
      <c r="AB47" s="1181"/>
      <c r="AC47" s="1182"/>
      <c r="AD47" s="1180" t="str">
        <f>INDEX(PT_DIFFERENTIATION_TER,MATCH(B47,PT_DIFFERENTIATION_TER_ID,0))</f>
        <v/>
      </c>
      <c r="AE47" s="1181"/>
      <c r="AF47" s="1181"/>
      <c r="AG47" s="1181"/>
      <c r="AH47" s="1181"/>
      <c r="AI47" s="1181"/>
      <c r="AJ47" s="1181"/>
      <c r="AK47" s="1181"/>
      <c r="AL47" s="1181"/>
      <c r="AM47" s="1181"/>
      <c r="AN47" s="1181"/>
      <c r="AO47" s="1181"/>
      <c r="AP47" s="1181"/>
      <c r="AQ47" s="1181"/>
      <c r="AR47" s="1181"/>
      <c r="AS47" s="1181"/>
      <c r="AT47" s="1181"/>
      <c r="AU47" s="1181"/>
      <c r="AV47" s="1181"/>
      <c r="AW47" s="1181"/>
      <c r="AX47" s="1181"/>
      <c r="AY47" s="1181"/>
      <c r="AZ47" s="1181"/>
      <c r="BA47" s="1181"/>
      <c r="BB47" s="1182"/>
      <c r="BC47" s="835" t="s">
        <v>409</v>
      </c>
      <c r="BF47" s="582" t="str">
        <f t="shared" si="3"/>
        <v>Территория действия тарифа</v>
      </c>
      <c r="BI47" s="538">
        <v>21</v>
      </c>
    </row>
    <row r="48" spans="1:61" ht="43.15" customHeight="1">
      <c r="A48" s="857" t="s">
        <v>257</v>
      </c>
      <c r="B48" s="857" t="s">
        <v>258</v>
      </c>
      <c r="C48" s="857" t="s">
        <v>259</v>
      </c>
      <c r="E48" s="1195"/>
      <c r="F48" s="1195"/>
      <c r="G48" s="1194">
        <v>1</v>
      </c>
      <c r="Q48" s="879"/>
      <c r="R48" s="837"/>
      <c r="S48" s="832" t="str">
        <f>INDEX(PT_DIFFERENTIATION_NUM_CS,MATCH(C48,PT_DIFFERENTIATION_CS_ID,0))</f>
        <v>..</v>
      </c>
      <c r="T48" s="839" t="s">
        <v>492</v>
      </c>
      <c r="U48" s="833"/>
      <c r="V48" s="1181"/>
      <c r="W48" s="1181"/>
      <c r="X48" s="1181"/>
      <c r="Y48" s="1181"/>
      <c r="Z48" s="1181"/>
      <c r="AA48" s="1181"/>
      <c r="AB48" s="1181"/>
      <c r="AC48" s="1182"/>
      <c r="AD48" s="1180" t="str">
        <f>INDEX(PT_DIFFERENTIATION_CS,MATCH(C48,PT_DIFFERENTIATION_CS_ID,0))</f>
        <v/>
      </c>
      <c r="AE48" s="1181"/>
      <c r="AF48" s="1181"/>
      <c r="AG48" s="1181"/>
      <c r="AH48" s="1181"/>
      <c r="AI48" s="1181"/>
      <c r="AJ48" s="1181"/>
      <c r="AK48" s="1181"/>
      <c r="AL48" s="1181"/>
      <c r="AM48" s="1181"/>
      <c r="AN48" s="1181"/>
      <c r="AO48" s="1181"/>
      <c r="AP48" s="1181"/>
      <c r="AQ48" s="1181"/>
      <c r="AR48" s="1181"/>
      <c r="AS48" s="1181"/>
      <c r="AT48" s="1181"/>
      <c r="AU48" s="1181"/>
      <c r="AV48" s="1181"/>
      <c r="AW48" s="1181"/>
      <c r="AX48" s="1181"/>
      <c r="AY48" s="1181"/>
      <c r="AZ48" s="1181"/>
      <c r="BA48" s="1181"/>
      <c r="BB48" s="1182"/>
      <c r="BC48" s="835" t="s">
        <v>493</v>
      </c>
      <c r="BF48" s="582" t="str">
        <f t="shared" si="3"/>
        <v>Наименование централизованной системы холодного водоснабжения</v>
      </c>
      <c r="BI48" s="538">
        <v>41</v>
      </c>
    </row>
    <row r="49" spans="1:61" ht="0" hidden="1" customHeight="1">
      <c r="A49" s="574" t="s">
        <v>257</v>
      </c>
      <c r="B49" s="574" t="s">
        <v>258</v>
      </c>
      <c r="C49" s="574" t="s">
        <v>259</v>
      </c>
      <c r="D49" s="574" t="s">
        <v>526</v>
      </c>
      <c r="E49" s="1195"/>
      <c r="F49" s="1195"/>
      <c r="G49" s="1195"/>
      <c r="H49" s="1194">
        <v>1</v>
      </c>
      <c r="Q49" s="908"/>
      <c r="R49" s="844"/>
      <c r="S49" s="635"/>
      <c r="T49" s="909"/>
      <c r="U49" s="860"/>
      <c r="V49" s="1223"/>
      <c r="W49" s="1223"/>
      <c r="X49" s="1223"/>
      <c r="Y49" s="1223"/>
      <c r="Z49" s="1223"/>
      <c r="AA49" s="1223"/>
      <c r="AB49" s="1223"/>
      <c r="AC49" s="1224"/>
      <c r="AD49" s="1222"/>
      <c r="AE49" s="1223"/>
      <c r="AF49" s="1223"/>
      <c r="AG49" s="1223"/>
      <c r="AH49" s="1223"/>
      <c r="AI49" s="1223"/>
      <c r="AJ49" s="1223"/>
      <c r="AK49" s="1223"/>
      <c r="AL49" s="1223"/>
      <c r="AM49" s="1223"/>
      <c r="AN49" s="1223"/>
      <c r="AO49" s="1223"/>
      <c r="AP49" s="1223"/>
      <c r="AQ49" s="1223"/>
      <c r="AR49" s="1223"/>
      <c r="AS49" s="1223"/>
      <c r="AT49" s="1223"/>
      <c r="AU49" s="1223"/>
      <c r="AV49" s="1223"/>
      <c r="AW49" s="1223"/>
      <c r="AX49" s="1223"/>
      <c r="AY49" s="1223"/>
      <c r="AZ49" s="1223"/>
      <c r="BA49" s="1223"/>
      <c r="BB49" s="1224"/>
      <c r="BC49" s="862" t="s">
        <v>413</v>
      </c>
      <c r="BF49" s="582" t="str">
        <f t="shared" si="3"/>
        <v/>
      </c>
      <c r="BI49" s="577">
        <v>0</v>
      </c>
    </row>
    <row r="50" spans="1:61" ht="0" hidden="1" customHeight="1">
      <c r="A50" s="574" t="s">
        <v>257</v>
      </c>
      <c r="B50" s="574" t="s">
        <v>258</v>
      </c>
      <c r="C50" s="574" t="s">
        <v>259</v>
      </c>
      <c r="D50" s="574" t="s">
        <v>526</v>
      </c>
      <c r="E50" s="1195"/>
      <c r="F50" s="1195"/>
      <c r="G50" s="1195"/>
      <c r="H50" s="1195"/>
      <c r="I50" s="1192" t="str">
        <f>S49&amp;".1"</f>
        <v>.1</v>
      </c>
      <c r="L50" s="863" t="s">
        <v>414</v>
      </c>
      <c r="P50" s="1193">
        <v>1</v>
      </c>
      <c r="R50" s="842"/>
      <c r="S50" s="635"/>
      <c r="T50" s="859"/>
      <c r="U50" s="860"/>
      <c r="V50" s="1223"/>
      <c r="W50" s="1223"/>
      <c r="X50" s="1223"/>
      <c r="Y50" s="1223"/>
      <c r="Z50" s="1223"/>
      <c r="AA50" s="1223"/>
      <c r="AB50" s="1223"/>
      <c r="AC50" s="1224"/>
      <c r="AD50" s="1222"/>
      <c r="AE50" s="1223"/>
      <c r="AF50" s="1223"/>
      <c r="AG50" s="1223"/>
      <c r="AH50" s="1223"/>
      <c r="AI50" s="1223"/>
      <c r="AJ50" s="1223"/>
      <c r="AK50" s="1223"/>
      <c r="AL50" s="1223"/>
      <c r="AM50" s="1223"/>
      <c r="AN50" s="1223"/>
      <c r="AO50" s="1223"/>
      <c r="AP50" s="1223"/>
      <c r="AQ50" s="1223"/>
      <c r="AR50" s="1223"/>
      <c r="AS50" s="1223"/>
      <c r="AT50" s="1223"/>
      <c r="AU50" s="1223"/>
      <c r="AV50" s="1223"/>
      <c r="AW50" s="1223"/>
      <c r="AX50" s="1223"/>
      <c r="AY50" s="1223"/>
      <c r="AZ50" s="1223"/>
      <c r="BA50" s="1223"/>
      <c r="BB50" s="1224"/>
      <c r="BC50" s="862"/>
      <c r="BF50" s="582" t="str">
        <f t="shared" si="3"/>
        <v/>
      </c>
      <c r="BI50" s="577">
        <v>0</v>
      </c>
    </row>
    <row r="51" spans="1:61" ht="0" hidden="1" customHeight="1">
      <c r="A51" s="574" t="s">
        <v>257</v>
      </c>
      <c r="B51" s="574" t="s">
        <v>258</v>
      </c>
      <c r="C51" s="574" t="s">
        <v>259</v>
      </c>
      <c r="D51" s="574" t="s">
        <v>526</v>
      </c>
      <c r="E51" s="1195"/>
      <c r="F51" s="1195"/>
      <c r="G51" s="1195"/>
      <c r="H51" s="1195"/>
      <c r="I51" s="1214"/>
      <c r="J51" s="1192" t="str">
        <f>S49&amp;".1"</f>
        <v>.1</v>
      </c>
      <c r="P51" s="1031"/>
      <c r="Q51" s="1193">
        <v>1</v>
      </c>
      <c r="R51" s="844"/>
      <c r="S51" s="635"/>
      <c r="T51" s="880"/>
      <c r="U51" s="860"/>
      <c r="V51" s="1223"/>
      <c r="W51" s="1223"/>
      <c r="X51" s="1223"/>
      <c r="Y51" s="1223"/>
      <c r="Z51" s="1223"/>
      <c r="AA51" s="1223"/>
      <c r="AB51" s="1223"/>
      <c r="AC51" s="1224"/>
      <c r="AD51" s="1222"/>
      <c r="AE51" s="1223"/>
      <c r="AF51" s="1223"/>
      <c r="AG51" s="1223"/>
      <c r="AH51" s="1223"/>
      <c r="AI51" s="1223"/>
      <c r="AJ51" s="1223"/>
      <c r="AK51" s="1223"/>
      <c r="AL51" s="1223"/>
      <c r="AM51" s="1223"/>
      <c r="AN51" s="1274"/>
      <c r="AO51" s="1274"/>
      <c r="AP51" s="1223"/>
      <c r="AQ51" s="1223"/>
      <c r="AR51" s="1223"/>
      <c r="AS51" s="1223"/>
      <c r="AT51" s="1223"/>
      <c r="AU51" s="1223"/>
      <c r="AV51" s="1223"/>
      <c r="AW51" s="1223"/>
      <c r="AX51" s="1223"/>
      <c r="AY51" s="1223"/>
      <c r="AZ51" s="1223"/>
      <c r="BA51" s="1223"/>
      <c r="BB51" s="1224"/>
      <c r="BC51" s="862"/>
      <c r="BF51" s="582" t="str">
        <f t="shared" si="3"/>
        <v/>
      </c>
      <c r="BI51" s="577">
        <v>0</v>
      </c>
    </row>
    <row r="52" spans="1:61" ht="11.45" customHeight="1">
      <c r="A52" s="857" t="s">
        <v>257</v>
      </c>
      <c r="B52" s="857" t="s">
        <v>258</v>
      </c>
      <c r="C52" s="857" t="s">
        <v>259</v>
      </c>
      <c r="D52" s="857" t="s">
        <v>526</v>
      </c>
      <c r="E52" s="1195"/>
      <c r="F52" s="1195"/>
      <c r="G52" s="1195"/>
      <c r="H52" s="1195"/>
      <c r="I52" s="1214"/>
      <c r="J52" s="1214"/>
      <c r="K52" s="1192" t="str">
        <f>S48&amp;".1"</f>
        <v>...1</v>
      </c>
      <c r="P52" s="1031"/>
      <c r="Q52" s="1031"/>
      <c r="R52" s="844">
        <v>1</v>
      </c>
      <c r="S52" s="1251" t="str">
        <f>$K52</f>
        <v>...1</v>
      </c>
      <c r="T52" s="1270"/>
      <c r="U52" s="833"/>
      <c r="V52" s="311"/>
      <c r="W52" s="313"/>
      <c r="X52" s="311"/>
      <c r="Y52" s="313"/>
      <c r="Z52" s="203"/>
      <c r="AA52" s="56" t="s">
        <v>61</v>
      </c>
      <c r="AB52" s="203"/>
      <c r="AC52" s="56" t="s">
        <v>61</v>
      </c>
      <c r="AD52" s="1134" t="s">
        <v>61</v>
      </c>
      <c r="AE52" s="1236"/>
      <c r="AF52" s="1150">
        <v>1</v>
      </c>
      <c r="AG52" s="1273"/>
      <c r="AH52" s="1058" t="s">
        <v>61</v>
      </c>
      <c r="AI52" s="1236"/>
      <c r="AJ52" s="1150">
        <v>1</v>
      </c>
      <c r="AK52" s="1237" t="s">
        <v>22</v>
      </c>
      <c r="AL52" s="1058" t="s">
        <v>61</v>
      </c>
      <c r="AM52" s="1141"/>
      <c r="AN52" s="1150">
        <v>1</v>
      </c>
      <c r="AO52" s="1267"/>
      <c r="AP52" s="1268" t="s">
        <v>61</v>
      </c>
      <c r="AQ52" s="882"/>
      <c r="AR52" s="92">
        <v>1</v>
      </c>
      <c r="AS52" s="14" t="s">
        <v>22</v>
      </c>
      <c r="AT52" s="311"/>
      <c r="AU52" s="313"/>
      <c r="AV52" s="311"/>
      <c r="AW52" s="313"/>
      <c r="AX52" s="203"/>
      <c r="AY52" s="56" t="s">
        <v>61</v>
      </c>
      <c r="AZ52" s="203"/>
      <c r="BA52" s="56" t="s">
        <v>61</v>
      </c>
      <c r="BB52" s="331"/>
      <c r="BC52" s="1189" t="s">
        <v>512</v>
      </c>
      <c r="BF52" s="582" t="str">
        <f t="shared" si="3"/>
        <v/>
      </c>
      <c r="BI52" s="538">
        <v>11</v>
      </c>
    </row>
    <row r="53" spans="1:61" ht="11.45" customHeight="1">
      <c r="E53" s="1195"/>
      <c r="F53" s="1195"/>
      <c r="G53" s="1195"/>
      <c r="H53" s="1195"/>
      <c r="I53" s="1214"/>
      <c r="J53" s="1214"/>
      <c r="K53" s="1192"/>
      <c r="P53" s="1031"/>
      <c r="Q53" s="1031"/>
      <c r="R53" s="844"/>
      <c r="S53" s="1252"/>
      <c r="T53" s="1271"/>
      <c r="U53" s="833"/>
      <c r="V53" s="344"/>
      <c r="W53" s="351"/>
      <c r="X53" s="344"/>
      <c r="Y53" s="351"/>
      <c r="Z53" s="344"/>
      <c r="AA53" s="344"/>
      <c r="AB53" s="344"/>
      <c r="AC53" s="344"/>
      <c r="AD53" s="1135"/>
      <c r="AE53" s="1236"/>
      <c r="AF53" s="1150"/>
      <c r="AG53" s="1273"/>
      <c r="AH53" s="1058"/>
      <c r="AI53" s="1236"/>
      <c r="AJ53" s="1150"/>
      <c r="AK53" s="1237"/>
      <c r="AL53" s="1058"/>
      <c r="AM53" s="1146"/>
      <c r="AN53" s="1150"/>
      <c r="AO53" s="1267"/>
      <c r="AP53" s="1269"/>
      <c r="AQ53" s="264"/>
      <c r="AR53" s="49"/>
      <c r="AS53" s="49" t="s">
        <v>513</v>
      </c>
      <c r="AT53" s="344"/>
      <c r="AU53" s="351"/>
      <c r="AV53" s="344"/>
      <c r="AW53" s="351"/>
      <c r="AX53" s="344"/>
      <c r="AY53" s="344"/>
      <c r="AZ53" s="344"/>
      <c r="BA53" s="344"/>
      <c r="BB53" s="350"/>
      <c r="BC53" s="1190"/>
      <c r="BI53" s="538">
        <v>11</v>
      </c>
    </row>
    <row r="54" spans="1:61" ht="11.45" customHeight="1">
      <c r="A54" s="857" t="s">
        <v>257</v>
      </c>
      <c r="E54" s="1195"/>
      <c r="F54" s="1195"/>
      <c r="G54" s="1195"/>
      <c r="H54" s="1195"/>
      <c r="I54" s="1214"/>
      <c r="J54" s="1214"/>
      <c r="K54" s="1192"/>
      <c r="P54" s="1031"/>
      <c r="Q54" s="1031"/>
      <c r="R54" s="844"/>
      <c r="S54" s="1252"/>
      <c r="T54" s="1271"/>
      <c r="U54" s="833"/>
      <c r="V54" s="344"/>
      <c r="W54" s="351"/>
      <c r="X54" s="344"/>
      <c r="Y54" s="351"/>
      <c r="Z54" s="344"/>
      <c r="AA54" s="344"/>
      <c r="AB54" s="344"/>
      <c r="AC54" s="344"/>
      <c r="AD54" s="1135"/>
      <c r="AE54" s="1236"/>
      <c r="AF54" s="1150"/>
      <c r="AG54" s="1273"/>
      <c r="AH54" s="1058"/>
      <c r="AI54" s="1236"/>
      <c r="AJ54" s="1150"/>
      <c r="AK54" s="1237"/>
      <c r="AL54" s="1058"/>
      <c r="AM54" s="264"/>
      <c r="AN54" s="303"/>
      <c r="AO54" s="303" t="s">
        <v>514</v>
      </c>
      <c r="AP54" s="49"/>
      <c r="AQ54" s="49"/>
      <c r="AR54" s="49"/>
      <c r="AS54" s="344"/>
      <c r="AT54" s="344"/>
      <c r="AU54" s="351"/>
      <c r="AV54" s="344"/>
      <c r="AW54" s="351"/>
      <c r="AX54" s="344"/>
      <c r="AY54" s="344"/>
      <c r="AZ54" s="344"/>
      <c r="BA54" s="344"/>
      <c r="BB54" s="350"/>
      <c r="BC54" s="1190"/>
      <c r="BI54" s="538">
        <v>11</v>
      </c>
    </row>
    <row r="55" spans="1:61" ht="11.45" customHeight="1">
      <c r="A55" s="857" t="s">
        <v>257</v>
      </c>
      <c r="E55" s="1195"/>
      <c r="F55" s="1195"/>
      <c r="G55" s="1195"/>
      <c r="H55" s="1195"/>
      <c r="I55" s="1214"/>
      <c r="J55" s="1214"/>
      <c r="K55" s="1192"/>
      <c r="P55" s="1031"/>
      <c r="Q55" s="1031"/>
      <c r="R55" s="844"/>
      <c r="S55" s="1252"/>
      <c r="T55" s="1271"/>
      <c r="U55" s="833"/>
      <c r="V55" s="344"/>
      <c r="W55" s="351"/>
      <c r="X55" s="344"/>
      <c r="Y55" s="351"/>
      <c r="Z55" s="344"/>
      <c r="AA55" s="344"/>
      <c r="AB55" s="344"/>
      <c r="AC55" s="344"/>
      <c r="AD55" s="1135"/>
      <c r="AE55" s="1236"/>
      <c r="AF55" s="1150"/>
      <c r="AG55" s="1273"/>
      <c r="AH55" s="1058"/>
      <c r="AI55" s="353"/>
      <c r="AJ55" s="44"/>
      <c r="AK55" s="120" t="s">
        <v>515</v>
      </c>
      <c r="AL55" s="344"/>
      <c r="AM55" s="344"/>
      <c r="AN55" s="344"/>
      <c r="AO55" s="344"/>
      <c r="AP55" s="344"/>
      <c r="AQ55" s="344"/>
      <c r="AR55" s="344"/>
      <c r="AS55" s="344"/>
      <c r="AT55" s="344"/>
      <c r="AU55" s="351"/>
      <c r="AV55" s="344"/>
      <c r="AW55" s="351"/>
      <c r="AX55" s="344"/>
      <c r="AY55" s="344"/>
      <c r="AZ55" s="344"/>
      <c r="BA55" s="344"/>
      <c r="BB55" s="350"/>
      <c r="BC55" s="1190"/>
      <c r="BI55" s="538">
        <v>11</v>
      </c>
    </row>
    <row r="56" spans="1:61" ht="11.45" customHeight="1">
      <c r="A56" s="857" t="s">
        <v>257</v>
      </c>
      <c r="B56" s="857" t="s">
        <v>258</v>
      </c>
      <c r="C56" s="857" t="s">
        <v>259</v>
      </c>
      <c r="D56" s="857" t="s">
        <v>526</v>
      </c>
      <c r="E56" s="1195"/>
      <c r="F56" s="1195"/>
      <c r="G56" s="1195"/>
      <c r="H56" s="1195"/>
      <c r="I56" s="1214"/>
      <c r="J56" s="1214"/>
      <c r="K56" s="1192"/>
      <c r="P56" s="1031"/>
      <c r="Q56" s="1031"/>
      <c r="R56" s="844"/>
      <c r="S56" s="1253"/>
      <c r="T56" s="1272"/>
      <c r="U56" s="833"/>
      <c r="V56" s="344"/>
      <c r="W56" s="345" t="str">
        <f>Z52&amp;"-"&amp;AB52</f>
        <v>-</v>
      </c>
      <c r="X56" s="344"/>
      <c r="Y56" s="345" t="str">
        <f>AB52&amp;"-"&amp;AD52</f>
        <v>-да</v>
      </c>
      <c r="Z56" s="344"/>
      <c r="AA56" s="344"/>
      <c r="AB56" s="344"/>
      <c r="AC56" s="344"/>
      <c r="AD56" s="1072"/>
      <c r="AE56" s="355"/>
      <c r="AF56" s="356"/>
      <c r="AG56" s="49" t="s">
        <v>516</v>
      </c>
      <c r="AH56" s="344"/>
      <c r="AI56" s="344"/>
      <c r="AJ56" s="344"/>
      <c r="AK56" s="344"/>
      <c r="AL56" s="344"/>
      <c r="AM56" s="344"/>
      <c r="AN56" s="344"/>
      <c r="AO56" s="344"/>
      <c r="AP56" s="344"/>
      <c r="AQ56" s="344"/>
      <c r="AR56" s="344"/>
      <c r="AS56" s="344"/>
      <c r="AT56" s="344"/>
      <c r="AU56" s="345" t="str">
        <f>AX52&amp;"-"&amp;AZ52</f>
        <v>-</v>
      </c>
      <c r="AV56" s="344"/>
      <c r="AW56" s="345" t="str">
        <f>AZ52&amp;"-"&amp;BB52</f>
        <v>-</v>
      </c>
      <c r="AX56" s="344"/>
      <c r="AY56" s="344"/>
      <c r="AZ56" s="344"/>
      <c r="BA56" s="344"/>
      <c r="BB56" s="354" t="str">
        <f>BE52&amp;"-"&amp;BG52</f>
        <v>-</v>
      </c>
      <c r="BC56" s="1190"/>
      <c r="BF56" s="582" t="str">
        <f t="shared" ref="BF56:BF63" si="4">IF(T56="","",T56)</f>
        <v/>
      </c>
      <c r="BI56" s="538">
        <v>11</v>
      </c>
    </row>
    <row r="57" spans="1:61" ht="11.45" customHeight="1">
      <c r="A57" s="857" t="s">
        <v>257</v>
      </c>
      <c r="B57" s="857" t="s">
        <v>258</v>
      </c>
      <c r="C57" s="857" t="s">
        <v>259</v>
      </c>
      <c r="D57" s="857" t="s">
        <v>526</v>
      </c>
      <c r="E57" s="1195"/>
      <c r="F57" s="1195"/>
      <c r="G57" s="1195"/>
      <c r="H57" s="1195"/>
      <c r="I57" s="1214"/>
      <c r="J57" s="1192"/>
      <c r="P57" s="1031"/>
      <c r="Q57" s="1031"/>
      <c r="R57" s="842"/>
      <c r="S57" s="315"/>
      <c r="T57" s="318" t="s">
        <v>479</v>
      </c>
      <c r="U57" s="52"/>
      <c r="V57" s="52"/>
      <c r="W57" s="52"/>
      <c r="X57" s="52"/>
      <c r="Y57" s="52"/>
      <c r="Z57" s="52"/>
      <c r="AA57" s="52"/>
      <c r="AB57" s="52"/>
      <c r="AC57" s="317"/>
      <c r="AD57" s="361"/>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317"/>
      <c r="BC57" s="1191"/>
      <c r="BF57" s="582" t="str">
        <f t="shared" si="4"/>
        <v>Добавить строку</v>
      </c>
      <c r="BI57" s="538">
        <v>11</v>
      </c>
    </row>
    <row r="58" spans="1:61" ht="0" hidden="1" customHeight="1">
      <c r="A58" s="574" t="s">
        <v>257</v>
      </c>
      <c r="B58" s="574" t="s">
        <v>258</v>
      </c>
      <c r="C58" s="574" t="s">
        <v>259</v>
      </c>
      <c r="D58" s="574" t="s">
        <v>526</v>
      </c>
      <c r="E58" s="1195"/>
      <c r="F58" s="1195"/>
      <c r="G58" s="1195"/>
      <c r="H58" s="1195"/>
      <c r="I58" s="1192"/>
      <c r="P58" s="1031"/>
      <c r="R58" s="842"/>
      <c r="S58" s="334"/>
      <c r="T58" s="335"/>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7"/>
      <c r="BF58" s="582" t="str">
        <f t="shared" si="4"/>
        <v/>
      </c>
      <c r="BI58" s="577">
        <v>0</v>
      </c>
    </row>
    <row r="59" spans="1:61" ht="0" hidden="1" customHeight="1">
      <c r="A59" s="574" t="s">
        <v>257</v>
      </c>
      <c r="B59" s="574" t="s">
        <v>258</v>
      </c>
      <c r="C59" s="574" t="s">
        <v>259</v>
      </c>
      <c r="D59" s="574" t="s">
        <v>526</v>
      </c>
      <c r="E59" s="1195"/>
      <c r="F59" s="1195"/>
      <c r="G59" s="1195"/>
      <c r="H59" s="1194"/>
      <c r="R59" s="357"/>
      <c r="S59" s="334"/>
      <c r="T59" s="335"/>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7"/>
      <c r="BF59" s="582" t="str">
        <f t="shared" si="4"/>
        <v/>
      </c>
      <c r="BI59" s="577">
        <v>0</v>
      </c>
    </row>
    <row r="60" spans="1:61" ht="0" hidden="1" customHeight="1">
      <c r="A60" s="574" t="s">
        <v>257</v>
      </c>
      <c r="B60" s="574" t="s">
        <v>258</v>
      </c>
      <c r="C60" s="574" t="s">
        <v>259</v>
      </c>
      <c r="E60" s="1195"/>
      <c r="F60" s="1195"/>
      <c r="G60" s="1194"/>
      <c r="BF60" s="582" t="str">
        <f t="shared" si="4"/>
        <v/>
      </c>
      <c r="BI60" s="577">
        <v>0</v>
      </c>
    </row>
    <row r="61" spans="1:61" ht="0" hidden="1" customHeight="1">
      <c r="A61" s="574" t="s">
        <v>257</v>
      </c>
      <c r="B61" s="574" t="s">
        <v>258</v>
      </c>
      <c r="E61" s="1195"/>
      <c r="F61" s="1194"/>
      <c r="T61" s="326" t="s">
        <v>426</v>
      </c>
      <c r="BF61" s="582" t="str">
        <f t="shared" si="4"/>
        <v>Добавить централизованную систему для дифференциации</v>
      </c>
      <c r="BI61" s="577">
        <v>0</v>
      </c>
    </row>
    <row r="62" spans="1:61" ht="0" hidden="1" customHeight="1">
      <c r="A62" s="574" t="s">
        <v>257</v>
      </c>
      <c r="E62" s="1194"/>
      <c r="T62" s="326" t="s">
        <v>427</v>
      </c>
      <c r="BF62" s="582" t="str">
        <f t="shared" si="4"/>
        <v>Добавить территорию для дифференциации</v>
      </c>
      <c r="BI62" s="577">
        <v>0</v>
      </c>
    </row>
    <row r="63" spans="1:61" ht="0" hidden="1" customHeight="1">
      <c r="T63" s="326" t="s">
        <v>459</v>
      </c>
      <c r="BF63" s="582" t="str">
        <f t="shared" si="4"/>
        <v>Добавить наименование тарифа</v>
      </c>
      <c r="BI63" s="577">
        <v>0</v>
      </c>
    </row>
    <row r="64" spans="1:61" ht="11.45" customHeight="1">
      <c r="BI64" s="538">
        <v>11</v>
      </c>
    </row>
    <row r="65" spans="1:61" ht="19.899999999999999" customHeight="1">
      <c r="T65" s="1031"/>
      <c r="U65" s="1031"/>
      <c r="V65" s="1031"/>
      <c r="W65" s="1031"/>
      <c r="X65" s="1031"/>
      <c r="Y65" s="1031"/>
      <c r="Z65" s="1031"/>
      <c r="AA65" s="1031"/>
      <c r="AB65" s="1031"/>
      <c r="AC65" s="1031"/>
      <c r="AD65" s="1031"/>
      <c r="AE65" s="1031"/>
      <c r="AF65" s="1031"/>
      <c r="AG65" s="1031"/>
      <c r="AH65" s="1031"/>
      <c r="AI65" s="1031"/>
      <c r="AJ65" s="1031"/>
      <c r="AK65" s="1031"/>
      <c r="AL65" s="1031"/>
      <c r="AM65" s="1031"/>
      <c r="AN65" s="1031"/>
      <c r="AO65" s="1031"/>
      <c r="AP65" s="1031"/>
      <c r="AQ65" s="1031"/>
      <c r="AR65" s="1031"/>
      <c r="AS65" s="1031"/>
      <c r="AT65" s="1031"/>
      <c r="AU65" s="1031"/>
      <c r="AV65" s="1031"/>
      <c r="AW65" s="1031"/>
      <c r="AX65" s="1031"/>
      <c r="AY65" s="1031"/>
      <c r="AZ65" s="1031"/>
      <c r="BA65" s="1031"/>
      <c r="BB65" s="1031"/>
      <c r="BC65" s="1031"/>
      <c r="BI65" s="538">
        <v>19</v>
      </c>
    </row>
    <row r="66" spans="1:61" ht="14.65" customHeight="1">
      <c r="BI66" s="538">
        <v>14</v>
      </c>
    </row>
    <row r="67" spans="1:61" ht="19.899999999999999" customHeight="1">
      <c r="T67" s="1031"/>
      <c r="U67" s="1031"/>
      <c r="V67" s="1031"/>
      <c r="W67" s="1031"/>
      <c r="X67" s="1031"/>
      <c r="Y67" s="1031"/>
      <c r="Z67" s="1031"/>
      <c r="AA67" s="1031"/>
      <c r="AB67" s="1031"/>
      <c r="AC67" s="1031"/>
      <c r="AD67" s="1031"/>
      <c r="AE67" s="1031"/>
      <c r="AF67" s="1031"/>
      <c r="AG67" s="1031"/>
      <c r="AH67" s="1031"/>
      <c r="AI67" s="1031"/>
      <c r="AJ67" s="1031"/>
      <c r="AK67" s="1031"/>
      <c r="AL67" s="1031"/>
      <c r="AM67" s="1031"/>
      <c r="AN67" s="1031"/>
      <c r="AO67" s="1031"/>
      <c r="AP67" s="1031"/>
      <c r="AQ67" s="1031"/>
      <c r="AR67" s="1031"/>
      <c r="AS67" s="1031"/>
      <c r="AT67" s="1031"/>
      <c r="AU67" s="1031"/>
      <c r="AV67" s="1031"/>
      <c r="AW67" s="1031"/>
      <c r="AX67" s="1031"/>
      <c r="AY67" s="1031"/>
      <c r="AZ67" s="1031"/>
      <c r="BA67" s="1031"/>
      <c r="BB67" s="1031"/>
      <c r="BC67" s="1031"/>
      <c r="BI67" s="538">
        <v>19</v>
      </c>
    </row>
    <row r="68" spans="1:61" ht="14.65" customHeight="1">
      <c r="BI68" s="538">
        <v>14</v>
      </c>
    </row>
    <row r="69" spans="1:61" ht="14.25" hidden="1" customHeight="1">
      <c r="A69" s="555" t="s">
        <v>81</v>
      </c>
      <c r="B69" s="555">
        <v>0</v>
      </c>
      <c r="C69" s="555">
        <v>0</v>
      </c>
      <c r="D69" s="555">
        <v>0</v>
      </c>
      <c r="E69" s="555">
        <v>0</v>
      </c>
      <c r="F69" s="555">
        <v>0</v>
      </c>
      <c r="G69" s="555">
        <v>0</v>
      </c>
      <c r="H69" s="555">
        <v>0</v>
      </c>
      <c r="I69" s="555">
        <v>0</v>
      </c>
      <c r="J69" s="555">
        <v>0</v>
      </c>
      <c r="K69" s="555">
        <v>0</v>
      </c>
      <c r="L69" s="667">
        <v>0</v>
      </c>
      <c r="M69" s="12">
        <v>0</v>
      </c>
      <c r="N69" s="12">
        <v>0</v>
      </c>
      <c r="O69" s="12">
        <v>0</v>
      </c>
      <c r="P69" s="12">
        <v>0</v>
      </c>
      <c r="Q69" s="889">
        <v>0</v>
      </c>
      <c r="R69" s="821">
        <v>3</v>
      </c>
      <c r="S69" s="553">
        <v>12</v>
      </c>
      <c r="T69" s="538">
        <v>31</v>
      </c>
      <c r="U69" s="538">
        <v>0</v>
      </c>
      <c r="V69" s="538">
        <v>0</v>
      </c>
      <c r="W69" s="538">
        <v>0</v>
      </c>
      <c r="X69" s="538">
        <v>0</v>
      </c>
      <c r="Y69" s="538">
        <v>0</v>
      </c>
      <c r="Z69" s="538">
        <v>0</v>
      </c>
      <c r="AA69" s="538">
        <v>0</v>
      </c>
      <c r="AB69" s="538">
        <v>0</v>
      </c>
      <c r="AC69" s="538">
        <v>0</v>
      </c>
      <c r="AD69" s="538">
        <v>3</v>
      </c>
      <c r="AE69" s="538">
        <v>3</v>
      </c>
      <c r="AF69" s="538">
        <v>3</v>
      </c>
      <c r="AG69" s="538">
        <v>24</v>
      </c>
      <c r="AH69" s="538">
        <v>3</v>
      </c>
      <c r="AI69" s="538">
        <v>3</v>
      </c>
      <c r="AJ69" s="538">
        <v>3</v>
      </c>
      <c r="AK69" s="538">
        <v>24</v>
      </c>
      <c r="AL69" s="538">
        <v>3</v>
      </c>
      <c r="AM69" s="538">
        <v>3</v>
      </c>
      <c r="AN69" s="538">
        <v>3</v>
      </c>
      <c r="AO69" s="538">
        <v>18</v>
      </c>
      <c r="AP69" s="538">
        <v>3</v>
      </c>
      <c r="AQ69" s="538">
        <v>3</v>
      </c>
      <c r="AR69" s="538">
        <v>3</v>
      </c>
      <c r="AS69" s="538">
        <v>18</v>
      </c>
      <c r="AT69" s="538">
        <v>21</v>
      </c>
      <c r="AU69" s="538">
        <v>21</v>
      </c>
      <c r="AV69" s="538">
        <v>21</v>
      </c>
      <c r="AW69" s="538">
        <v>21</v>
      </c>
      <c r="AX69" s="538">
        <v>11</v>
      </c>
      <c r="AY69" s="538">
        <v>3</v>
      </c>
      <c r="AZ69" s="538">
        <v>11</v>
      </c>
      <c r="BA69" s="538">
        <v>0</v>
      </c>
      <c r="BB69" s="538">
        <v>4</v>
      </c>
      <c r="BC69" s="538">
        <v>115</v>
      </c>
      <c r="BD69" s="577">
        <v>10</v>
      </c>
      <c r="BE69" s="577">
        <v>10</v>
      </c>
      <c r="BF69" s="577">
        <v>10</v>
      </c>
      <c r="BG69" s="577">
        <v>10</v>
      </c>
      <c r="BH69" s="577">
        <v>10</v>
      </c>
      <c r="BI69" s="538">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4.140625" style="1029" hidden="1" customWidth="1"/>
    <col min="10" max="10" width="9.85546875" style="1029" hidden="1" customWidth="1"/>
    <col min="11" max="11" width="14.7109375" style="1029" hidden="1" customWidth="1"/>
    <col min="12" max="12" width="19.140625" style="1029" hidden="1" customWidth="1"/>
    <col min="13" max="14" width="12.28515625" style="1029" hidden="1" customWidth="1"/>
    <col min="15" max="15" width="23.42578125" style="1029" hidden="1" customWidth="1"/>
    <col min="16" max="18" width="3" style="1029" customWidth="1"/>
    <col min="19" max="19" width="12" style="1029" customWidth="1"/>
    <col min="20" max="20" width="35" style="1029" customWidth="1"/>
    <col min="21" max="21" width="0.140625" style="1029" customWidth="1"/>
    <col min="22" max="24" width="24.7109375" style="1029" hidden="1" customWidth="1"/>
    <col min="25" max="25" width="11.7109375" style="1029" hidden="1" customWidth="1"/>
    <col min="26" max="26" width="3.7109375" style="1029" hidden="1" customWidth="1"/>
    <col min="27" max="27" width="11.7109375" style="1029" hidden="1" customWidth="1"/>
    <col min="28" max="28" width="8.5703125" style="1029" hidden="1" customWidth="1"/>
    <col min="29" max="29" width="24.7109375" style="1029" customWidth="1"/>
    <col min="30" max="31" width="24" style="1029" customWidth="1"/>
    <col min="32" max="32" width="11" style="1029" customWidth="1"/>
    <col min="33" max="33" width="3.7109375" style="1029" customWidth="1"/>
    <col min="34" max="34" width="11" style="1029" customWidth="1"/>
    <col min="35" max="35" width="8.5703125" style="1029" hidden="1" customWidth="1"/>
    <col min="36" max="36" width="4" style="1029" customWidth="1"/>
    <col min="37" max="37" width="115" style="1029" customWidth="1"/>
    <col min="38" max="42" width="10" style="1029" customWidth="1"/>
    <col min="43" max="43" width="10.5703125" style="1029" hidden="1"/>
  </cols>
  <sheetData>
    <row r="1" spans="5:43" ht="22.5" hidden="1" customHeight="1">
      <c r="AQ1" s="538" t="s">
        <v>14</v>
      </c>
    </row>
    <row r="2" spans="5:43" ht="23.25" hidden="1" customHeight="1">
      <c r="E2" s="1194">
        <v>1</v>
      </c>
      <c r="R2" s="310"/>
      <c r="S2" s="832" t="e">
        <f>INDEX(PT_DIFFERENTIATION_NUM_NTAR,MATCH(A2,PT_DIFFERENTIATION_NTAR_ID,0))</f>
        <v>#N/A</v>
      </c>
      <c r="T2" s="795" t="s">
        <v>136</v>
      </c>
      <c r="U2" s="833"/>
      <c r="V2" s="1180"/>
      <c r="W2" s="1181"/>
      <c r="X2" s="1181"/>
      <c r="Y2" s="1181"/>
      <c r="Z2" s="1181"/>
      <c r="AA2" s="1181"/>
      <c r="AB2" s="1182"/>
      <c r="AC2" s="1180" t="e">
        <f>INDEX(PT_DIFFERENTIATION_NTAR,MATCH(A2,PT_DIFFERENTIATION_NTAR_ID,0))</f>
        <v>#N/A</v>
      </c>
      <c r="AD2" s="1181"/>
      <c r="AE2" s="1181"/>
      <c r="AF2" s="1181"/>
      <c r="AG2" s="1181"/>
      <c r="AH2" s="1181"/>
      <c r="AI2" s="1181"/>
      <c r="AJ2" s="1182"/>
      <c r="AK2"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2" s="582" t="str">
        <f t="shared" ref="AN2:AN13" si="0">IF(T2="","",T2)</f>
        <v>Наименование тарифа</v>
      </c>
      <c r="AQ2" s="538">
        <v>0</v>
      </c>
    </row>
    <row r="3" spans="5:43" ht="23.25" hidden="1" customHeight="1">
      <c r="E3" s="1195"/>
      <c r="F3" s="1194">
        <v>1</v>
      </c>
      <c r="Q3" s="836"/>
      <c r="R3" s="837"/>
      <c r="S3" s="832" t="e">
        <f>INDEX(PT_DIFFERENTIATION_NUM_TER,MATCH(B3,PT_DIFFERENTIATION_TER_ID,0))</f>
        <v>#N/A</v>
      </c>
      <c r="T3" s="838" t="s">
        <v>408</v>
      </c>
      <c r="U3" s="833"/>
      <c r="V3" s="1180"/>
      <c r="W3" s="1181"/>
      <c r="X3" s="1181"/>
      <c r="Y3" s="1181"/>
      <c r="Z3" s="1181"/>
      <c r="AA3" s="1181"/>
      <c r="AB3" s="1182"/>
      <c r="AC3" s="1180" t="e">
        <f>INDEX(PT_DIFFERENTIATION_TER,MATCH(B3,PT_DIFFERENTIATION_TER_ID,0))</f>
        <v>#N/A</v>
      </c>
      <c r="AD3" s="1181"/>
      <c r="AE3" s="1181"/>
      <c r="AF3" s="1181"/>
      <c r="AG3" s="1181"/>
      <c r="AH3" s="1181"/>
      <c r="AI3" s="1181"/>
      <c r="AJ3" s="1182"/>
      <c r="AK3" s="835" t="s">
        <v>409</v>
      </c>
      <c r="AN3" s="582" t="str">
        <f t="shared" si="0"/>
        <v>Территория действия тарифа</v>
      </c>
      <c r="AQ3" s="538">
        <v>0</v>
      </c>
    </row>
    <row r="4" spans="5:43" ht="23.25" hidden="1" customHeight="1">
      <c r="E4" s="1195"/>
      <c r="F4" s="1195"/>
      <c r="G4" s="1194">
        <v>1</v>
      </c>
      <c r="Q4" s="836"/>
      <c r="R4" s="837"/>
      <c r="S4" s="832" t="e">
        <f>INDEX(PT_DIFFERENTIATION_NUM_CS,MATCH(C4,PT_DIFFERENTIATION_CS_ID,0))</f>
        <v>#N/A</v>
      </c>
      <c r="T4" s="839" t="s">
        <v>527</v>
      </c>
      <c r="U4" s="833"/>
      <c r="V4" s="1180"/>
      <c r="W4" s="1181"/>
      <c r="X4" s="1181"/>
      <c r="Y4" s="1181"/>
      <c r="Z4" s="1181"/>
      <c r="AA4" s="1181"/>
      <c r="AB4" s="1182"/>
      <c r="AC4" s="1180" t="e">
        <f>INDEX(PT_DIFFERENTIATION_CS,MATCH(C4,PT_DIFFERENTIATION_CS_ID,0))</f>
        <v>#N/A</v>
      </c>
      <c r="AD4" s="1181"/>
      <c r="AE4" s="1181"/>
      <c r="AF4" s="1181"/>
      <c r="AG4" s="1181"/>
      <c r="AH4" s="1181"/>
      <c r="AI4" s="1181"/>
      <c r="AJ4" s="1182"/>
      <c r="AK4" s="835" t="s">
        <v>528</v>
      </c>
      <c r="AN4" s="582" t="str">
        <f t="shared" si="0"/>
        <v>Наименование централизованной системы водоотведения</v>
      </c>
      <c r="AQ4" s="538">
        <v>0</v>
      </c>
    </row>
    <row r="5" spans="5:43" ht="23.25" hidden="1" customHeight="1">
      <c r="E5" s="1195"/>
      <c r="F5" s="1195"/>
      <c r="G5" s="1195"/>
      <c r="H5" s="1195"/>
      <c r="I5" s="1192" t="e">
        <f>S4&amp;".1"</f>
        <v>#N/A</v>
      </c>
      <c r="P5" s="1193">
        <v>1</v>
      </c>
      <c r="R5" s="842"/>
      <c r="S5" s="832" t="e">
        <f>$I5</f>
        <v>#N/A</v>
      </c>
      <c r="T5" s="843" t="s">
        <v>494</v>
      </c>
      <c r="U5" s="833"/>
      <c r="V5" s="1260"/>
      <c r="W5" s="1261"/>
      <c r="X5" s="1261"/>
      <c r="Y5" s="1261"/>
      <c r="Z5" s="1261"/>
      <c r="AA5" s="1261"/>
      <c r="AB5" s="1262"/>
      <c r="AC5" s="1263"/>
      <c r="AD5" s="1264"/>
      <c r="AE5" s="1264"/>
      <c r="AF5" s="1264"/>
      <c r="AG5" s="1264"/>
      <c r="AH5" s="1264"/>
      <c r="AI5" s="1264"/>
      <c r="AJ5" s="1265"/>
      <c r="AK5" s="835" t="s">
        <v>495</v>
      </c>
      <c r="AN5" s="582" t="str">
        <f t="shared" si="0"/>
        <v>Наименование признака дифференциации</v>
      </c>
      <c r="AQ5" s="538">
        <v>0</v>
      </c>
    </row>
    <row r="6" spans="5:43" ht="23.25" hidden="1" customHeight="1">
      <c r="E6" s="1195"/>
      <c r="F6" s="1195"/>
      <c r="G6" s="1195"/>
      <c r="H6" s="1195"/>
      <c r="I6" s="1214"/>
      <c r="J6" s="1192" t="e">
        <f>I5&amp;".1"</f>
        <v>#N/A</v>
      </c>
      <c r="L6" s="841" t="s">
        <v>417</v>
      </c>
      <c r="P6" s="1031"/>
      <c r="Q6" s="1193">
        <v>1</v>
      </c>
      <c r="R6" s="844"/>
      <c r="S6" s="832" t="e">
        <f>$J6</f>
        <v>#N/A</v>
      </c>
      <c r="T6" s="845" t="s">
        <v>418</v>
      </c>
      <c r="U6" s="833"/>
      <c r="V6" s="1183"/>
      <c r="W6" s="1184"/>
      <c r="X6" s="1184"/>
      <c r="Y6" s="1184"/>
      <c r="Z6" s="1184"/>
      <c r="AA6" s="1184"/>
      <c r="AB6" s="1185"/>
      <c r="AC6" s="1183"/>
      <c r="AD6" s="1184"/>
      <c r="AE6" s="1184"/>
      <c r="AF6" s="1184"/>
      <c r="AG6" s="1184"/>
      <c r="AH6" s="1184"/>
      <c r="AI6" s="1184"/>
      <c r="AJ6" s="1185"/>
      <c r="AK6" s="874" t="s">
        <v>496</v>
      </c>
      <c r="AN6" s="582" t="str">
        <f t="shared" si="0"/>
        <v>Группа потребителей</v>
      </c>
      <c r="AQ6" s="538">
        <v>0</v>
      </c>
    </row>
    <row r="7" spans="5:43" ht="23.25" hidden="1" customHeight="1">
      <c r="E7" s="1195"/>
      <c r="F7" s="1195"/>
      <c r="G7" s="1195"/>
      <c r="H7" s="1195"/>
      <c r="I7" s="1214"/>
      <c r="J7" s="1214"/>
      <c r="K7" s="1192" t="e">
        <f>J6&amp;".1"</f>
        <v>#N/A</v>
      </c>
      <c r="P7" s="1031"/>
      <c r="Q7" s="1031"/>
      <c r="R7" s="844">
        <v>1</v>
      </c>
      <c r="S7" s="832" t="e">
        <f>$K7</f>
        <v>#N/A</v>
      </c>
      <c r="T7" s="397"/>
      <c r="U7" s="833"/>
      <c r="V7" s="311"/>
      <c r="W7" s="311"/>
      <c r="X7" s="313"/>
      <c r="Y7" s="1197"/>
      <c r="Z7" s="1058" t="s">
        <v>61</v>
      </c>
      <c r="AA7" s="1197"/>
      <c r="AB7" s="1058" t="s">
        <v>61</v>
      </c>
      <c r="AC7" s="311"/>
      <c r="AD7" s="311"/>
      <c r="AE7" s="313"/>
      <c r="AF7" s="1197"/>
      <c r="AG7" s="1058" t="s">
        <v>61</v>
      </c>
      <c r="AH7" s="1215"/>
      <c r="AI7" s="1058" t="s">
        <v>61</v>
      </c>
      <c r="AJ7" s="398"/>
      <c r="AK7" s="1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7" t="e">
        <f ca="1">STRCHECKDATE(V8:AJ8)</f>
        <v>#NAME?</v>
      </c>
      <c r="AN7" s="582" t="str">
        <f t="shared" si="0"/>
        <v/>
      </c>
      <c r="AQ7" s="538">
        <v>0</v>
      </c>
    </row>
    <row r="8" spans="5:43" ht="14.25" hidden="1" customHeight="1">
      <c r="E8" s="1195"/>
      <c r="F8" s="1195"/>
      <c r="G8" s="1195"/>
      <c r="H8" s="1195"/>
      <c r="I8" s="1214"/>
      <c r="J8" s="1214"/>
      <c r="K8" s="1192"/>
      <c r="P8" s="1031"/>
      <c r="Q8" s="1031"/>
      <c r="R8" s="844"/>
      <c r="S8" s="127"/>
      <c r="T8" s="833"/>
      <c r="U8" s="833"/>
      <c r="V8" s="312"/>
      <c r="W8" s="312"/>
      <c r="X8" s="314" t="str">
        <f>Y7&amp;"-"&amp;AA7</f>
        <v>-</v>
      </c>
      <c r="Y8" s="1198"/>
      <c r="Z8" s="1058"/>
      <c r="AA8" s="1198"/>
      <c r="AB8" s="1058"/>
      <c r="AC8" s="312"/>
      <c r="AD8" s="312"/>
      <c r="AE8" s="314" t="str">
        <f>AF7&amp;"-"&amp;AH7</f>
        <v>-</v>
      </c>
      <c r="AF8" s="1198"/>
      <c r="AG8" s="1058"/>
      <c r="AH8" s="1216"/>
      <c r="AI8" s="1058"/>
      <c r="AJ8" s="387"/>
      <c r="AK8" s="1259"/>
      <c r="AN8" s="582" t="str">
        <f t="shared" si="0"/>
        <v/>
      </c>
      <c r="AQ8" s="538">
        <v>0</v>
      </c>
    </row>
    <row r="9" spans="5:43" ht="21" hidden="1" customHeight="1">
      <c r="E9" s="1195"/>
      <c r="F9" s="1195"/>
      <c r="G9" s="1195"/>
      <c r="H9" s="1195"/>
      <c r="I9" s="1214"/>
      <c r="J9" s="1192"/>
      <c r="P9" s="1031"/>
      <c r="Q9" s="1031"/>
      <c r="R9" s="842"/>
      <c r="S9" s="315"/>
      <c r="T9" s="318" t="s">
        <v>497</v>
      </c>
      <c r="U9" s="52"/>
      <c r="V9" s="52"/>
      <c r="W9" s="52"/>
      <c r="X9" s="52"/>
      <c r="Y9" s="52"/>
      <c r="Z9" s="52"/>
      <c r="AA9" s="52"/>
      <c r="AB9" s="52"/>
      <c r="AC9" s="52"/>
      <c r="AD9" s="52"/>
      <c r="AE9" s="52"/>
      <c r="AF9" s="52"/>
      <c r="AG9" s="52"/>
      <c r="AH9" s="52"/>
      <c r="AI9" s="52"/>
      <c r="AJ9" s="52"/>
      <c r="AK9" s="835" t="s">
        <v>498</v>
      </c>
      <c r="AN9" s="582" t="str">
        <f t="shared" si="0"/>
        <v>Добавить значение признака дифференциации</v>
      </c>
      <c r="AQ9" s="538">
        <v>0</v>
      </c>
    </row>
    <row r="10" spans="5:43" ht="21" hidden="1" customHeight="1">
      <c r="E10" s="1195"/>
      <c r="F10" s="1195"/>
      <c r="G10" s="1195"/>
      <c r="H10" s="1195"/>
      <c r="I10" s="1192"/>
      <c r="P10" s="1031"/>
      <c r="R10" s="842"/>
      <c r="S10" s="315"/>
      <c r="T10" s="321" t="s">
        <v>423</v>
      </c>
      <c r="U10" s="52"/>
      <c r="V10" s="52"/>
      <c r="W10" s="52"/>
      <c r="X10" s="52"/>
      <c r="Y10" s="52"/>
      <c r="Z10" s="52"/>
      <c r="AA10" s="52"/>
      <c r="AB10" s="319"/>
      <c r="AC10" s="52"/>
      <c r="AD10" s="52"/>
      <c r="AE10" s="52"/>
      <c r="AF10" s="52"/>
      <c r="AG10" s="52"/>
      <c r="AH10" s="52"/>
      <c r="AI10" s="319"/>
      <c r="AJ10" s="52"/>
      <c r="AK10" s="399"/>
      <c r="AN10" s="582" t="str">
        <f t="shared" si="0"/>
        <v>Добавить группу потребителей</v>
      </c>
      <c r="AQ10" s="538">
        <v>0</v>
      </c>
    </row>
    <row r="11" spans="5:43" ht="21" hidden="1" customHeight="1">
      <c r="E11" s="1195"/>
      <c r="F11" s="1195"/>
      <c r="G11" s="1195"/>
      <c r="H11" s="1194"/>
      <c r="R11" s="310"/>
      <c r="S11" s="315"/>
      <c r="T11" s="376" t="s">
        <v>499</v>
      </c>
      <c r="U11" s="52"/>
      <c r="V11" s="52"/>
      <c r="W11" s="52"/>
      <c r="X11" s="52"/>
      <c r="Y11" s="52"/>
      <c r="Z11" s="52"/>
      <c r="AA11" s="52"/>
      <c r="AB11" s="319"/>
      <c r="AC11" s="52"/>
      <c r="AD11" s="52"/>
      <c r="AE11" s="52"/>
      <c r="AF11" s="52"/>
      <c r="AG11" s="52"/>
      <c r="AH11" s="52"/>
      <c r="AI11" s="319"/>
      <c r="AJ11" s="52"/>
      <c r="AK11" s="320"/>
      <c r="AN11" s="582" t="str">
        <f t="shared" si="0"/>
        <v>Добавить наименование признака дифференциации</v>
      </c>
      <c r="AQ11" s="538">
        <v>0</v>
      </c>
    </row>
    <row r="12" spans="5:43" ht="14.25" hidden="1" customHeight="1">
      <c r="E12" s="1195"/>
      <c r="F12" s="1194"/>
      <c r="T12" s="326" t="s">
        <v>426</v>
      </c>
      <c r="AN12" s="582" t="str">
        <f t="shared" si="0"/>
        <v>Добавить централизованную систему для дифференциации</v>
      </c>
      <c r="AQ12" s="577">
        <v>0</v>
      </c>
    </row>
    <row r="13" spans="5:43" ht="14.25" hidden="1" customHeight="1">
      <c r="E13" s="1194"/>
      <c r="T13" s="326" t="s">
        <v>427</v>
      </c>
      <c r="AN13" s="582" t="str">
        <f t="shared" si="0"/>
        <v>Добавить территорию для дифференциации</v>
      </c>
      <c r="AQ13" s="577">
        <v>0</v>
      </c>
    </row>
    <row r="14" spans="5:43" ht="14.25" hidden="1" customHeight="1">
      <c r="AQ14" s="538">
        <v>0</v>
      </c>
    </row>
    <row r="15" spans="5:43" ht="14.25" hidden="1" customHeight="1">
      <c r="AC15" s="275"/>
      <c r="AD15" s="275"/>
      <c r="AE15" s="327"/>
      <c r="AF15" s="1199"/>
      <c r="AG15" s="1200" t="s">
        <v>61</v>
      </c>
      <c r="AH15" s="1199"/>
      <c r="AI15" s="1200" t="s">
        <v>61</v>
      </c>
      <c r="AQ15" s="538">
        <v>0</v>
      </c>
    </row>
    <row r="16" spans="5:43" ht="14.25" hidden="1" customHeight="1">
      <c r="AC16" s="275"/>
      <c r="AD16" s="275"/>
      <c r="AE16" s="314" t="str">
        <f>AF15&amp;"-"&amp;AH15</f>
        <v>-</v>
      </c>
      <c r="AF16" s="1200"/>
      <c r="AG16" s="1200"/>
      <c r="AH16" s="1200"/>
      <c r="AI16" s="1200"/>
      <c r="AQ16" s="538">
        <v>0</v>
      </c>
    </row>
    <row r="17" spans="15:43" ht="14.25" hidden="1" customHeight="1">
      <c r="AQ17" s="538">
        <v>0</v>
      </c>
    </row>
    <row r="18" spans="15:43" ht="22.5" hidden="1" customHeight="1">
      <c r="O18" s="328" t="s">
        <v>428</v>
      </c>
      <c r="Y18" s="328"/>
      <c r="AA18" s="328"/>
      <c r="AF18" s="328"/>
      <c r="AH18" s="328"/>
      <c r="AQ18" s="555">
        <v>0</v>
      </c>
    </row>
    <row r="19" spans="15:43" ht="14.25" hidden="1" customHeight="1">
      <c r="AQ19" s="555">
        <v>0</v>
      </c>
    </row>
    <row r="20" spans="15:43" ht="12" hidden="1" customHeight="1">
      <c r="O20" s="841" t="s">
        <v>429</v>
      </c>
      <c r="T20" s="555" t="s">
        <v>430</v>
      </c>
      <c r="Z20" s="598" t="s">
        <v>431</v>
      </c>
      <c r="AB20" s="598" t="s">
        <v>432</v>
      </c>
      <c r="AC20" s="555" t="s">
        <v>430</v>
      </c>
      <c r="AG20" s="598" t="s">
        <v>433</v>
      </c>
      <c r="AI20" s="598" t="s">
        <v>432</v>
      </c>
      <c r="AQ20" s="555">
        <v>0</v>
      </c>
    </row>
    <row r="21" spans="15:43" ht="14.25" hidden="1" customHeight="1">
      <c r="AQ21" s="538">
        <v>0</v>
      </c>
    </row>
    <row r="22" spans="15:43" ht="14.25" hidden="1" customHeight="1">
      <c r="AQ22" s="538">
        <v>0</v>
      </c>
    </row>
    <row r="23" spans="15:43" ht="14.65" customHeight="1">
      <c r="Q23" s="756"/>
      <c r="R23" s="756"/>
      <c r="S23" s="847"/>
      <c r="T23" s="556"/>
      <c r="U23" s="556"/>
      <c r="AQ23" s="538">
        <v>14</v>
      </c>
    </row>
    <row r="24" spans="15:43" ht="14.65" customHeight="1">
      <c r="Q24" s="756"/>
      <c r="R24" s="756"/>
      <c r="S24" s="117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178"/>
      <c r="U24" s="1178"/>
      <c r="V24" s="1178"/>
      <c r="W24" s="1178"/>
      <c r="X24" s="1178"/>
      <c r="Y24" s="1178"/>
      <c r="Z24" s="1178"/>
      <c r="AA24" s="1178"/>
      <c r="AB24" s="1178"/>
      <c r="AC24" s="1178"/>
      <c r="AD24" s="1178"/>
      <c r="AE24" s="1178"/>
      <c r="AF24" s="1178"/>
      <c r="AG24" s="1178"/>
      <c r="AH24" s="1178"/>
      <c r="AQ24" s="538">
        <v>14</v>
      </c>
    </row>
    <row r="25" spans="15:43" ht="14.65" customHeight="1">
      <c r="Q25" s="756"/>
      <c r="R25" s="756"/>
      <c r="S25" s="1127" t="str">
        <f>IF(org=0,"Не определено",org)</f>
        <v>АО "НИЖЕГОРОДСКИЙ ВОДОКАНАЛ"</v>
      </c>
      <c r="T25" s="1127"/>
      <c r="U25" s="1127"/>
      <c r="V25" s="1127"/>
      <c r="W25" s="1127"/>
      <c r="X25" s="1127"/>
      <c r="Y25" s="1127"/>
      <c r="Z25" s="1127"/>
      <c r="AA25" s="1127"/>
      <c r="AB25" s="1127"/>
      <c r="AC25" s="1127"/>
      <c r="AD25" s="1127"/>
      <c r="AE25" s="1127"/>
      <c r="AF25" s="1127"/>
      <c r="AG25" s="1127"/>
      <c r="AH25" s="1127"/>
      <c r="AQ25" s="538">
        <v>14</v>
      </c>
    </row>
    <row r="26" spans="15:43" ht="14.25" hidden="1" customHeight="1">
      <c r="Q26" s="756"/>
      <c r="R26" s="756"/>
      <c r="S26" s="847"/>
      <c r="T26" s="556"/>
      <c r="U26" s="556"/>
      <c r="V26" s="826"/>
      <c r="W26" s="826"/>
      <c r="X26" s="826"/>
      <c r="Y26" s="826"/>
      <c r="Z26" s="826"/>
      <c r="AA26" s="826"/>
      <c r="AB26" s="826"/>
      <c r="AC26" s="826"/>
      <c r="AD26" s="826"/>
      <c r="AE26" s="826"/>
      <c r="AF26" s="826"/>
      <c r="AG26" s="826"/>
      <c r="AH26" s="826"/>
      <c r="AI26" s="826"/>
      <c r="AQ26" s="538">
        <v>0</v>
      </c>
    </row>
    <row r="27" spans="15:43" ht="25.5" hidden="1" customHeight="1">
      <c r="S27" s="1186" t="s">
        <v>41</v>
      </c>
      <c r="T27" s="1186"/>
      <c r="U27" s="849"/>
      <c r="V27" s="1187" t="str">
        <f>IF(TITLE_NAME_OR_PR_CHANGE="",IF(TITLE_NAME_OR_PR="","",TITLE_NAME_OR_PR),TITLE_NAME_OR_PR_CHANGE)</f>
        <v/>
      </c>
      <c r="W27" s="1187"/>
      <c r="X27" s="1187"/>
      <c r="Y27" s="1187"/>
      <c r="Z27" s="1187"/>
      <c r="AA27" s="1187"/>
      <c r="AC27" s="1187" t="str">
        <f>IF(TITLE_NAME_OR_PR_CHANGE="",IF(TITLE_NAME_OR_PR="","",TITLE_NAME_OR_PR),TITLE_NAME_OR_PR_CHANGE)</f>
        <v/>
      </c>
      <c r="AD27" s="1187"/>
      <c r="AE27" s="1187"/>
      <c r="AF27" s="1187"/>
      <c r="AG27" s="1187"/>
      <c r="AH27" s="1187"/>
      <c r="AQ27" s="592">
        <v>0</v>
      </c>
    </row>
    <row r="28" spans="15:43" ht="18.75" hidden="1" customHeight="1">
      <c r="S28" s="1186" t="s">
        <v>434</v>
      </c>
      <c r="T28" s="1186"/>
      <c r="U28" s="849"/>
      <c r="V28" s="1196" t="str">
        <f>IF(TITLE_DATE_PR_CHANGE="",IF(TITLE_DATE_PR="","",TITLE_DATE_PR),TITLE_DATE_PR_CHANGE)</f>
        <v/>
      </c>
      <c r="W28" s="1196"/>
      <c r="X28" s="1196"/>
      <c r="Y28" s="1196"/>
      <c r="Z28" s="1196"/>
      <c r="AA28" s="1196"/>
      <c r="AC28" s="1196" t="str">
        <f>IF(TITLE_DATE_PR_CHANGE="",IF(TITLE_DATE_PR="","",TITLE_DATE_PR),TITLE_DATE_PR_CHANGE)</f>
        <v/>
      </c>
      <c r="AD28" s="1196"/>
      <c r="AE28" s="1196"/>
      <c r="AF28" s="1196"/>
      <c r="AG28" s="1196"/>
      <c r="AH28" s="1196"/>
      <c r="AQ28" s="592">
        <v>0</v>
      </c>
    </row>
    <row r="29" spans="15:43" ht="18.75" hidden="1" customHeight="1">
      <c r="S29" s="1186" t="s">
        <v>435</v>
      </c>
      <c r="T29" s="1186"/>
      <c r="U29" s="849"/>
      <c r="V29" s="1187" t="str">
        <f>IF(TITLE_NUMBER_PR_CHANGE="",IF(TITLE_NUMBER_PR="","",TITLE_NUMBER_PR),TITLE_NUMBER_PR_CHANGE)</f>
        <v/>
      </c>
      <c r="W29" s="1187"/>
      <c r="X29" s="1187"/>
      <c r="Y29" s="1187"/>
      <c r="Z29" s="1187"/>
      <c r="AA29" s="1187"/>
      <c r="AC29" s="1187" t="str">
        <f>IF(TITLE_NUMBER_PR_CHANGE="",IF(TITLE_NUMBER_PR="","",TITLE_NUMBER_PR),TITLE_NUMBER_PR_CHANGE)</f>
        <v/>
      </c>
      <c r="AD29" s="1187"/>
      <c r="AE29" s="1187"/>
      <c r="AF29" s="1187"/>
      <c r="AG29" s="1187"/>
      <c r="AH29" s="1187"/>
      <c r="AQ29" s="592">
        <v>0</v>
      </c>
    </row>
    <row r="30" spans="15:43" ht="18.75" hidden="1" customHeight="1">
      <c r="S30" s="1186" t="s">
        <v>42</v>
      </c>
      <c r="T30" s="1186"/>
      <c r="U30" s="849"/>
      <c r="V30" s="1187" t="str">
        <f>IF(TITLE_IST_PUB_CHANGE="",IF(TITLE_IST_PUB="","",TITLE_IST_PUB),TITLE_IST_PUB_CHANGE)</f>
        <v/>
      </c>
      <c r="W30" s="1187"/>
      <c r="X30" s="1187"/>
      <c r="Y30" s="1187"/>
      <c r="Z30" s="1187"/>
      <c r="AA30" s="1187"/>
      <c r="AC30" s="1187" t="str">
        <f>IF(TITLE_IST_PUB_CHANGE="",IF(TITLE_IST_PUB="","",TITLE_IST_PUB),TITLE_IST_PUB_CHANGE)</f>
        <v/>
      </c>
      <c r="AD30" s="1187"/>
      <c r="AE30" s="1187"/>
      <c r="AF30" s="1187"/>
      <c r="AG30" s="1187"/>
      <c r="AH30" s="1187"/>
      <c r="AQ30" s="592">
        <v>0</v>
      </c>
    </row>
    <row r="31" spans="15:43" ht="14.25" hidden="1" customHeight="1">
      <c r="Q31" s="756"/>
      <c r="R31" s="756"/>
      <c r="S31" s="847"/>
      <c r="T31" s="556"/>
      <c r="U31" s="556"/>
      <c r="V31" s="826"/>
      <c r="W31" s="826"/>
      <c r="X31" s="826"/>
      <c r="Y31" s="826"/>
      <c r="Z31" s="826"/>
      <c r="AA31" s="826"/>
      <c r="AB31" s="826"/>
      <c r="AC31" s="826"/>
      <c r="AD31" s="826"/>
      <c r="AE31" s="826"/>
      <c r="AF31" s="826"/>
      <c r="AG31" s="826"/>
      <c r="AH31" s="826"/>
      <c r="AI31" s="826"/>
      <c r="AQ31" s="538">
        <v>0</v>
      </c>
    </row>
    <row r="32" spans="15:43" ht="18.75" hidden="1" customHeight="1">
      <c r="S32" s="1186" t="s">
        <v>436</v>
      </c>
      <c r="T32" s="1186"/>
      <c r="U32" s="849"/>
      <c r="V32" s="1196" t="str">
        <f>IF(TITLE_DATE_PR_CHANGE="",IF(TITLE_DATE_PR="","",TITLE_DATE_PR),TITLE_DATE_PR_CHANGE)</f>
        <v/>
      </c>
      <c r="W32" s="1196"/>
      <c r="X32" s="1196"/>
      <c r="Y32" s="1196"/>
      <c r="Z32" s="1196"/>
      <c r="AA32" s="1196"/>
      <c r="AC32" s="1196" t="str">
        <f>IF(TITLE_DATE_PR_CHANGE="",IF(TITLE_DATE_PR="","",TITLE_DATE_PR),TITLE_DATE_PR_CHANGE)</f>
        <v/>
      </c>
      <c r="AD32" s="1196"/>
      <c r="AE32" s="1196"/>
      <c r="AF32" s="1196"/>
      <c r="AG32" s="1196"/>
      <c r="AH32" s="1196"/>
      <c r="AQ32" s="592">
        <v>0</v>
      </c>
    </row>
    <row r="33" spans="1:43" ht="18.75" hidden="1" customHeight="1">
      <c r="S33" s="1186" t="s">
        <v>437</v>
      </c>
      <c r="T33" s="1186"/>
      <c r="U33" s="849"/>
      <c r="V33" s="1187" t="str">
        <f>IF(TITLE_NUMBER_PR_CHANGE="",IF(TITLE_NUMBER_PR="","",TITLE_NUMBER_PR),TITLE_NUMBER_PR_CHANGE)</f>
        <v/>
      </c>
      <c r="W33" s="1187"/>
      <c r="X33" s="1187"/>
      <c r="Y33" s="1187"/>
      <c r="Z33" s="1187"/>
      <c r="AA33" s="1187"/>
      <c r="AC33" s="1187" t="str">
        <f>IF(TITLE_NUMBER_PR_CHANGE="",IF(TITLE_NUMBER_PR="","",TITLE_NUMBER_PR),TITLE_NUMBER_PR_CHANGE)</f>
        <v/>
      </c>
      <c r="AD33" s="1187"/>
      <c r="AE33" s="1187"/>
      <c r="AF33" s="1187"/>
      <c r="AG33" s="1187"/>
      <c r="AH33" s="1187"/>
      <c r="AQ33" s="592">
        <v>0</v>
      </c>
    </row>
    <row r="34" spans="1:43" ht="1.1499999999999999" customHeight="1">
      <c r="AB34" s="577" t="s">
        <v>438</v>
      </c>
      <c r="AI34" s="577" t="s">
        <v>438</v>
      </c>
      <c r="AQ34" s="592">
        <v>1</v>
      </c>
    </row>
    <row r="35" spans="1:43" ht="14.65" customHeight="1">
      <c r="Q35" s="756"/>
      <c r="R35" s="756"/>
      <c r="S35" s="847"/>
      <c r="T35" s="556"/>
      <c r="U35" s="850"/>
      <c r="V35" s="1188"/>
      <c r="W35" s="1188"/>
      <c r="X35" s="1188"/>
      <c r="Y35" s="1188"/>
      <c r="Z35" s="1188"/>
      <c r="AA35" s="1188"/>
      <c r="AB35" s="1188"/>
      <c r="AC35" s="1188"/>
      <c r="AD35" s="1188"/>
      <c r="AE35" s="1188"/>
      <c r="AF35" s="1188"/>
      <c r="AG35" s="1188"/>
      <c r="AH35" s="1188"/>
      <c r="AI35" s="1188"/>
      <c r="AQ35" s="538">
        <v>14</v>
      </c>
    </row>
    <row r="36" spans="1:43" ht="14.65" customHeight="1">
      <c r="Q36" s="756"/>
      <c r="R36" s="756"/>
      <c r="S36" s="1066" t="s">
        <v>311</v>
      </c>
      <c r="T36" s="1066"/>
      <c r="U36" s="1066"/>
      <c r="V36" s="1066"/>
      <c r="W36" s="1066"/>
      <c r="X36" s="1066"/>
      <c r="Y36" s="1066"/>
      <c r="Z36" s="1066"/>
      <c r="AA36" s="1066"/>
      <c r="AB36" s="1066"/>
      <c r="AC36" s="1066"/>
      <c r="AD36" s="1066"/>
      <c r="AE36" s="1066"/>
      <c r="AF36" s="1066"/>
      <c r="AG36" s="1066"/>
      <c r="AH36" s="1066"/>
      <c r="AI36" s="1066"/>
      <c r="AJ36" s="1066"/>
      <c r="AK36" s="1066" t="s">
        <v>312</v>
      </c>
      <c r="AQ36" s="538">
        <v>14</v>
      </c>
    </row>
    <row r="37" spans="1:43" ht="14.65" customHeight="1">
      <c r="Q37" s="756"/>
      <c r="R37" s="756"/>
      <c r="S37" s="1202" t="s">
        <v>87</v>
      </c>
      <c r="T37" s="1154" t="s">
        <v>439</v>
      </c>
      <c r="U37" s="817"/>
      <c r="V37" s="1203" t="s">
        <v>440</v>
      </c>
      <c r="W37" s="1204"/>
      <c r="X37" s="1204"/>
      <c r="Y37" s="1204"/>
      <c r="Z37" s="1204"/>
      <c r="AA37" s="1205"/>
      <c r="AB37" s="1206" t="s">
        <v>441</v>
      </c>
      <c r="AC37" s="1203" t="s">
        <v>440</v>
      </c>
      <c r="AD37" s="1204"/>
      <c r="AE37" s="1204"/>
      <c r="AF37" s="1204"/>
      <c r="AG37" s="1204"/>
      <c r="AH37" s="1205"/>
      <c r="AI37" s="1206" t="s">
        <v>442</v>
      </c>
      <c r="AJ37" s="1209" t="s">
        <v>443</v>
      </c>
      <c r="AK37" s="1066"/>
      <c r="AQ37" s="538">
        <v>14</v>
      </c>
    </row>
    <row r="38" spans="1:43" ht="35.65" customHeight="1">
      <c r="Q38" s="756"/>
      <c r="R38" s="756"/>
      <c r="S38" s="1202"/>
      <c r="T38" s="1154"/>
      <c r="U38" s="822"/>
      <c r="V38" s="617" t="s">
        <v>500</v>
      </c>
      <c r="W38" s="1048" t="s">
        <v>446</v>
      </c>
      <c r="X38" s="1047"/>
      <c r="Y38" s="1048" t="s">
        <v>447</v>
      </c>
      <c r="Z38" s="1053"/>
      <c r="AA38" s="1047"/>
      <c r="AB38" s="1207"/>
      <c r="AC38" s="617" t="s">
        <v>500</v>
      </c>
      <c r="AD38" s="1048" t="s">
        <v>446</v>
      </c>
      <c r="AE38" s="1047"/>
      <c r="AF38" s="1048" t="s">
        <v>447</v>
      </c>
      <c r="AG38" s="1053"/>
      <c r="AH38" s="1047"/>
      <c r="AI38" s="1207"/>
      <c r="AJ38" s="1210"/>
      <c r="AK38" s="1066"/>
      <c r="AQ38" s="538">
        <v>34</v>
      </c>
    </row>
    <row r="39" spans="1:43" ht="90.4" customHeight="1">
      <c r="B39" s="598" t="s">
        <v>148</v>
      </c>
      <c r="C39" s="598" t="s">
        <v>149</v>
      </c>
      <c r="D39" s="598" t="s">
        <v>150</v>
      </c>
      <c r="E39" s="841" t="s">
        <v>448</v>
      </c>
      <c r="F39" s="841" t="s">
        <v>449</v>
      </c>
      <c r="G39" s="841" t="s">
        <v>450</v>
      </c>
      <c r="I39" s="841" t="s">
        <v>501</v>
      </c>
      <c r="J39" s="841" t="s">
        <v>453</v>
      </c>
      <c r="K39" s="841" t="s">
        <v>502</v>
      </c>
      <c r="L39" s="841" t="s">
        <v>429</v>
      </c>
      <c r="Q39" s="756"/>
      <c r="R39" s="756"/>
      <c r="S39" s="1202"/>
      <c r="T39" s="1154"/>
      <c r="U39" s="852"/>
      <c r="V39" s="617" t="s">
        <v>529</v>
      </c>
      <c r="W39" s="602" t="s">
        <v>530</v>
      </c>
      <c r="X39" s="602" t="s">
        <v>505</v>
      </c>
      <c r="Y39" s="602" t="s">
        <v>457</v>
      </c>
      <c r="Z39" s="1162" t="s">
        <v>458</v>
      </c>
      <c r="AA39" s="1164"/>
      <c r="AB39" s="1208"/>
      <c r="AC39" s="617" t="s">
        <v>529</v>
      </c>
      <c r="AD39" s="602" t="s">
        <v>530</v>
      </c>
      <c r="AE39" s="602" t="s">
        <v>505</v>
      </c>
      <c r="AF39" s="602" t="s">
        <v>457</v>
      </c>
      <c r="AG39" s="1162" t="s">
        <v>458</v>
      </c>
      <c r="AH39" s="1164"/>
      <c r="AI39" s="1208"/>
      <c r="AJ39" s="1211"/>
      <c r="AK39" s="1066"/>
      <c r="AQ39" s="538">
        <v>86</v>
      </c>
    </row>
    <row r="40" spans="1:43" ht="11.25" hidden="1" customHeight="1">
      <c r="Q40" s="853"/>
      <c r="R40" s="854">
        <v>1</v>
      </c>
      <c r="S40" s="329" t="s">
        <v>114</v>
      </c>
      <c r="T40" s="330" t="s">
        <v>102</v>
      </c>
      <c r="U40" s="855" t="str">
        <f ca="1">OFFSET(U40,0,-1)</f>
        <v>2</v>
      </c>
      <c r="V40" s="856">
        <f ca="1">OFFSET(V40,0,-1)+1</f>
        <v>3</v>
      </c>
      <c r="W40" s="856">
        <f ca="1">OFFSET(W40,0,-1)+1</f>
        <v>4</v>
      </c>
      <c r="X40" s="856">
        <f ca="1">OFFSET(X40,0,-1)+1</f>
        <v>5</v>
      </c>
      <c r="Y40" s="856">
        <f ca="1">OFFSET(Y40,0,-1)+1</f>
        <v>6</v>
      </c>
      <c r="Z40" s="1201">
        <f ca="1">OFFSET(Z40,0,-1)+1</f>
        <v>7</v>
      </c>
      <c r="AA40" s="1201"/>
      <c r="AB40" s="856">
        <f ca="1">OFFSET(AB40,0,-2)+1</f>
        <v>8</v>
      </c>
      <c r="AC40" s="856">
        <f ca="1">OFFSET(AC40,0,-1)+1</f>
        <v>9</v>
      </c>
      <c r="AD40" s="856">
        <f ca="1">OFFSET(AD40,0,-1)+1</f>
        <v>10</v>
      </c>
      <c r="AE40" s="856">
        <f ca="1">OFFSET(AE40,0,-1)+1</f>
        <v>11</v>
      </c>
      <c r="AF40" s="856">
        <f ca="1">OFFSET(AF40,0,-1)+1</f>
        <v>12</v>
      </c>
      <c r="AG40" s="1201">
        <f ca="1">OFFSET(AG40,0,-1)+1</f>
        <v>13</v>
      </c>
      <c r="AH40" s="1201"/>
      <c r="AI40" s="856">
        <f ca="1">OFFSET(AI40,0,-2)+1</f>
        <v>14</v>
      </c>
      <c r="AJ40" s="855">
        <f ca="1">OFFSET(AJ40,0,-1)</f>
        <v>14</v>
      </c>
      <c r="AK40" s="856">
        <f ca="1">OFFSET(AK40,0,-1)+1</f>
        <v>15</v>
      </c>
      <c r="AQ40" s="681">
        <v>0</v>
      </c>
    </row>
    <row r="41" spans="1:43" ht="24" customHeight="1">
      <c r="A41" s="857" t="s">
        <v>277</v>
      </c>
      <c r="E41" s="1194">
        <v>1</v>
      </c>
      <c r="R41" s="310"/>
      <c r="S41" s="832">
        <f>INDEX(PT_DIFFERENTIATION_NUM_NTAR,MATCH(A41,PT_DIFFERENTIATION_NTAR_ID,0))</f>
        <v>0</v>
      </c>
      <c r="T41" s="795" t="s">
        <v>136</v>
      </c>
      <c r="U41" s="833"/>
      <c r="V41" s="1180"/>
      <c r="W41" s="1181"/>
      <c r="X41" s="1181"/>
      <c r="Y41" s="1181"/>
      <c r="Z41" s="1181"/>
      <c r="AA41" s="1181"/>
      <c r="AB41" s="1182"/>
      <c r="AC41" s="1180" t="str">
        <f>INDEX(PT_DIFFERENTIATION_NTAR,MATCH(A41,PT_DIFFERENTIATION_NTAR_ID,0))</f>
        <v/>
      </c>
      <c r="AD41" s="1181"/>
      <c r="AE41" s="1181"/>
      <c r="AF41" s="1181"/>
      <c r="AG41" s="1181"/>
      <c r="AH41" s="1181"/>
      <c r="AI41" s="1181"/>
      <c r="AJ41" s="1182"/>
      <c r="AK41"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41" s="582" t="str">
        <f t="shared" ref="AN41:AN53" si="1">IF(T41="","",T41)</f>
        <v>Наименование тарифа</v>
      </c>
      <c r="AQ41" s="538">
        <v>23</v>
      </c>
    </row>
    <row r="42" spans="1:43" ht="24" customHeight="1">
      <c r="A42" s="857" t="s">
        <v>277</v>
      </c>
      <c r="B42" s="857" t="s">
        <v>278</v>
      </c>
      <c r="E42" s="1195"/>
      <c r="F42" s="1194">
        <v>1</v>
      </c>
      <c r="Q42" s="836"/>
      <c r="R42" s="837"/>
      <c r="S42" s="832" t="str">
        <f>INDEX(PT_DIFFERENTIATION_NUM_TER,MATCH(B42,PT_DIFFERENTIATION_TER_ID,0))</f>
        <v>.</v>
      </c>
      <c r="T42" s="838" t="s">
        <v>408</v>
      </c>
      <c r="U42" s="833"/>
      <c r="V42" s="1180"/>
      <c r="W42" s="1181"/>
      <c r="X42" s="1181"/>
      <c r="Y42" s="1181"/>
      <c r="Z42" s="1181"/>
      <c r="AA42" s="1181"/>
      <c r="AB42" s="1182"/>
      <c r="AC42" s="1180" t="str">
        <f>INDEX(PT_DIFFERENTIATION_TER,MATCH(B42,PT_DIFFERENTIATION_TER_ID,0))</f>
        <v/>
      </c>
      <c r="AD42" s="1181"/>
      <c r="AE42" s="1181"/>
      <c r="AF42" s="1181"/>
      <c r="AG42" s="1181"/>
      <c r="AH42" s="1181"/>
      <c r="AI42" s="1181"/>
      <c r="AJ42" s="1182"/>
      <c r="AK42" s="835" t="s">
        <v>409</v>
      </c>
      <c r="AN42" s="582" t="str">
        <f t="shared" si="1"/>
        <v>Территория действия тарифа</v>
      </c>
      <c r="AQ42" s="538">
        <v>23</v>
      </c>
    </row>
    <row r="43" spans="1:43" ht="24" customHeight="1">
      <c r="A43" s="857" t="s">
        <v>277</v>
      </c>
      <c r="B43" s="857" t="s">
        <v>278</v>
      </c>
      <c r="C43" s="857" t="s">
        <v>279</v>
      </c>
      <c r="E43" s="1195"/>
      <c r="F43" s="1195"/>
      <c r="G43" s="1194">
        <v>1</v>
      </c>
      <c r="Q43" s="836"/>
      <c r="R43" s="837"/>
      <c r="S43" s="832" t="str">
        <f>INDEX(PT_DIFFERENTIATION_NUM_CS,MATCH(C43,PT_DIFFERENTIATION_CS_ID,0))</f>
        <v>..</v>
      </c>
      <c r="T43" s="839" t="s">
        <v>527</v>
      </c>
      <c r="U43" s="833"/>
      <c r="V43" s="1180"/>
      <c r="W43" s="1181"/>
      <c r="X43" s="1181"/>
      <c r="Y43" s="1181"/>
      <c r="Z43" s="1181"/>
      <c r="AA43" s="1181"/>
      <c r="AB43" s="1182"/>
      <c r="AC43" s="1180" t="str">
        <f>INDEX(PT_DIFFERENTIATION_CS,MATCH(C43,PT_DIFFERENTIATION_CS_ID,0))</f>
        <v/>
      </c>
      <c r="AD43" s="1181"/>
      <c r="AE43" s="1181"/>
      <c r="AF43" s="1181"/>
      <c r="AG43" s="1181"/>
      <c r="AH43" s="1181"/>
      <c r="AI43" s="1181"/>
      <c r="AJ43" s="1182"/>
      <c r="AK43" s="835" t="s">
        <v>528</v>
      </c>
      <c r="AN43" s="582" t="str">
        <f t="shared" si="1"/>
        <v>Наименование централизованной системы водоотведения</v>
      </c>
      <c r="AQ43" s="538">
        <v>23</v>
      </c>
    </row>
    <row r="44" spans="1:43" ht="24" customHeight="1">
      <c r="A44" s="857" t="s">
        <v>277</v>
      </c>
      <c r="B44" s="857" t="s">
        <v>278</v>
      </c>
      <c r="C44" s="857" t="s">
        <v>279</v>
      </c>
      <c r="D44" s="857" t="s">
        <v>531</v>
      </c>
      <c r="E44" s="1195"/>
      <c r="F44" s="1195"/>
      <c r="G44" s="1195"/>
      <c r="H44" s="1195"/>
      <c r="I44" s="1192" t="str">
        <f>S43&amp;".1"</f>
        <v>...1</v>
      </c>
      <c r="P44" s="1193">
        <v>1</v>
      </c>
      <c r="R44" s="842"/>
      <c r="S44" s="832" t="str">
        <f>$I44</f>
        <v>...1</v>
      </c>
      <c r="T44" s="843" t="s">
        <v>494</v>
      </c>
      <c r="U44" s="833"/>
      <c r="V44" s="1260"/>
      <c r="W44" s="1261"/>
      <c r="X44" s="1261"/>
      <c r="Y44" s="1261"/>
      <c r="Z44" s="1261"/>
      <c r="AA44" s="1261"/>
      <c r="AB44" s="1262"/>
      <c r="AC44" s="1263"/>
      <c r="AD44" s="1264"/>
      <c r="AE44" s="1264"/>
      <c r="AF44" s="1264"/>
      <c r="AG44" s="1264"/>
      <c r="AH44" s="1264"/>
      <c r="AI44" s="1264"/>
      <c r="AJ44" s="1265"/>
      <c r="AK44" s="835" t="s">
        <v>495</v>
      </c>
      <c r="AN44" s="582" t="str">
        <f t="shared" si="1"/>
        <v>Наименование признака дифференциации</v>
      </c>
      <c r="AQ44" s="538">
        <v>23</v>
      </c>
    </row>
    <row r="45" spans="1:43" ht="24" customHeight="1">
      <c r="A45" s="857" t="s">
        <v>277</v>
      </c>
      <c r="B45" s="857" t="s">
        <v>278</v>
      </c>
      <c r="C45" s="857" t="s">
        <v>279</v>
      </c>
      <c r="D45" s="857" t="s">
        <v>531</v>
      </c>
      <c r="E45" s="1195"/>
      <c r="F45" s="1195"/>
      <c r="G45" s="1195"/>
      <c r="H45" s="1195"/>
      <c r="I45" s="1214"/>
      <c r="J45" s="1192" t="str">
        <f>I44&amp;".1"</f>
        <v>...1.1</v>
      </c>
      <c r="L45" s="841" t="s">
        <v>417</v>
      </c>
      <c r="P45" s="1031"/>
      <c r="Q45" s="1193">
        <v>1</v>
      </c>
      <c r="R45" s="844"/>
      <c r="S45" s="832" t="str">
        <f>$J45</f>
        <v>...1.1</v>
      </c>
      <c r="T45" s="845" t="s">
        <v>418</v>
      </c>
      <c r="U45" s="833"/>
      <c r="V45" s="1183"/>
      <c r="W45" s="1184"/>
      <c r="X45" s="1184"/>
      <c r="Y45" s="1184"/>
      <c r="Z45" s="1184"/>
      <c r="AA45" s="1184"/>
      <c r="AB45" s="1185"/>
      <c r="AC45" s="1183"/>
      <c r="AD45" s="1184"/>
      <c r="AE45" s="1184"/>
      <c r="AF45" s="1184"/>
      <c r="AG45" s="1184"/>
      <c r="AH45" s="1184"/>
      <c r="AI45" s="1184"/>
      <c r="AJ45" s="1185"/>
      <c r="AK45" s="874" t="s">
        <v>496</v>
      </c>
      <c r="AN45" s="582" t="str">
        <f t="shared" si="1"/>
        <v>Группа потребителей</v>
      </c>
      <c r="AQ45" s="538">
        <v>23</v>
      </c>
    </row>
    <row r="46" spans="1:43" ht="24" customHeight="1">
      <c r="A46" s="857" t="s">
        <v>277</v>
      </c>
      <c r="B46" s="857" t="s">
        <v>278</v>
      </c>
      <c r="C46" s="857" t="s">
        <v>279</v>
      </c>
      <c r="D46" s="857" t="s">
        <v>531</v>
      </c>
      <c r="E46" s="1195"/>
      <c r="F46" s="1195"/>
      <c r="G46" s="1195"/>
      <c r="H46" s="1195"/>
      <c r="I46" s="1214"/>
      <c r="J46" s="1214"/>
      <c r="K46" s="1192" t="str">
        <f>J45&amp;".1"</f>
        <v>...1.1.1</v>
      </c>
      <c r="P46" s="1031"/>
      <c r="Q46" s="1031"/>
      <c r="R46" s="844">
        <v>1</v>
      </c>
      <c r="S46" s="832" t="str">
        <f>$K46</f>
        <v>...1.1.1</v>
      </c>
      <c r="T46" s="397"/>
      <c r="U46" s="833"/>
      <c r="V46" s="275"/>
      <c r="W46" s="275"/>
      <c r="X46" s="327"/>
      <c r="Y46" s="1199"/>
      <c r="Z46" s="1200" t="s">
        <v>61</v>
      </c>
      <c r="AA46" s="1199"/>
      <c r="AB46" s="1200" t="s">
        <v>61</v>
      </c>
      <c r="AC46" s="311"/>
      <c r="AD46" s="311"/>
      <c r="AE46" s="313"/>
      <c r="AF46" s="1197"/>
      <c r="AG46" s="1058" t="s">
        <v>61</v>
      </c>
      <c r="AH46" s="1215"/>
      <c r="AI46" s="1058" t="s">
        <v>19</v>
      </c>
      <c r="AJ46" s="398"/>
      <c r="AK46" s="1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7" t="e">
        <f ca="1">STRCHECKDATE(V47:AJ47)</f>
        <v>#NAME?</v>
      </c>
      <c r="AN46" s="582" t="str">
        <f t="shared" si="1"/>
        <v/>
      </c>
      <c r="AQ46" s="538">
        <v>23</v>
      </c>
    </row>
    <row r="47" spans="1:43" ht="0" hidden="1" customHeight="1">
      <c r="A47" s="857" t="s">
        <v>277</v>
      </c>
      <c r="B47" s="857" t="s">
        <v>278</v>
      </c>
      <c r="C47" s="857" t="s">
        <v>279</v>
      </c>
      <c r="D47" s="857" t="s">
        <v>531</v>
      </c>
      <c r="E47" s="1195"/>
      <c r="F47" s="1195"/>
      <c r="G47" s="1195"/>
      <c r="H47" s="1195"/>
      <c r="I47" s="1214"/>
      <c r="J47" s="1214"/>
      <c r="K47" s="1192"/>
      <c r="P47" s="1031"/>
      <c r="Q47" s="1031"/>
      <c r="R47" s="844"/>
      <c r="S47" s="127"/>
      <c r="T47" s="833"/>
      <c r="U47" s="833"/>
      <c r="V47" s="275"/>
      <c r="W47" s="275"/>
      <c r="X47" s="314" t="str">
        <f>Y46&amp;"-"&amp;AA46</f>
        <v>-</v>
      </c>
      <c r="Y47" s="1200"/>
      <c r="Z47" s="1200"/>
      <c r="AA47" s="1200"/>
      <c r="AB47" s="1200"/>
      <c r="AC47" s="312"/>
      <c r="AD47" s="312"/>
      <c r="AE47" s="314" t="str">
        <f>AF46&amp;"-"&amp;AH46</f>
        <v>-</v>
      </c>
      <c r="AF47" s="1198"/>
      <c r="AG47" s="1058"/>
      <c r="AH47" s="1216"/>
      <c r="AI47" s="1058"/>
      <c r="AJ47" s="387"/>
      <c r="AK47" s="1259"/>
      <c r="AN47" s="582" t="str">
        <f t="shared" si="1"/>
        <v/>
      </c>
      <c r="AQ47" s="538">
        <v>0</v>
      </c>
    </row>
    <row r="48" spans="1:43" ht="21" customHeight="1">
      <c r="A48" s="857" t="s">
        <v>277</v>
      </c>
      <c r="B48" s="857" t="s">
        <v>278</v>
      </c>
      <c r="C48" s="857" t="s">
        <v>279</v>
      </c>
      <c r="D48" s="857" t="s">
        <v>531</v>
      </c>
      <c r="E48" s="1195"/>
      <c r="F48" s="1195"/>
      <c r="G48" s="1195"/>
      <c r="H48" s="1195"/>
      <c r="I48" s="1214"/>
      <c r="J48" s="1192"/>
      <c r="P48" s="1031"/>
      <c r="Q48" s="1031"/>
      <c r="R48" s="842"/>
      <c r="S48" s="315"/>
      <c r="T48" s="318" t="s">
        <v>497</v>
      </c>
      <c r="U48" s="52"/>
      <c r="V48" s="52"/>
      <c r="W48" s="52"/>
      <c r="X48" s="52"/>
      <c r="Y48" s="52"/>
      <c r="Z48" s="52"/>
      <c r="AA48" s="52"/>
      <c r="AB48" s="52"/>
      <c r="AC48" s="52"/>
      <c r="AD48" s="52"/>
      <c r="AE48" s="52"/>
      <c r="AF48" s="52"/>
      <c r="AG48" s="52"/>
      <c r="AH48" s="52"/>
      <c r="AI48" s="52"/>
      <c r="AJ48" s="52"/>
      <c r="AK48" s="835" t="s">
        <v>498</v>
      </c>
      <c r="AN48" s="582" t="str">
        <f t="shared" si="1"/>
        <v>Добавить значение признака дифференциации</v>
      </c>
      <c r="AQ48" s="538">
        <v>20</v>
      </c>
    </row>
    <row r="49" spans="1:43" ht="21.95" customHeight="1">
      <c r="A49" s="857" t="s">
        <v>277</v>
      </c>
      <c r="B49" s="857" t="s">
        <v>278</v>
      </c>
      <c r="C49" s="857" t="s">
        <v>279</v>
      </c>
      <c r="D49" s="857" t="s">
        <v>531</v>
      </c>
      <c r="E49" s="1195"/>
      <c r="F49" s="1195"/>
      <c r="G49" s="1195"/>
      <c r="H49" s="1195"/>
      <c r="I49" s="1192"/>
      <c r="P49" s="1031"/>
      <c r="R49" s="842"/>
      <c r="S49" s="315"/>
      <c r="T49" s="321" t="s">
        <v>423</v>
      </c>
      <c r="U49" s="52"/>
      <c r="V49" s="52"/>
      <c r="W49" s="52"/>
      <c r="X49" s="52"/>
      <c r="Y49" s="52"/>
      <c r="Z49" s="52"/>
      <c r="AA49" s="52"/>
      <c r="AB49" s="319"/>
      <c r="AC49" s="52"/>
      <c r="AD49" s="52"/>
      <c r="AE49" s="52"/>
      <c r="AF49" s="52"/>
      <c r="AG49" s="52"/>
      <c r="AH49" s="52"/>
      <c r="AI49" s="319"/>
      <c r="AJ49" s="52"/>
      <c r="AK49" s="399"/>
      <c r="AN49" s="582" t="str">
        <f t="shared" si="1"/>
        <v>Добавить группу потребителей</v>
      </c>
      <c r="AQ49" s="538">
        <v>21</v>
      </c>
    </row>
    <row r="50" spans="1:43" ht="21.95" customHeight="1">
      <c r="A50" s="857" t="s">
        <v>277</v>
      </c>
      <c r="B50" s="857" t="s">
        <v>278</v>
      </c>
      <c r="C50" s="857" t="s">
        <v>279</v>
      </c>
      <c r="D50" s="857" t="s">
        <v>531</v>
      </c>
      <c r="E50" s="1195"/>
      <c r="F50" s="1195"/>
      <c r="G50" s="1195"/>
      <c r="H50" s="1194"/>
      <c r="R50" s="310"/>
      <c r="S50" s="315"/>
      <c r="T50" s="376" t="s">
        <v>499</v>
      </c>
      <c r="U50" s="52"/>
      <c r="V50" s="52"/>
      <c r="W50" s="52"/>
      <c r="X50" s="52"/>
      <c r="Y50" s="52"/>
      <c r="Z50" s="52"/>
      <c r="AA50" s="52"/>
      <c r="AB50" s="319"/>
      <c r="AC50" s="52"/>
      <c r="AD50" s="52"/>
      <c r="AE50" s="52"/>
      <c r="AF50" s="52"/>
      <c r="AG50" s="52"/>
      <c r="AH50" s="52"/>
      <c r="AI50" s="319"/>
      <c r="AJ50" s="52"/>
      <c r="AK50" s="320"/>
      <c r="AN50" s="582" t="str">
        <f t="shared" si="1"/>
        <v>Добавить наименование признака дифференциации</v>
      </c>
      <c r="AQ50" s="538">
        <v>21</v>
      </c>
    </row>
    <row r="51" spans="1:43" ht="0" hidden="1" customHeight="1">
      <c r="A51" s="574" t="s">
        <v>277</v>
      </c>
      <c r="B51" s="574" t="s">
        <v>278</v>
      </c>
      <c r="E51" s="1195"/>
      <c r="F51" s="1194"/>
      <c r="T51" s="326" t="s">
        <v>426</v>
      </c>
      <c r="AN51" s="582" t="str">
        <f t="shared" si="1"/>
        <v>Добавить централизованную систему для дифференциации</v>
      </c>
      <c r="AQ51" s="577">
        <v>0</v>
      </c>
    </row>
    <row r="52" spans="1:43" ht="0" hidden="1" customHeight="1">
      <c r="A52" s="574" t="s">
        <v>277</v>
      </c>
      <c r="E52" s="1194"/>
      <c r="T52" s="326" t="s">
        <v>427</v>
      </c>
      <c r="AN52" s="582" t="str">
        <f t="shared" si="1"/>
        <v>Добавить территорию для дифференциации</v>
      </c>
      <c r="AQ52" s="577">
        <v>0</v>
      </c>
    </row>
    <row r="53" spans="1:43" ht="0" hidden="1" customHeight="1">
      <c r="T53" s="326" t="s">
        <v>459</v>
      </c>
      <c r="AN53" s="582" t="str">
        <f t="shared" si="1"/>
        <v>Добавить наименование тарифа</v>
      </c>
      <c r="AQ53" s="577">
        <v>0</v>
      </c>
    </row>
    <row r="54" spans="1:43" ht="11.45" customHeight="1">
      <c r="AQ54" s="538">
        <v>11</v>
      </c>
    </row>
    <row r="55" spans="1:43" ht="14.65" customHeight="1">
      <c r="T55" s="1031"/>
      <c r="U55" s="1031"/>
      <c r="V55" s="1031"/>
      <c r="W55" s="1031"/>
      <c r="X55" s="1031"/>
      <c r="Y55" s="1031"/>
      <c r="Z55" s="1031"/>
      <c r="AA55" s="1031"/>
      <c r="AB55" s="1031"/>
      <c r="AC55" s="1031"/>
      <c r="AD55" s="1031"/>
      <c r="AE55" s="1031"/>
      <c r="AF55" s="1031"/>
      <c r="AG55" s="1031"/>
      <c r="AH55" s="1031"/>
      <c r="AI55" s="1031"/>
      <c r="AJ55" s="1031"/>
      <c r="AK55" s="1031"/>
      <c r="AQ55" s="538">
        <v>14</v>
      </c>
    </row>
    <row r="56" spans="1:43" ht="14.65" customHeight="1">
      <c r="AQ56" s="538">
        <v>14</v>
      </c>
    </row>
    <row r="57" spans="1:43" ht="14.65" customHeight="1">
      <c r="T57" s="1031"/>
      <c r="U57" s="1031"/>
      <c r="V57" s="1031"/>
      <c r="W57" s="1031"/>
      <c r="X57" s="1031"/>
      <c r="Y57" s="1031"/>
      <c r="Z57" s="1031"/>
      <c r="AA57" s="1031"/>
      <c r="AB57" s="1031"/>
      <c r="AC57" s="1031"/>
      <c r="AD57" s="1031"/>
      <c r="AE57" s="1031"/>
      <c r="AF57" s="1031"/>
      <c r="AG57" s="1031"/>
      <c r="AH57" s="1031"/>
      <c r="AI57" s="1031"/>
      <c r="AJ57" s="1031"/>
      <c r="AK57" s="1031"/>
      <c r="AQ57" s="538">
        <v>14</v>
      </c>
    </row>
    <row r="58" spans="1:43" ht="22.5" hidden="1" customHeight="1">
      <c r="A58" s="555" t="s">
        <v>81</v>
      </c>
      <c r="B58" s="555">
        <v>0</v>
      </c>
      <c r="C58" s="555">
        <v>0</v>
      </c>
      <c r="D58" s="555">
        <v>0</v>
      </c>
      <c r="E58" s="555">
        <v>0</v>
      </c>
      <c r="F58" s="555">
        <v>0</v>
      </c>
      <c r="G58" s="555">
        <v>0</v>
      </c>
      <c r="H58" s="555">
        <v>0</v>
      </c>
      <c r="I58" s="555">
        <v>0</v>
      </c>
      <c r="J58" s="555">
        <v>0</v>
      </c>
      <c r="K58" s="555">
        <v>0</v>
      </c>
      <c r="L58" s="667">
        <v>0</v>
      </c>
      <c r="M58" s="12">
        <v>0</v>
      </c>
      <c r="N58" s="12">
        <v>0</v>
      </c>
      <c r="O58" s="12">
        <v>0</v>
      </c>
      <c r="P58" s="300">
        <v>3</v>
      </c>
      <c r="Q58" s="821">
        <v>3</v>
      </c>
      <c r="R58" s="821">
        <v>3</v>
      </c>
      <c r="S58" s="553">
        <v>12</v>
      </c>
      <c r="T58" s="538">
        <v>35</v>
      </c>
      <c r="U58" s="538">
        <v>0</v>
      </c>
      <c r="V58" s="538">
        <v>0</v>
      </c>
      <c r="W58" s="538">
        <v>0</v>
      </c>
      <c r="X58" s="538">
        <v>0</v>
      </c>
      <c r="Y58" s="538">
        <v>0</v>
      </c>
      <c r="Z58" s="538">
        <v>0</v>
      </c>
      <c r="AA58" s="538">
        <v>0</v>
      </c>
      <c r="AB58" s="538">
        <v>0</v>
      </c>
      <c r="AC58" s="538">
        <v>24</v>
      </c>
      <c r="AD58" s="538">
        <v>24</v>
      </c>
      <c r="AE58" s="538">
        <v>24</v>
      </c>
      <c r="AF58" s="538">
        <v>11</v>
      </c>
      <c r="AG58" s="538">
        <v>3</v>
      </c>
      <c r="AH58" s="538">
        <v>11</v>
      </c>
      <c r="AI58" s="538">
        <v>0</v>
      </c>
      <c r="AJ58" s="538">
        <v>4</v>
      </c>
      <c r="AK58" s="538">
        <v>115</v>
      </c>
      <c r="AL58" s="577">
        <v>10</v>
      </c>
      <c r="AM58" s="577">
        <v>10</v>
      </c>
      <c r="AN58" s="577">
        <v>10</v>
      </c>
      <c r="AO58" s="577">
        <v>10</v>
      </c>
      <c r="AP58" s="577">
        <v>10</v>
      </c>
      <c r="AQ58" s="538">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4.140625" style="1029" hidden="1" customWidth="1"/>
    <col min="10" max="10" width="9.85546875" style="1029" hidden="1" customWidth="1"/>
    <col min="11" max="11" width="14.7109375" style="1029" hidden="1" customWidth="1"/>
    <col min="12" max="12" width="19.140625" style="1029" hidden="1" customWidth="1"/>
    <col min="13" max="14" width="12.28515625" style="1029" hidden="1" customWidth="1"/>
    <col min="15" max="15" width="23.42578125" style="1029" hidden="1" customWidth="1"/>
    <col min="16" max="18" width="3" style="1029" customWidth="1"/>
    <col min="19" max="19" width="12" style="1029" customWidth="1"/>
    <col min="20" max="20" width="35" style="1029" customWidth="1"/>
    <col min="21" max="21" width="0.140625" style="1029" customWidth="1"/>
    <col min="22" max="24" width="24.7109375" style="1029" hidden="1" customWidth="1"/>
    <col min="25" max="25" width="11.7109375" style="1029" hidden="1" customWidth="1"/>
    <col min="26" max="26" width="3.7109375" style="1029" hidden="1" customWidth="1"/>
    <col min="27" max="27" width="11.7109375" style="1029" hidden="1" customWidth="1"/>
    <col min="28" max="28" width="8.5703125" style="1029" hidden="1" customWidth="1"/>
    <col min="29" max="29" width="24.7109375" style="1029" customWidth="1"/>
    <col min="30" max="31" width="24" style="1029" customWidth="1"/>
    <col min="32" max="32" width="11" style="1029" customWidth="1"/>
    <col min="33" max="33" width="3.7109375" style="1029" customWidth="1"/>
    <col min="34" max="34" width="11" style="1029" customWidth="1"/>
    <col min="35" max="35" width="8.5703125" style="1029" hidden="1" customWidth="1"/>
    <col min="36" max="36" width="4" style="1029" customWidth="1"/>
    <col min="37" max="37" width="115" style="1029" customWidth="1"/>
    <col min="38" max="42" width="10" style="1029" customWidth="1"/>
    <col min="43" max="43" width="10.5703125" style="1029" hidden="1"/>
  </cols>
  <sheetData>
    <row r="1" spans="5:43" ht="22.5" hidden="1" customHeight="1">
      <c r="AQ1" s="538" t="s">
        <v>14</v>
      </c>
    </row>
    <row r="2" spans="5:43" ht="23.25" hidden="1" customHeight="1">
      <c r="E2" s="1194">
        <v>1</v>
      </c>
      <c r="R2" s="310"/>
      <c r="S2" s="832" t="e">
        <f>INDEX(PT_DIFFERENTIATION_NUM_NTAR,MATCH(A2,PT_DIFFERENTIATION_NTAR_ID,0))</f>
        <v>#N/A</v>
      </c>
      <c r="T2" s="795" t="s">
        <v>136</v>
      </c>
      <c r="U2" s="833"/>
      <c r="V2" s="1180"/>
      <c r="W2" s="1181"/>
      <c r="X2" s="1181"/>
      <c r="Y2" s="1181"/>
      <c r="Z2" s="1181"/>
      <c r="AA2" s="1181"/>
      <c r="AB2" s="1182"/>
      <c r="AC2" s="1180" t="e">
        <f>INDEX(PT_DIFFERENTIATION_NTAR,MATCH(A2,PT_DIFFERENTIATION_NTAR_ID,0))</f>
        <v>#N/A</v>
      </c>
      <c r="AD2" s="1181"/>
      <c r="AE2" s="1181"/>
      <c r="AF2" s="1181"/>
      <c r="AG2" s="1181"/>
      <c r="AH2" s="1181"/>
      <c r="AI2" s="1181"/>
      <c r="AJ2" s="1182"/>
      <c r="AK2"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2" s="582" t="str">
        <f t="shared" ref="AN2:AN13" si="0">IF(T2="","",T2)</f>
        <v>Наименование тарифа</v>
      </c>
      <c r="AQ2" s="538">
        <v>0</v>
      </c>
    </row>
    <row r="3" spans="5:43" ht="23.25" hidden="1" customHeight="1">
      <c r="E3" s="1195"/>
      <c r="F3" s="1194">
        <v>1</v>
      </c>
      <c r="Q3" s="836"/>
      <c r="R3" s="837"/>
      <c r="S3" s="832" t="e">
        <f>INDEX(PT_DIFFERENTIATION_NUM_TER,MATCH(B3,PT_DIFFERENTIATION_TER_ID,0))</f>
        <v>#N/A</v>
      </c>
      <c r="T3" s="838" t="s">
        <v>408</v>
      </c>
      <c r="U3" s="833"/>
      <c r="V3" s="1180"/>
      <c r="W3" s="1181"/>
      <c r="X3" s="1181"/>
      <c r="Y3" s="1181"/>
      <c r="Z3" s="1181"/>
      <c r="AA3" s="1181"/>
      <c r="AB3" s="1182"/>
      <c r="AC3" s="1180" t="e">
        <f>INDEX(PT_DIFFERENTIATION_TER,MATCH(B3,PT_DIFFERENTIATION_TER_ID,0))</f>
        <v>#N/A</v>
      </c>
      <c r="AD3" s="1181"/>
      <c r="AE3" s="1181"/>
      <c r="AF3" s="1181"/>
      <c r="AG3" s="1181"/>
      <c r="AH3" s="1181"/>
      <c r="AI3" s="1181"/>
      <c r="AJ3" s="1182"/>
      <c r="AK3" s="835" t="s">
        <v>409</v>
      </c>
      <c r="AN3" s="582" t="str">
        <f t="shared" si="0"/>
        <v>Территория действия тарифа</v>
      </c>
      <c r="AQ3" s="538">
        <v>0</v>
      </c>
    </row>
    <row r="4" spans="5:43" ht="23.25" hidden="1" customHeight="1">
      <c r="E4" s="1195"/>
      <c r="F4" s="1195"/>
      <c r="G4" s="1194">
        <v>1</v>
      </c>
      <c r="Q4" s="836"/>
      <c r="R4" s="837"/>
      <c r="S4" s="832" t="e">
        <f>INDEX(PT_DIFFERENTIATION_NUM_CS,MATCH(C4,PT_DIFFERENTIATION_CS_ID,0))</f>
        <v>#N/A</v>
      </c>
      <c r="T4" s="839" t="s">
        <v>527</v>
      </c>
      <c r="U4" s="833"/>
      <c r="V4" s="1180"/>
      <c r="W4" s="1181"/>
      <c r="X4" s="1181"/>
      <c r="Y4" s="1181"/>
      <c r="Z4" s="1181"/>
      <c r="AA4" s="1181"/>
      <c r="AB4" s="1182"/>
      <c r="AC4" s="1180" t="e">
        <f>INDEX(PT_DIFFERENTIATION_CS,MATCH(C4,PT_DIFFERENTIATION_CS_ID,0))</f>
        <v>#N/A</v>
      </c>
      <c r="AD4" s="1181"/>
      <c r="AE4" s="1181"/>
      <c r="AF4" s="1181"/>
      <c r="AG4" s="1181"/>
      <c r="AH4" s="1181"/>
      <c r="AI4" s="1181"/>
      <c r="AJ4" s="1182"/>
      <c r="AK4" s="835" t="s">
        <v>528</v>
      </c>
      <c r="AN4" s="582" t="str">
        <f t="shared" si="0"/>
        <v>Наименование централизованной системы водоотведения</v>
      </c>
      <c r="AQ4" s="538">
        <v>0</v>
      </c>
    </row>
    <row r="5" spans="5:43" ht="23.25" hidden="1" customHeight="1">
      <c r="E5" s="1195"/>
      <c r="F5" s="1195"/>
      <c r="G5" s="1195"/>
      <c r="H5" s="1195"/>
      <c r="I5" s="1192" t="e">
        <f>S4&amp;".1"</f>
        <v>#N/A</v>
      </c>
      <c r="P5" s="1193">
        <v>1</v>
      </c>
      <c r="R5" s="842"/>
      <c r="S5" s="832" t="e">
        <f>$I5</f>
        <v>#N/A</v>
      </c>
      <c r="T5" s="843" t="s">
        <v>494</v>
      </c>
      <c r="U5" s="833"/>
      <c r="V5" s="1260"/>
      <c r="W5" s="1261"/>
      <c r="X5" s="1261"/>
      <c r="Y5" s="1261"/>
      <c r="Z5" s="1261"/>
      <c r="AA5" s="1261"/>
      <c r="AB5" s="1262"/>
      <c r="AC5" s="1263"/>
      <c r="AD5" s="1264"/>
      <c r="AE5" s="1264"/>
      <c r="AF5" s="1264"/>
      <c r="AG5" s="1264"/>
      <c r="AH5" s="1264"/>
      <c r="AI5" s="1264"/>
      <c r="AJ5" s="1265"/>
      <c r="AK5" s="835" t="s">
        <v>495</v>
      </c>
      <c r="AN5" s="582" t="str">
        <f t="shared" si="0"/>
        <v>Наименование признака дифференциации</v>
      </c>
      <c r="AQ5" s="538">
        <v>0</v>
      </c>
    </row>
    <row r="6" spans="5:43" ht="23.25" hidden="1" customHeight="1">
      <c r="E6" s="1195"/>
      <c r="F6" s="1195"/>
      <c r="G6" s="1195"/>
      <c r="H6" s="1195"/>
      <c r="I6" s="1214"/>
      <c r="J6" s="1192" t="e">
        <f>I5&amp;".1"</f>
        <v>#N/A</v>
      </c>
      <c r="L6" s="841" t="s">
        <v>417</v>
      </c>
      <c r="P6" s="1031"/>
      <c r="Q6" s="1193">
        <v>1</v>
      </c>
      <c r="R6" s="844"/>
      <c r="S6" s="832" t="e">
        <f>$J6</f>
        <v>#N/A</v>
      </c>
      <c r="T6" s="845" t="s">
        <v>418</v>
      </c>
      <c r="U6" s="833"/>
      <c r="V6" s="1183"/>
      <c r="W6" s="1184"/>
      <c r="X6" s="1184"/>
      <c r="Y6" s="1184"/>
      <c r="Z6" s="1184"/>
      <c r="AA6" s="1184"/>
      <c r="AB6" s="1185"/>
      <c r="AC6" s="1183"/>
      <c r="AD6" s="1184"/>
      <c r="AE6" s="1184"/>
      <c r="AF6" s="1184"/>
      <c r="AG6" s="1184"/>
      <c r="AH6" s="1184"/>
      <c r="AI6" s="1184"/>
      <c r="AJ6" s="1185"/>
      <c r="AK6" s="874" t="s">
        <v>496</v>
      </c>
      <c r="AN6" s="582" t="str">
        <f t="shared" si="0"/>
        <v>Группа потребителей</v>
      </c>
      <c r="AQ6" s="538">
        <v>0</v>
      </c>
    </row>
    <row r="7" spans="5:43" ht="23.25" hidden="1" customHeight="1">
      <c r="E7" s="1195"/>
      <c r="F7" s="1195"/>
      <c r="G7" s="1195"/>
      <c r="H7" s="1195"/>
      <c r="I7" s="1214"/>
      <c r="J7" s="1214"/>
      <c r="K7" s="1192" t="e">
        <f>J6&amp;".1"</f>
        <v>#N/A</v>
      </c>
      <c r="P7" s="1031"/>
      <c r="Q7" s="1031"/>
      <c r="R7" s="844">
        <v>1</v>
      </c>
      <c r="S7" s="832" t="e">
        <f>$K7</f>
        <v>#N/A</v>
      </c>
      <c r="T7" s="397"/>
      <c r="U7" s="833"/>
      <c r="V7" s="311"/>
      <c r="W7" s="311"/>
      <c r="X7" s="313"/>
      <c r="Y7" s="1197"/>
      <c r="Z7" s="1058" t="s">
        <v>61</v>
      </c>
      <c r="AA7" s="1197"/>
      <c r="AB7" s="1058" t="s">
        <v>61</v>
      </c>
      <c r="AC7" s="311"/>
      <c r="AD7" s="311"/>
      <c r="AE7" s="313"/>
      <c r="AF7" s="1197"/>
      <c r="AG7" s="1058" t="s">
        <v>61</v>
      </c>
      <c r="AH7" s="1215"/>
      <c r="AI7" s="1058" t="s">
        <v>61</v>
      </c>
      <c r="AJ7" s="398"/>
      <c r="AK7" s="1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7" t="e">
        <f ca="1">STRCHECKDATE(V8:AJ8)</f>
        <v>#NAME?</v>
      </c>
      <c r="AN7" s="582" t="str">
        <f t="shared" si="0"/>
        <v/>
      </c>
      <c r="AQ7" s="538">
        <v>0</v>
      </c>
    </row>
    <row r="8" spans="5:43" ht="14.25" hidden="1" customHeight="1">
      <c r="E8" s="1195"/>
      <c r="F8" s="1195"/>
      <c r="G8" s="1195"/>
      <c r="H8" s="1195"/>
      <c r="I8" s="1214"/>
      <c r="J8" s="1214"/>
      <c r="K8" s="1192"/>
      <c r="P8" s="1031"/>
      <c r="Q8" s="1031"/>
      <c r="R8" s="844"/>
      <c r="S8" s="127"/>
      <c r="T8" s="833"/>
      <c r="U8" s="833"/>
      <c r="V8" s="312"/>
      <c r="W8" s="312"/>
      <c r="X8" s="314" t="str">
        <f>Y7&amp;"-"&amp;AA7</f>
        <v>-</v>
      </c>
      <c r="Y8" s="1198"/>
      <c r="Z8" s="1058"/>
      <c r="AA8" s="1198"/>
      <c r="AB8" s="1058"/>
      <c r="AC8" s="312"/>
      <c r="AD8" s="312"/>
      <c r="AE8" s="314" t="str">
        <f>AF7&amp;"-"&amp;AH7</f>
        <v>-</v>
      </c>
      <c r="AF8" s="1198"/>
      <c r="AG8" s="1058"/>
      <c r="AH8" s="1216"/>
      <c r="AI8" s="1058"/>
      <c r="AJ8" s="387"/>
      <c r="AK8" s="1259"/>
      <c r="AN8" s="582" t="str">
        <f t="shared" si="0"/>
        <v/>
      </c>
      <c r="AQ8" s="538">
        <v>0</v>
      </c>
    </row>
    <row r="9" spans="5:43" ht="21" hidden="1" customHeight="1">
      <c r="E9" s="1195"/>
      <c r="F9" s="1195"/>
      <c r="G9" s="1195"/>
      <c r="H9" s="1195"/>
      <c r="I9" s="1214"/>
      <c r="J9" s="1192"/>
      <c r="P9" s="1031"/>
      <c r="Q9" s="1031"/>
      <c r="R9" s="842"/>
      <c r="S9" s="315"/>
      <c r="T9" s="318" t="s">
        <v>497</v>
      </c>
      <c r="U9" s="52"/>
      <c r="V9" s="52"/>
      <c r="W9" s="52"/>
      <c r="X9" s="52"/>
      <c r="Y9" s="52"/>
      <c r="Z9" s="52"/>
      <c r="AA9" s="52"/>
      <c r="AB9" s="52"/>
      <c r="AC9" s="52"/>
      <c r="AD9" s="52"/>
      <c r="AE9" s="52"/>
      <c r="AF9" s="52"/>
      <c r="AG9" s="52"/>
      <c r="AH9" s="52"/>
      <c r="AI9" s="52"/>
      <c r="AJ9" s="52"/>
      <c r="AK9" s="835" t="s">
        <v>498</v>
      </c>
      <c r="AN9" s="582" t="str">
        <f t="shared" si="0"/>
        <v>Добавить значение признака дифференциации</v>
      </c>
      <c r="AQ9" s="538">
        <v>0</v>
      </c>
    </row>
    <row r="10" spans="5:43" ht="21" hidden="1" customHeight="1">
      <c r="E10" s="1195"/>
      <c r="F10" s="1195"/>
      <c r="G10" s="1195"/>
      <c r="H10" s="1195"/>
      <c r="I10" s="1192"/>
      <c r="P10" s="1031"/>
      <c r="R10" s="842"/>
      <c r="S10" s="315"/>
      <c r="T10" s="321" t="s">
        <v>423</v>
      </c>
      <c r="U10" s="52"/>
      <c r="V10" s="52"/>
      <c r="W10" s="52"/>
      <c r="X10" s="52"/>
      <c r="Y10" s="52"/>
      <c r="Z10" s="52"/>
      <c r="AA10" s="52"/>
      <c r="AB10" s="319"/>
      <c r="AC10" s="52"/>
      <c r="AD10" s="52"/>
      <c r="AE10" s="52"/>
      <c r="AF10" s="52"/>
      <c r="AG10" s="52"/>
      <c r="AH10" s="52"/>
      <c r="AI10" s="319"/>
      <c r="AJ10" s="52"/>
      <c r="AK10" s="399"/>
      <c r="AN10" s="582" t="str">
        <f t="shared" si="0"/>
        <v>Добавить группу потребителей</v>
      </c>
      <c r="AQ10" s="538">
        <v>0</v>
      </c>
    </row>
    <row r="11" spans="5:43" ht="21" hidden="1" customHeight="1">
      <c r="E11" s="1195"/>
      <c r="F11" s="1195"/>
      <c r="G11" s="1195"/>
      <c r="H11" s="1194"/>
      <c r="R11" s="310"/>
      <c r="S11" s="315"/>
      <c r="T11" s="376" t="s">
        <v>499</v>
      </c>
      <c r="U11" s="52"/>
      <c r="V11" s="52"/>
      <c r="W11" s="52"/>
      <c r="X11" s="52"/>
      <c r="Y11" s="52"/>
      <c r="Z11" s="52"/>
      <c r="AA11" s="52"/>
      <c r="AB11" s="319"/>
      <c r="AC11" s="52"/>
      <c r="AD11" s="52"/>
      <c r="AE11" s="52"/>
      <c r="AF11" s="52"/>
      <c r="AG11" s="52"/>
      <c r="AH11" s="52"/>
      <c r="AI11" s="319"/>
      <c r="AJ11" s="52"/>
      <c r="AK11" s="320"/>
      <c r="AN11" s="582" t="str">
        <f t="shared" si="0"/>
        <v>Добавить наименование признака дифференциации</v>
      </c>
      <c r="AQ11" s="538">
        <v>0</v>
      </c>
    </row>
    <row r="12" spans="5:43" ht="14.25" hidden="1" customHeight="1">
      <c r="E12" s="1195"/>
      <c r="F12" s="1194"/>
      <c r="T12" s="326" t="s">
        <v>426</v>
      </c>
      <c r="AN12" s="582" t="str">
        <f t="shared" si="0"/>
        <v>Добавить централизованную систему для дифференциации</v>
      </c>
      <c r="AQ12" s="577">
        <v>0</v>
      </c>
    </row>
    <row r="13" spans="5:43" ht="14.25" hidden="1" customHeight="1">
      <c r="E13" s="1194"/>
      <c r="T13" s="326" t="s">
        <v>427</v>
      </c>
      <c r="AN13" s="582" t="str">
        <f t="shared" si="0"/>
        <v>Добавить территорию для дифференциации</v>
      </c>
      <c r="AQ13" s="577">
        <v>0</v>
      </c>
    </row>
    <row r="14" spans="5:43" ht="14.25" hidden="1" customHeight="1">
      <c r="AQ14" s="538">
        <v>0</v>
      </c>
    </row>
    <row r="15" spans="5:43" ht="14.25" hidden="1" customHeight="1">
      <c r="AC15" s="275"/>
      <c r="AD15" s="275"/>
      <c r="AE15" s="327"/>
      <c r="AF15" s="1199"/>
      <c r="AG15" s="1200" t="s">
        <v>61</v>
      </c>
      <c r="AH15" s="1199"/>
      <c r="AI15" s="1200" t="s">
        <v>61</v>
      </c>
      <c r="AQ15" s="538">
        <v>0</v>
      </c>
    </row>
    <row r="16" spans="5:43" ht="14.25" hidden="1" customHeight="1">
      <c r="AC16" s="275"/>
      <c r="AD16" s="275"/>
      <c r="AE16" s="314" t="str">
        <f>AF15&amp;"-"&amp;AH15</f>
        <v>-</v>
      </c>
      <c r="AF16" s="1200"/>
      <c r="AG16" s="1200"/>
      <c r="AH16" s="1200"/>
      <c r="AI16" s="1200"/>
      <c r="AQ16" s="538">
        <v>0</v>
      </c>
    </row>
    <row r="17" spans="15:43" ht="14.25" hidden="1" customHeight="1">
      <c r="AQ17" s="538">
        <v>0</v>
      </c>
    </row>
    <row r="18" spans="15:43" ht="22.5" hidden="1" customHeight="1">
      <c r="O18" s="328" t="s">
        <v>428</v>
      </c>
      <c r="Y18" s="328"/>
      <c r="AA18" s="328"/>
      <c r="AF18" s="328"/>
      <c r="AH18" s="328"/>
      <c r="AQ18" s="555">
        <v>0</v>
      </c>
    </row>
    <row r="19" spans="15:43" ht="14.25" hidden="1" customHeight="1">
      <c r="AQ19" s="555">
        <v>0</v>
      </c>
    </row>
    <row r="20" spans="15:43" ht="12" hidden="1" customHeight="1">
      <c r="O20" s="841" t="s">
        <v>429</v>
      </c>
      <c r="T20" s="555" t="s">
        <v>430</v>
      </c>
      <c r="Z20" s="598" t="s">
        <v>431</v>
      </c>
      <c r="AB20" s="598" t="s">
        <v>432</v>
      </c>
      <c r="AC20" s="555" t="s">
        <v>430</v>
      </c>
      <c r="AG20" s="598" t="s">
        <v>433</v>
      </c>
      <c r="AI20" s="598" t="s">
        <v>432</v>
      </c>
      <c r="AQ20" s="555">
        <v>0</v>
      </c>
    </row>
    <row r="21" spans="15:43" ht="14.25" hidden="1" customHeight="1">
      <c r="AQ21" s="538">
        <v>0</v>
      </c>
    </row>
    <row r="22" spans="15:43" ht="14.25" hidden="1" customHeight="1">
      <c r="AQ22" s="538">
        <v>0</v>
      </c>
    </row>
    <row r="23" spans="15:43" ht="14.65" customHeight="1">
      <c r="Q23" s="756"/>
      <c r="R23" s="756"/>
      <c r="S23" s="847"/>
      <c r="T23" s="556"/>
      <c r="U23" s="556"/>
      <c r="AQ23" s="538">
        <v>14</v>
      </c>
    </row>
    <row r="24" spans="15:43" ht="14.65" customHeight="1">
      <c r="Q24" s="756"/>
      <c r="R24" s="756"/>
      <c r="S24" s="117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178"/>
      <c r="U24" s="1178"/>
      <c r="V24" s="1178"/>
      <c r="W24" s="1178"/>
      <c r="X24" s="1178"/>
      <c r="Y24" s="1178"/>
      <c r="Z24" s="1178"/>
      <c r="AA24" s="1178"/>
      <c r="AB24" s="1178"/>
      <c r="AC24" s="1178"/>
      <c r="AD24" s="1178"/>
      <c r="AE24" s="1178"/>
      <c r="AF24" s="1178"/>
      <c r="AG24" s="1178"/>
      <c r="AH24" s="1178"/>
      <c r="AQ24" s="538">
        <v>14</v>
      </c>
    </row>
    <row r="25" spans="15:43" ht="14.65" customHeight="1">
      <c r="Q25" s="756"/>
      <c r="R25" s="756"/>
      <c r="S25" s="1127" t="str">
        <f>IF(org=0,"Не определено",org)</f>
        <v>АО "НИЖЕГОРОДСКИЙ ВОДОКАНАЛ"</v>
      </c>
      <c r="T25" s="1127"/>
      <c r="U25" s="1127"/>
      <c r="V25" s="1127"/>
      <c r="W25" s="1127"/>
      <c r="X25" s="1127"/>
      <c r="Y25" s="1127"/>
      <c r="Z25" s="1127"/>
      <c r="AA25" s="1127"/>
      <c r="AB25" s="1127"/>
      <c r="AC25" s="1127"/>
      <c r="AD25" s="1127"/>
      <c r="AE25" s="1127"/>
      <c r="AF25" s="1127"/>
      <c r="AG25" s="1127"/>
      <c r="AH25" s="1127"/>
      <c r="AQ25" s="538">
        <v>14</v>
      </c>
    </row>
    <row r="26" spans="15:43" ht="14.25" hidden="1" customHeight="1">
      <c r="Q26" s="756"/>
      <c r="R26" s="756"/>
      <c r="S26" s="847"/>
      <c r="T26" s="556"/>
      <c r="U26" s="556"/>
      <c r="V26" s="826"/>
      <c r="W26" s="826"/>
      <c r="X26" s="826"/>
      <c r="Y26" s="826"/>
      <c r="Z26" s="826"/>
      <c r="AA26" s="826"/>
      <c r="AB26" s="826"/>
      <c r="AC26" s="826"/>
      <c r="AD26" s="826"/>
      <c r="AE26" s="826"/>
      <c r="AF26" s="826"/>
      <c r="AG26" s="826"/>
      <c r="AH26" s="826"/>
      <c r="AI26" s="826"/>
      <c r="AQ26" s="538">
        <v>0</v>
      </c>
    </row>
    <row r="27" spans="15:43" ht="25.5" hidden="1" customHeight="1">
      <c r="S27" s="1186" t="s">
        <v>41</v>
      </c>
      <c r="T27" s="1186"/>
      <c r="U27" s="849"/>
      <c r="V27" s="1187" t="str">
        <f>IF(TITLE_NAME_OR_PR_CHANGE="",IF(TITLE_NAME_OR_PR="","",TITLE_NAME_OR_PR),TITLE_NAME_OR_PR_CHANGE)</f>
        <v/>
      </c>
      <c r="W27" s="1187"/>
      <c r="X27" s="1187"/>
      <c r="Y27" s="1187"/>
      <c r="Z27" s="1187"/>
      <c r="AA27" s="1187"/>
      <c r="AC27" s="1187" t="str">
        <f>IF(TITLE_NAME_OR_PR_CHANGE="",IF(TITLE_NAME_OR_PR="","",TITLE_NAME_OR_PR),TITLE_NAME_OR_PR_CHANGE)</f>
        <v/>
      </c>
      <c r="AD27" s="1187"/>
      <c r="AE27" s="1187"/>
      <c r="AF27" s="1187"/>
      <c r="AG27" s="1187"/>
      <c r="AH27" s="1187"/>
      <c r="AQ27" s="592">
        <v>0</v>
      </c>
    </row>
    <row r="28" spans="15:43" ht="18.75" hidden="1" customHeight="1">
      <c r="S28" s="1186" t="s">
        <v>434</v>
      </c>
      <c r="T28" s="1186"/>
      <c r="U28" s="849"/>
      <c r="V28" s="1196" t="str">
        <f>IF(TITLE_DATE_PR_CHANGE="",IF(TITLE_DATE_PR="","",TITLE_DATE_PR),TITLE_DATE_PR_CHANGE)</f>
        <v/>
      </c>
      <c r="W28" s="1196"/>
      <c r="X28" s="1196"/>
      <c r="Y28" s="1196"/>
      <c r="Z28" s="1196"/>
      <c r="AA28" s="1196"/>
      <c r="AC28" s="1196" t="str">
        <f>IF(TITLE_DATE_PR_CHANGE="",IF(TITLE_DATE_PR="","",TITLE_DATE_PR),TITLE_DATE_PR_CHANGE)</f>
        <v/>
      </c>
      <c r="AD28" s="1196"/>
      <c r="AE28" s="1196"/>
      <c r="AF28" s="1196"/>
      <c r="AG28" s="1196"/>
      <c r="AH28" s="1196"/>
      <c r="AQ28" s="592">
        <v>0</v>
      </c>
    </row>
    <row r="29" spans="15:43" ht="18.75" hidden="1" customHeight="1">
      <c r="S29" s="1186" t="s">
        <v>435</v>
      </c>
      <c r="T29" s="1186"/>
      <c r="U29" s="849"/>
      <c r="V29" s="1187" t="str">
        <f>IF(TITLE_NUMBER_PR_CHANGE="",IF(TITLE_NUMBER_PR="","",TITLE_NUMBER_PR),TITLE_NUMBER_PR_CHANGE)</f>
        <v/>
      </c>
      <c r="W29" s="1187"/>
      <c r="X29" s="1187"/>
      <c r="Y29" s="1187"/>
      <c r="Z29" s="1187"/>
      <c r="AA29" s="1187"/>
      <c r="AC29" s="1187" t="str">
        <f>IF(TITLE_NUMBER_PR_CHANGE="",IF(TITLE_NUMBER_PR="","",TITLE_NUMBER_PR),TITLE_NUMBER_PR_CHANGE)</f>
        <v/>
      </c>
      <c r="AD29" s="1187"/>
      <c r="AE29" s="1187"/>
      <c r="AF29" s="1187"/>
      <c r="AG29" s="1187"/>
      <c r="AH29" s="1187"/>
      <c r="AQ29" s="592">
        <v>0</v>
      </c>
    </row>
    <row r="30" spans="15:43" ht="18.75" hidden="1" customHeight="1">
      <c r="S30" s="1186" t="s">
        <v>42</v>
      </c>
      <c r="T30" s="1186"/>
      <c r="U30" s="849"/>
      <c r="V30" s="1187" t="str">
        <f>IF(TITLE_IST_PUB_CHANGE="",IF(TITLE_IST_PUB="","",TITLE_IST_PUB),TITLE_IST_PUB_CHANGE)</f>
        <v/>
      </c>
      <c r="W30" s="1187"/>
      <c r="X30" s="1187"/>
      <c r="Y30" s="1187"/>
      <c r="Z30" s="1187"/>
      <c r="AA30" s="1187"/>
      <c r="AC30" s="1187" t="str">
        <f>IF(TITLE_IST_PUB_CHANGE="",IF(TITLE_IST_PUB="","",TITLE_IST_PUB),TITLE_IST_PUB_CHANGE)</f>
        <v/>
      </c>
      <c r="AD30" s="1187"/>
      <c r="AE30" s="1187"/>
      <c r="AF30" s="1187"/>
      <c r="AG30" s="1187"/>
      <c r="AH30" s="1187"/>
      <c r="AQ30" s="592">
        <v>0</v>
      </c>
    </row>
    <row r="31" spans="15:43" ht="14.25" hidden="1" customHeight="1">
      <c r="Q31" s="756"/>
      <c r="R31" s="756"/>
      <c r="S31" s="847"/>
      <c r="T31" s="556"/>
      <c r="U31" s="556"/>
      <c r="V31" s="826"/>
      <c r="W31" s="826"/>
      <c r="X31" s="826"/>
      <c r="Y31" s="826"/>
      <c r="Z31" s="826"/>
      <c r="AA31" s="826"/>
      <c r="AB31" s="826"/>
      <c r="AC31" s="826"/>
      <c r="AD31" s="826"/>
      <c r="AE31" s="826"/>
      <c r="AF31" s="826"/>
      <c r="AG31" s="826"/>
      <c r="AH31" s="826"/>
      <c r="AI31" s="826"/>
      <c r="AQ31" s="538">
        <v>0</v>
      </c>
    </row>
    <row r="32" spans="15:43" ht="18.75" hidden="1" customHeight="1">
      <c r="S32" s="1186" t="s">
        <v>436</v>
      </c>
      <c r="T32" s="1186"/>
      <c r="U32" s="849"/>
      <c r="V32" s="1196" t="str">
        <f>IF(TITLE_DATE_PR_CHANGE="",IF(TITLE_DATE_PR="","",TITLE_DATE_PR),TITLE_DATE_PR_CHANGE)</f>
        <v/>
      </c>
      <c r="W32" s="1196"/>
      <c r="X32" s="1196"/>
      <c r="Y32" s="1196"/>
      <c r="Z32" s="1196"/>
      <c r="AA32" s="1196"/>
      <c r="AC32" s="1196" t="str">
        <f>IF(TITLE_DATE_PR_CHANGE="",IF(TITLE_DATE_PR="","",TITLE_DATE_PR),TITLE_DATE_PR_CHANGE)</f>
        <v/>
      </c>
      <c r="AD32" s="1196"/>
      <c r="AE32" s="1196"/>
      <c r="AF32" s="1196"/>
      <c r="AG32" s="1196"/>
      <c r="AH32" s="1196"/>
      <c r="AQ32" s="592">
        <v>0</v>
      </c>
    </row>
    <row r="33" spans="1:43" ht="18.75" hidden="1" customHeight="1">
      <c r="S33" s="1186" t="s">
        <v>437</v>
      </c>
      <c r="T33" s="1186"/>
      <c r="U33" s="849"/>
      <c r="V33" s="1187" t="str">
        <f>IF(TITLE_NUMBER_PR_CHANGE="",IF(TITLE_NUMBER_PR="","",TITLE_NUMBER_PR),TITLE_NUMBER_PR_CHANGE)</f>
        <v/>
      </c>
      <c r="W33" s="1187"/>
      <c r="X33" s="1187"/>
      <c r="Y33" s="1187"/>
      <c r="Z33" s="1187"/>
      <c r="AA33" s="1187"/>
      <c r="AC33" s="1187" t="str">
        <f>IF(TITLE_NUMBER_PR_CHANGE="",IF(TITLE_NUMBER_PR="","",TITLE_NUMBER_PR),TITLE_NUMBER_PR_CHANGE)</f>
        <v/>
      </c>
      <c r="AD33" s="1187"/>
      <c r="AE33" s="1187"/>
      <c r="AF33" s="1187"/>
      <c r="AG33" s="1187"/>
      <c r="AH33" s="1187"/>
      <c r="AQ33" s="592">
        <v>0</v>
      </c>
    </row>
    <row r="34" spans="1:43" ht="1.1499999999999999" customHeight="1">
      <c r="AB34" s="577" t="s">
        <v>438</v>
      </c>
      <c r="AI34" s="577" t="s">
        <v>438</v>
      </c>
      <c r="AQ34" s="592">
        <v>1</v>
      </c>
    </row>
    <row r="35" spans="1:43" ht="14.65" customHeight="1">
      <c r="Q35" s="756"/>
      <c r="R35" s="756"/>
      <c r="S35" s="847"/>
      <c r="T35" s="556"/>
      <c r="U35" s="850"/>
      <c r="V35" s="1188"/>
      <c r="W35" s="1188"/>
      <c r="X35" s="1188"/>
      <c r="Y35" s="1188"/>
      <c r="Z35" s="1188"/>
      <c r="AA35" s="1188"/>
      <c r="AB35" s="1188"/>
      <c r="AC35" s="1188"/>
      <c r="AD35" s="1188"/>
      <c r="AE35" s="1188"/>
      <c r="AF35" s="1188"/>
      <c r="AG35" s="1188"/>
      <c r="AH35" s="1188"/>
      <c r="AI35" s="1188"/>
      <c r="AQ35" s="538">
        <v>14</v>
      </c>
    </row>
    <row r="36" spans="1:43" ht="14.65" customHeight="1">
      <c r="Q36" s="756"/>
      <c r="R36" s="756"/>
      <c r="S36" s="1066" t="s">
        <v>311</v>
      </c>
      <c r="T36" s="1066"/>
      <c r="U36" s="1066"/>
      <c r="V36" s="1066"/>
      <c r="W36" s="1066"/>
      <c r="X36" s="1066"/>
      <c r="Y36" s="1066"/>
      <c r="Z36" s="1066"/>
      <c r="AA36" s="1066"/>
      <c r="AB36" s="1066"/>
      <c r="AC36" s="1066"/>
      <c r="AD36" s="1066"/>
      <c r="AE36" s="1066"/>
      <c r="AF36" s="1066"/>
      <c r="AG36" s="1066"/>
      <c r="AH36" s="1066"/>
      <c r="AI36" s="1066"/>
      <c r="AJ36" s="1066"/>
      <c r="AK36" s="1066" t="s">
        <v>312</v>
      </c>
      <c r="AQ36" s="538">
        <v>14</v>
      </c>
    </row>
    <row r="37" spans="1:43" ht="14.65" customHeight="1">
      <c r="Q37" s="756"/>
      <c r="R37" s="756"/>
      <c r="S37" s="1202" t="s">
        <v>87</v>
      </c>
      <c r="T37" s="1154" t="s">
        <v>439</v>
      </c>
      <c r="U37" s="817"/>
      <c r="V37" s="1203" t="s">
        <v>440</v>
      </c>
      <c r="W37" s="1204"/>
      <c r="X37" s="1204"/>
      <c r="Y37" s="1204"/>
      <c r="Z37" s="1204"/>
      <c r="AA37" s="1205"/>
      <c r="AB37" s="1206" t="s">
        <v>441</v>
      </c>
      <c r="AC37" s="1203" t="s">
        <v>440</v>
      </c>
      <c r="AD37" s="1204"/>
      <c r="AE37" s="1204"/>
      <c r="AF37" s="1204"/>
      <c r="AG37" s="1204"/>
      <c r="AH37" s="1205"/>
      <c r="AI37" s="1206" t="s">
        <v>442</v>
      </c>
      <c r="AJ37" s="1209" t="s">
        <v>443</v>
      </c>
      <c r="AK37" s="1066"/>
      <c r="AQ37" s="538">
        <v>14</v>
      </c>
    </row>
    <row r="38" spans="1:43" ht="35.65" customHeight="1">
      <c r="Q38" s="756"/>
      <c r="R38" s="756"/>
      <c r="S38" s="1202"/>
      <c r="T38" s="1154"/>
      <c r="U38" s="822"/>
      <c r="V38" s="617" t="s">
        <v>500</v>
      </c>
      <c r="W38" s="1048" t="s">
        <v>446</v>
      </c>
      <c r="X38" s="1047"/>
      <c r="Y38" s="1048" t="s">
        <v>447</v>
      </c>
      <c r="Z38" s="1053"/>
      <c r="AA38" s="1047"/>
      <c r="AB38" s="1207"/>
      <c r="AC38" s="617" t="s">
        <v>500</v>
      </c>
      <c r="AD38" s="1048" t="s">
        <v>446</v>
      </c>
      <c r="AE38" s="1047"/>
      <c r="AF38" s="1048" t="s">
        <v>447</v>
      </c>
      <c r="AG38" s="1053"/>
      <c r="AH38" s="1047"/>
      <c r="AI38" s="1207"/>
      <c r="AJ38" s="1210"/>
      <c r="AK38" s="1066"/>
      <c r="AQ38" s="538">
        <v>34</v>
      </c>
    </row>
    <row r="39" spans="1:43" ht="90.4" customHeight="1">
      <c r="B39" s="598" t="s">
        <v>148</v>
      </c>
      <c r="C39" s="598" t="s">
        <v>149</v>
      </c>
      <c r="D39" s="598" t="s">
        <v>150</v>
      </c>
      <c r="E39" s="841" t="s">
        <v>448</v>
      </c>
      <c r="F39" s="841" t="s">
        <v>449</v>
      </c>
      <c r="G39" s="841" t="s">
        <v>450</v>
      </c>
      <c r="I39" s="841" t="s">
        <v>501</v>
      </c>
      <c r="J39" s="841" t="s">
        <v>453</v>
      </c>
      <c r="K39" s="841" t="s">
        <v>502</v>
      </c>
      <c r="L39" s="841" t="s">
        <v>429</v>
      </c>
      <c r="Q39" s="756"/>
      <c r="R39" s="756"/>
      <c r="S39" s="1202"/>
      <c r="T39" s="1154"/>
      <c r="U39" s="852"/>
      <c r="V39" s="617" t="s">
        <v>529</v>
      </c>
      <c r="W39" s="602" t="s">
        <v>530</v>
      </c>
      <c r="X39" s="602" t="s">
        <v>505</v>
      </c>
      <c r="Y39" s="602" t="s">
        <v>457</v>
      </c>
      <c r="Z39" s="1162" t="s">
        <v>458</v>
      </c>
      <c r="AA39" s="1164"/>
      <c r="AB39" s="1208"/>
      <c r="AC39" s="617" t="s">
        <v>529</v>
      </c>
      <c r="AD39" s="602" t="s">
        <v>530</v>
      </c>
      <c r="AE39" s="602" t="s">
        <v>505</v>
      </c>
      <c r="AF39" s="602" t="s">
        <v>457</v>
      </c>
      <c r="AG39" s="1162" t="s">
        <v>458</v>
      </c>
      <c r="AH39" s="1164"/>
      <c r="AI39" s="1208"/>
      <c r="AJ39" s="1211"/>
      <c r="AK39" s="1066"/>
      <c r="AQ39" s="538">
        <v>86</v>
      </c>
    </row>
    <row r="40" spans="1:43" ht="0" hidden="1" customHeight="1">
      <c r="Q40" s="853"/>
      <c r="R40" s="854">
        <v>1</v>
      </c>
      <c r="S40" s="329" t="s">
        <v>114</v>
      </c>
      <c r="T40" s="330" t="s">
        <v>102</v>
      </c>
      <c r="U40" s="855" t="str">
        <f ca="1">OFFSET(U40,0,-1)</f>
        <v>2</v>
      </c>
      <c r="V40" s="856">
        <f ca="1">OFFSET(V40,0,-1)+1</f>
        <v>3</v>
      </c>
      <c r="W40" s="856">
        <f ca="1">OFFSET(W40,0,-1)+1</f>
        <v>4</v>
      </c>
      <c r="X40" s="856">
        <f ca="1">OFFSET(X40,0,-1)+1</f>
        <v>5</v>
      </c>
      <c r="Y40" s="856">
        <f ca="1">OFFSET(Y40,0,-1)+1</f>
        <v>6</v>
      </c>
      <c r="Z40" s="1201">
        <f ca="1">OFFSET(Z40,0,-1)+1</f>
        <v>7</v>
      </c>
      <c r="AA40" s="1201"/>
      <c r="AB40" s="856">
        <f ca="1">OFFSET(AB40,0,-2)+1</f>
        <v>8</v>
      </c>
      <c r="AC40" s="856">
        <f ca="1">OFFSET(AC40,0,-1)+1</f>
        <v>9</v>
      </c>
      <c r="AD40" s="856">
        <f ca="1">OFFSET(AD40,0,-1)+1</f>
        <v>10</v>
      </c>
      <c r="AE40" s="856">
        <f ca="1">OFFSET(AE40,0,-1)+1</f>
        <v>11</v>
      </c>
      <c r="AF40" s="856">
        <f ca="1">OFFSET(AF40,0,-1)+1</f>
        <v>12</v>
      </c>
      <c r="AG40" s="1201">
        <f ca="1">OFFSET(AG40,0,-1)+1</f>
        <v>13</v>
      </c>
      <c r="AH40" s="1201"/>
      <c r="AI40" s="856">
        <f ca="1">OFFSET(AI40,0,-2)+1</f>
        <v>14</v>
      </c>
      <c r="AJ40" s="855">
        <f ca="1">OFFSET(AJ40,0,-1)</f>
        <v>14</v>
      </c>
      <c r="AK40" s="856">
        <f ca="1">OFFSET(AK40,0,-1)+1</f>
        <v>15</v>
      </c>
      <c r="AQ40" s="681">
        <v>0</v>
      </c>
    </row>
    <row r="41" spans="1:43" ht="24" customHeight="1">
      <c r="A41" s="857" t="s">
        <v>282</v>
      </c>
      <c r="E41" s="1194">
        <v>1</v>
      </c>
      <c r="R41" s="310"/>
      <c r="S41" s="832">
        <f>INDEX(PT_DIFFERENTIATION_NUM_NTAR,MATCH(A41,PT_DIFFERENTIATION_NTAR_ID,0))</f>
        <v>0</v>
      </c>
      <c r="T41" s="795" t="s">
        <v>136</v>
      </c>
      <c r="U41" s="833"/>
      <c r="V41" s="1180"/>
      <c r="W41" s="1181"/>
      <c r="X41" s="1181"/>
      <c r="Y41" s="1181"/>
      <c r="Z41" s="1181"/>
      <c r="AA41" s="1181"/>
      <c r="AB41" s="1182"/>
      <c r="AC41" s="1180" t="str">
        <f>INDEX(PT_DIFFERENTIATION_NTAR,MATCH(A41,PT_DIFFERENTIATION_NTAR_ID,0))</f>
        <v/>
      </c>
      <c r="AD41" s="1181"/>
      <c r="AE41" s="1181"/>
      <c r="AF41" s="1181"/>
      <c r="AG41" s="1181"/>
      <c r="AH41" s="1181"/>
      <c r="AI41" s="1181"/>
      <c r="AJ41" s="1182"/>
      <c r="AK41"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41" s="582" t="str">
        <f t="shared" ref="AN41:AN53" si="1">IF(T41="","",T41)</f>
        <v>Наименование тарифа</v>
      </c>
      <c r="AQ41" s="538">
        <v>23</v>
      </c>
    </row>
    <row r="42" spans="1:43" ht="24" customHeight="1">
      <c r="A42" s="857" t="s">
        <v>282</v>
      </c>
      <c r="B42" s="857" t="s">
        <v>283</v>
      </c>
      <c r="E42" s="1195"/>
      <c r="F42" s="1194">
        <v>1</v>
      </c>
      <c r="Q42" s="836"/>
      <c r="R42" s="837"/>
      <c r="S42" s="832" t="str">
        <f>INDEX(PT_DIFFERENTIATION_NUM_TER,MATCH(B42,PT_DIFFERENTIATION_TER_ID,0))</f>
        <v>.</v>
      </c>
      <c r="T42" s="838" t="s">
        <v>408</v>
      </c>
      <c r="U42" s="833"/>
      <c r="V42" s="1180"/>
      <c r="W42" s="1181"/>
      <c r="X42" s="1181"/>
      <c r="Y42" s="1181"/>
      <c r="Z42" s="1181"/>
      <c r="AA42" s="1181"/>
      <c r="AB42" s="1182"/>
      <c r="AC42" s="1180" t="str">
        <f>INDEX(PT_DIFFERENTIATION_TER,MATCH(B42,PT_DIFFERENTIATION_TER_ID,0))</f>
        <v/>
      </c>
      <c r="AD42" s="1181"/>
      <c r="AE42" s="1181"/>
      <c r="AF42" s="1181"/>
      <c r="AG42" s="1181"/>
      <c r="AH42" s="1181"/>
      <c r="AI42" s="1181"/>
      <c r="AJ42" s="1182"/>
      <c r="AK42" s="835" t="s">
        <v>409</v>
      </c>
      <c r="AN42" s="582" t="str">
        <f t="shared" si="1"/>
        <v>Территория действия тарифа</v>
      </c>
      <c r="AQ42" s="538">
        <v>23</v>
      </c>
    </row>
    <row r="43" spans="1:43" ht="24" customHeight="1">
      <c r="A43" s="857" t="s">
        <v>282</v>
      </c>
      <c r="B43" s="857" t="s">
        <v>283</v>
      </c>
      <c r="C43" s="857" t="s">
        <v>284</v>
      </c>
      <c r="E43" s="1195"/>
      <c r="F43" s="1195"/>
      <c r="G43" s="1194">
        <v>1</v>
      </c>
      <c r="Q43" s="836"/>
      <c r="R43" s="837"/>
      <c r="S43" s="832" t="str">
        <f>INDEX(PT_DIFFERENTIATION_NUM_CS,MATCH(C43,PT_DIFFERENTIATION_CS_ID,0))</f>
        <v>..</v>
      </c>
      <c r="T43" s="839" t="s">
        <v>527</v>
      </c>
      <c r="U43" s="833"/>
      <c r="V43" s="1180"/>
      <c r="W43" s="1181"/>
      <c r="X43" s="1181"/>
      <c r="Y43" s="1181"/>
      <c r="Z43" s="1181"/>
      <c r="AA43" s="1181"/>
      <c r="AB43" s="1182"/>
      <c r="AC43" s="1180" t="str">
        <f>INDEX(PT_DIFFERENTIATION_CS,MATCH(C43,PT_DIFFERENTIATION_CS_ID,0))</f>
        <v/>
      </c>
      <c r="AD43" s="1181"/>
      <c r="AE43" s="1181"/>
      <c r="AF43" s="1181"/>
      <c r="AG43" s="1181"/>
      <c r="AH43" s="1181"/>
      <c r="AI43" s="1181"/>
      <c r="AJ43" s="1182"/>
      <c r="AK43" s="835" t="s">
        <v>528</v>
      </c>
      <c r="AN43" s="582" t="str">
        <f t="shared" si="1"/>
        <v>Наименование централизованной системы водоотведения</v>
      </c>
      <c r="AQ43" s="538">
        <v>23</v>
      </c>
    </row>
    <row r="44" spans="1:43" ht="24" customHeight="1">
      <c r="A44" s="857" t="s">
        <v>282</v>
      </c>
      <c r="B44" s="857" t="s">
        <v>283</v>
      </c>
      <c r="C44" s="857" t="s">
        <v>284</v>
      </c>
      <c r="D44" s="857" t="s">
        <v>532</v>
      </c>
      <c r="E44" s="1195"/>
      <c r="F44" s="1195"/>
      <c r="G44" s="1195"/>
      <c r="H44" s="1195"/>
      <c r="I44" s="1192" t="str">
        <f>S43&amp;".1"</f>
        <v>...1</v>
      </c>
      <c r="P44" s="1193">
        <v>1</v>
      </c>
      <c r="R44" s="842"/>
      <c r="S44" s="832" t="str">
        <f>$I44</f>
        <v>...1</v>
      </c>
      <c r="T44" s="843" t="s">
        <v>494</v>
      </c>
      <c r="U44" s="833"/>
      <c r="V44" s="1260"/>
      <c r="W44" s="1261"/>
      <c r="X44" s="1261"/>
      <c r="Y44" s="1261"/>
      <c r="Z44" s="1261"/>
      <c r="AA44" s="1261"/>
      <c r="AB44" s="1262"/>
      <c r="AC44" s="1263"/>
      <c r="AD44" s="1264"/>
      <c r="AE44" s="1264"/>
      <c r="AF44" s="1264"/>
      <c r="AG44" s="1264"/>
      <c r="AH44" s="1264"/>
      <c r="AI44" s="1264"/>
      <c r="AJ44" s="1265"/>
      <c r="AK44" s="835" t="s">
        <v>495</v>
      </c>
      <c r="AN44" s="582" t="str">
        <f t="shared" si="1"/>
        <v>Наименование признака дифференциации</v>
      </c>
      <c r="AQ44" s="538">
        <v>23</v>
      </c>
    </row>
    <row r="45" spans="1:43" ht="24" customHeight="1">
      <c r="A45" s="857" t="s">
        <v>282</v>
      </c>
      <c r="B45" s="857" t="s">
        <v>283</v>
      </c>
      <c r="C45" s="857" t="s">
        <v>284</v>
      </c>
      <c r="D45" s="857" t="s">
        <v>532</v>
      </c>
      <c r="E45" s="1195"/>
      <c r="F45" s="1195"/>
      <c r="G45" s="1195"/>
      <c r="H45" s="1195"/>
      <c r="I45" s="1214"/>
      <c r="J45" s="1192" t="str">
        <f>I44&amp;".1"</f>
        <v>...1.1</v>
      </c>
      <c r="L45" s="841" t="s">
        <v>417</v>
      </c>
      <c r="P45" s="1031"/>
      <c r="Q45" s="1193">
        <v>1</v>
      </c>
      <c r="R45" s="844"/>
      <c r="S45" s="832" t="str">
        <f>$J45</f>
        <v>...1.1</v>
      </c>
      <c r="T45" s="845" t="s">
        <v>418</v>
      </c>
      <c r="U45" s="833"/>
      <c r="V45" s="1183"/>
      <c r="W45" s="1184"/>
      <c r="X45" s="1184"/>
      <c r="Y45" s="1184"/>
      <c r="Z45" s="1184"/>
      <c r="AA45" s="1184"/>
      <c r="AB45" s="1185"/>
      <c r="AC45" s="1183"/>
      <c r="AD45" s="1184"/>
      <c r="AE45" s="1184"/>
      <c r="AF45" s="1184"/>
      <c r="AG45" s="1184"/>
      <c r="AH45" s="1184"/>
      <c r="AI45" s="1184"/>
      <c r="AJ45" s="1185"/>
      <c r="AK45" s="874" t="s">
        <v>496</v>
      </c>
      <c r="AN45" s="582" t="str">
        <f t="shared" si="1"/>
        <v>Группа потребителей</v>
      </c>
      <c r="AQ45" s="538">
        <v>23</v>
      </c>
    </row>
    <row r="46" spans="1:43" ht="24" customHeight="1">
      <c r="A46" s="857" t="s">
        <v>282</v>
      </c>
      <c r="B46" s="857" t="s">
        <v>283</v>
      </c>
      <c r="C46" s="857" t="s">
        <v>284</v>
      </c>
      <c r="D46" s="857" t="s">
        <v>532</v>
      </c>
      <c r="E46" s="1195"/>
      <c r="F46" s="1195"/>
      <c r="G46" s="1195"/>
      <c r="H46" s="1195"/>
      <c r="I46" s="1214"/>
      <c r="J46" s="1214"/>
      <c r="K46" s="1192" t="str">
        <f>J45&amp;".1"</f>
        <v>...1.1.1</v>
      </c>
      <c r="P46" s="1031"/>
      <c r="Q46" s="1031"/>
      <c r="R46" s="844">
        <v>1</v>
      </c>
      <c r="S46" s="832" t="str">
        <f>$K46</f>
        <v>...1.1.1</v>
      </c>
      <c r="T46" s="397"/>
      <c r="U46" s="833"/>
      <c r="V46" s="275"/>
      <c r="W46" s="275"/>
      <c r="X46" s="327"/>
      <c r="Y46" s="1199"/>
      <c r="Z46" s="1200" t="s">
        <v>61</v>
      </c>
      <c r="AA46" s="1199"/>
      <c r="AB46" s="1200" t="s">
        <v>61</v>
      </c>
      <c r="AC46" s="311"/>
      <c r="AD46" s="311"/>
      <c r="AE46" s="313"/>
      <c r="AF46" s="1197"/>
      <c r="AG46" s="1058" t="s">
        <v>61</v>
      </c>
      <c r="AH46" s="1215"/>
      <c r="AI46" s="1058" t="s">
        <v>19</v>
      </c>
      <c r="AJ46" s="398"/>
      <c r="AK46" s="1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7" t="e">
        <f ca="1">STRCHECKDATE(V47:AJ47)</f>
        <v>#NAME?</v>
      </c>
      <c r="AN46" s="582" t="str">
        <f t="shared" si="1"/>
        <v/>
      </c>
      <c r="AQ46" s="538">
        <v>23</v>
      </c>
    </row>
    <row r="47" spans="1:43" ht="0" hidden="1" customHeight="1">
      <c r="A47" s="857" t="s">
        <v>282</v>
      </c>
      <c r="B47" s="857" t="s">
        <v>283</v>
      </c>
      <c r="C47" s="857" t="s">
        <v>284</v>
      </c>
      <c r="D47" s="857" t="s">
        <v>532</v>
      </c>
      <c r="E47" s="1195"/>
      <c r="F47" s="1195"/>
      <c r="G47" s="1195"/>
      <c r="H47" s="1195"/>
      <c r="I47" s="1214"/>
      <c r="J47" s="1214"/>
      <c r="K47" s="1192"/>
      <c r="P47" s="1031"/>
      <c r="Q47" s="1031"/>
      <c r="R47" s="844"/>
      <c r="S47" s="127"/>
      <c r="T47" s="833"/>
      <c r="U47" s="833"/>
      <c r="V47" s="275"/>
      <c r="W47" s="275"/>
      <c r="X47" s="314" t="str">
        <f>Y46&amp;"-"&amp;AA46</f>
        <v>-</v>
      </c>
      <c r="Y47" s="1200"/>
      <c r="Z47" s="1200"/>
      <c r="AA47" s="1200"/>
      <c r="AB47" s="1200"/>
      <c r="AC47" s="312"/>
      <c r="AD47" s="312"/>
      <c r="AE47" s="314" t="str">
        <f>AF46&amp;"-"&amp;AH46</f>
        <v>-</v>
      </c>
      <c r="AF47" s="1198"/>
      <c r="AG47" s="1058"/>
      <c r="AH47" s="1216"/>
      <c r="AI47" s="1058"/>
      <c r="AJ47" s="387"/>
      <c r="AK47" s="1259"/>
      <c r="AN47" s="582" t="str">
        <f t="shared" si="1"/>
        <v/>
      </c>
      <c r="AQ47" s="538">
        <v>0</v>
      </c>
    </row>
    <row r="48" spans="1:43" ht="21" customHeight="1">
      <c r="A48" s="857" t="s">
        <v>282</v>
      </c>
      <c r="B48" s="857" t="s">
        <v>283</v>
      </c>
      <c r="C48" s="857" t="s">
        <v>284</v>
      </c>
      <c r="D48" s="857" t="s">
        <v>532</v>
      </c>
      <c r="E48" s="1195"/>
      <c r="F48" s="1195"/>
      <c r="G48" s="1195"/>
      <c r="H48" s="1195"/>
      <c r="I48" s="1214"/>
      <c r="J48" s="1192"/>
      <c r="P48" s="1031"/>
      <c r="Q48" s="1031"/>
      <c r="R48" s="842"/>
      <c r="S48" s="315"/>
      <c r="T48" s="318" t="s">
        <v>497</v>
      </c>
      <c r="U48" s="52"/>
      <c r="V48" s="52"/>
      <c r="W48" s="52"/>
      <c r="X48" s="52"/>
      <c r="Y48" s="52"/>
      <c r="Z48" s="52"/>
      <c r="AA48" s="52"/>
      <c r="AB48" s="52"/>
      <c r="AC48" s="52"/>
      <c r="AD48" s="52"/>
      <c r="AE48" s="52"/>
      <c r="AF48" s="52"/>
      <c r="AG48" s="52"/>
      <c r="AH48" s="52"/>
      <c r="AI48" s="52"/>
      <c r="AJ48" s="52"/>
      <c r="AK48" s="835" t="s">
        <v>498</v>
      </c>
      <c r="AN48" s="582" t="str">
        <f t="shared" si="1"/>
        <v>Добавить значение признака дифференциации</v>
      </c>
      <c r="AQ48" s="538">
        <v>20</v>
      </c>
    </row>
    <row r="49" spans="1:43" ht="21.95" customHeight="1">
      <c r="A49" s="857" t="s">
        <v>282</v>
      </c>
      <c r="B49" s="857" t="s">
        <v>283</v>
      </c>
      <c r="C49" s="857" t="s">
        <v>284</v>
      </c>
      <c r="D49" s="857" t="s">
        <v>532</v>
      </c>
      <c r="E49" s="1195"/>
      <c r="F49" s="1195"/>
      <c r="G49" s="1195"/>
      <c r="H49" s="1195"/>
      <c r="I49" s="1192"/>
      <c r="P49" s="1031"/>
      <c r="R49" s="842"/>
      <c r="S49" s="315"/>
      <c r="T49" s="321" t="s">
        <v>423</v>
      </c>
      <c r="U49" s="52"/>
      <c r="V49" s="52"/>
      <c r="W49" s="52"/>
      <c r="X49" s="52"/>
      <c r="Y49" s="52"/>
      <c r="Z49" s="52"/>
      <c r="AA49" s="52"/>
      <c r="AB49" s="319"/>
      <c r="AC49" s="52"/>
      <c r="AD49" s="52"/>
      <c r="AE49" s="52"/>
      <c r="AF49" s="52"/>
      <c r="AG49" s="52"/>
      <c r="AH49" s="52"/>
      <c r="AI49" s="319"/>
      <c r="AJ49" s="52"/>
      <c r="AK49" s="399"/>
      <c r="AN49" s="582" t="str">
        <f t="shared" si="1"/>
        <v>Добавить группу потребителей</v>
      </c>
      <c r="AQ49" s="538">
        <v>21</v>
      </c>
    </row>
    <row r="50" spans="1:43" ht="21.95" customHeight="1">
      <c r="A50" s="857" t="s">
        <v>282</v>
      </c>
      <c r="B50" s="857" t="s">
        <v>283</v>
      </c>
      <c r="C50" s="857" t="s">
        <v>284</v>
      </c>
      <c r="D50" s="857" t="s">
        <v>532</v>
      </c>
      <c r="E50" s="1195"/>
      <c r="F50" s="1195"/>
      <c r="G50" s="1195"/>
      <c r="H50" s="1194"/>
      <c r="R50" s="310"/>
      <c r="S50" s="315"/>
      <c r="T50" s="376" t="s">
        <v>499</v>
      </c>
      <c r="U50" s="52"/>
      <c r="V50" s="52"/>
      <c r="W50" s="52"/>
      <c r="X50" s="52"/>
      <c r="Y50" s="52"/>
      <c r="Z50" s="52"/>
      <c r="AA50" s="52"/>
      <c r="AB50" s="319"/>
      <c r="AC50" s="52"/>
      <c r="AD50" s="52"/>
      <c r="AE50" s="52"/>
      <c r="AF50" s="52"/>
      <c r="AG50" s="52"/>
      <c r="AH50" s="52"/>
      <c r="AI50" s="319"/>
      <c r="AJ50" s="52"/>
      <c r="AK50" s="320"/>
      <c r="AN50" s="582" t="str">
        <f t="shared" si="1"/>
        <v>Добавить наименование признака дифференциации</v>
      </c>
      <c r="AQ50" s="538">
        <v>21</v>
      </c>
    </row>
    <row r="51" spans="1:43" ht="0" hidden="1" customHeight="1">
      <c r="A51" s="574" t="s">
        <v>282</v>
      </c>
      <c r="B51" s="574" t="s">
        <v>283</v>
      </c>
      <c r="E51" s="1195"/>
      <c r="F51" s="1194"/>
      <c r="T51" s="326" t="s">
        <v>426</v>
      </c>
      <c r="AN51" s="582" t="str">
        <f t="shared" si="1"/>
        <v>Добавить централизованную систему для дифференциации</v>
      </c>
      <c r="AQ51" s="577">
        <v>0</v>
      </c>
    </row>
    <row r="52" spans="1:43" ht="0" hidden="1" customHeight="1">
      <c r="A52" s="574" t="s">
        <v>282</v>
      </c>
      <c r="E52" s="1194"/>
      <c r="T52" s="326" t="s">
        <v>427</v>
      </c>
      <c r="AN52" s="582" t="str">
        <f t="shared" si="1"/>
        <v>Добавить территорию для дифференциации</v>
      </c>
      <c r="AQ52" s="577">
        <v>0</v>
      </c>
    </row>
    <row r="53" spans="1:43" ht="0" hidden="1" customHeight="1">
      <c r="T53" s="326" t="s">
        <v>459</v>
      </c>
      <c r="AN53" s="582" t="str">
        <f t="shared" si="1"/>
        <v>Добавить наименование тарифа</v>
      </c>
      <c r="AQ53" s="577">
        <v>0</v>
      </c>
    </row>
    <row r="54" spans="1:43" ht="11.45" customHeight="1">
      <c r="AQ54" s="538">
        <v>11</v>
      </c>
    </row>
    <row r="55" spans="1:43" ht="14.65" customHeight="1">
      <c r="T55" s="1031"/>
      <c r="U55" s="1031"/>
      <c r="V55" s="1031"/>
      <c r="W55" s="1031"/>
      <c r="X55" s="1031"/>
      <c r="Y55" s="1031"/>
      <c r="Z55" s="1031"/>
      <c r="AA55" s="1031"/>
      <c r="AB55" s="1031"/>
      <c r="AC55" s="1031"/>
      <c r="AD55" s="1031"/>
      <c r="AE55" s="1031"/>
      <c r="AF55" s="1031"/>
      <c r="AG55" s="1031"/>
      <c r="AH55" s="1031"/>
      <c r="AI55" s="1031"/>
      <c r="AJ55" s="1031"/>
      <c r="AK55" s="1031"/>
      <c r="AQ55" s="538">
        <v>14</v>
      </c>
    </row>
    <row r="56" spans="1:43" ht="14.65" customHeight="1">
      <c r="AQ56" s="538">
        <v>14</v>
      </c>
    </row>
    <row r="57" spans="1:43" ht="14.65" customHeight="1">
      <c r="T57" s="1031"/>
      <c r="U57" s="1031"/>
      <c r="V57" s="1031"/>
      <c r="W57" s="1031"/>
      <c r="X57" s="1031"/>
      <c r="Y57" s="1031"/>
      <c r="Z57" s="1031"/>
      <c r="AA57" s="1031"/>
      <c r="AB57" s="1031"/>
      <c r="AC57" s="1031"/>
      <c r="AD57" s="1031"/>
      <c r="AE57" s="1031"/>
      <c r="AF57" s="1031"/>
      <c r="AG57" s="1031"/>
      <c r="AH57" s="1031"/>
      <c r="AI57" s="1031"/>
      <c r="AJ57" s="1031"/>
      <c r="AK57" s="1031"/>
      <c r="AQ57" s="538">
        <v>14</v>
      </c>
    </row>
    <row r="58" spans="1:43" ht="22.5" hidden="1" customHeight="1">
      <c r="A58" s="555" t="s">
        <v>81</v>
      </c>
      <c r="B58" s="555">
        <v>0</v>
      </c>
      <c r="C58" s="555">
        <v>0</v>
      </c>
      <c r="D58" s="555">
        <v>0</v>
      </c>
      <c r="E58" s="555">
        <v>0</v>
      </c>
      <c r="F58" s="555">
        <v>0</v>
      </c>
      <c r="G58" s="555">
        <v>0</v>
      </c>
      <c r="H58" s="555">
        <v>0</v>
      </c>
      <c r="I58" s="555">
        <v>0</v>
      </c>
      <c r="J58" s="555">
        <v>0</v>
      </c>
      <c r="K58" s="555">
        <v>0</v>
      </c>
      <c r="L58" s="667">
        <v>0</v>
      </c>
      <c r="M58" s="12">
        <v>0</v>
      </c>
      <c r="N58" s="12">
        <v>0</v>
      </c>
      <c r="O58" s="12">
        <v>0</v>
      </c>
      <c r="P58" s="300">
        <v>3</v>
      </c>
      <c r="Q58" s="821">
        <v>3</v>
      </c>
      <c r="R58" s="821">
        <v>3</v>
      </c>
      <c r="S58" s="553">
        <v>12</v>
      </c>
      <c r="T58" s="538">
        <v>35</v>
      </c>
      <c r="U58" s="538">
        <v>0</v>
      </c>
      <c r="V58" s="538">
        <v>0</v>
      </c>
      <c r="W58" s="538">
        <v>0</v>
      </c>
      <c r="X58" s="538">
        <v>0</v>
      </c>
      <c r="Y58" s="538">
        <v>0</v>
      </c>
      <c r="Z58" s="538">
        <v>0</v>
      </c>
      <c r="AA58" s="538">
        <v>0</v>
      </c>
      <c r="AB58" s="538">
        <v>0</v>
      </c>
      <c r="AC58" s="538">
        <v>24</v>
      </c>
      <c r="AD58" s="538">
        <v>24</v>
      </c>
      <c r="AE58" s="538">
        <v>24</v>
      </c>
      <c r="AF58" s="538">
        <v>11</v>
      </c>
      <c r="AG58" s="538">
        <v>3</v>
      </c>
      <c r="AH58" s="538">
        <v>11</v>
      </c>
      <c r="AI58" s="538">
        <v>0</v>
      </c>
      <c r="AJ58" s="538">
        <v>4</v>
      </c>
      <c r="AK58" s="538">
        <v>115</v>
      </c>
      <c r="AL58" s="577">
        <v>10</v>
      </c>
      <c r="AM58" s="577">
        <v>10</v>
      </c>
      <c r="AN58" s="577">
        <v>10</v>
      </c>
      <c r="AO58" s="577">
        <v>10</v>
      </c>
      <c r="AP58" s="577">
        <v>10</v>
      </c>
      <c r="AQ58" s="538">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029" hidden="1" customWidth="1"/>
    <col min="2" max="2" width="11" style="1029" hidden="1" customWidth="1"/>
    <col min="3" max="3" width="10.5703125" style="1029" hidden="1"/>
    <col min="4" max="4" width="12.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2" style="1029" hidden="1" customWidth="1"/>
    <col min="10" max="10" width="9.85546875" style="1029" hidden="1" customWidth="1"/>
    <col min="11" max="11" width="11.42578125" style="1029" hidden="1" customWidth="1"/>
    <col min="12" max="12" width="19.140625" style="1029" hidden="1" customWidth="1"/>
    <col min="13" max="14" width="12.28515625" style="1029" hidden="1" customWidth="1"/>
    <col min="15" max="15" width="23.42578125" style="1029" hidden="1" customWidth="1"/>
    <col min="16" max="17" width="3.7109375" style="1029" hidden="1" customWidth="1"/>
    <col min="18" max="18" width="3" style="1029" customWidth="1"/>
    <col min="19" max="19" width="12" style="1029" customWidth="1"/>
    <col min="20" max="20" width="31" style="1029" customWidth="1"/>
    <col min="21" max="21" width="0.140625" style="1029" customWidth="1"/>
    <col min="22" max="25" width="21.7109375" style="1029" hidden="1" customWidth="1"/>
    <col min="26" max="26" width="11.7109375" style="1029" hidden="1" customWidth="1"/>
    <col min="27" max="27" width="3.7109375" style="1029" hidden="1" customWidth="1"/>
    <col min="28" max="28" width="11.7109375" style="1029" hidden="1" customWidth="1"/>
    <col min="29" max="29" width="8.5703125" style="1029" hidden="1" customWidth="1"/>
    <col min="30" max="30" width="3.7109375" style="1029" customWidth="1"/>
    <col min="31" max="32" width="3" style="1029" customWidth="1"/>
    <col min="33" max="33" width="24" style="1029" customWidth="1"/>
    <col min="34" max="34" width="3.7109375" style="1029" customWidth="1"/>
    <col min="35" max="36" width="3" style="1029" customWidth="1"/>
    <col min="37" max="37" width="24" style="1029" customWidth="1"/>
    <col min="38" max="38" width="3.7109375" style="1029" customWidth="1"/>
    <col min="39" max="40" width="3" style="1029" customWidth="1"/>
    <col min="41" max="41" width="18" style="1029" customWidth="1"/>
    <col min="42" max="42" width="3.7109375" style="1029" customWidth="1"/>
    <col min="43" max="44" width="3" style="1029" customWidth="1"/>
    <col min="45" max="45" width="18" style="1029" customWidth="1"/>
    <col min="46" max="49" width="21" style="1029" customWidth="1"/>
    <col min="50" max="50" width="11" style="1029" customWidth="1"/>
    <col min="51" max="51" width="3.7109375" style="1029" customWidth="1"/>
    <col min="52" max="52" width="11" style="1029" customWidth="1"/>
    <col min="53" max="53" width="8.5703125" style="1029" hidden="1" customWidth="1"/>
    <col min="54" max="54" width="4" style="1029" customWidth="1"/>
    <col min="55" max="55" width="115" style="1029" customWidth="1"/>
    <col min="56" max="60" width="10" style="1029" customWidth="1"/>
    <col min="61" max="61" width="10.5703125" style="1029" hidden="1"/>
  </cols>
  <sheetData>
    <row r="1" spans="5:61" ht="22.5" hidden="1" customHeight="1">
      <c r="BI1" s="538" t="s">
        <v>14</v>
      </c>
    </row>
    <row r="2" spans="5:61" ht="21" hidden="1" customHeight="1">
      <c r="E2" s="1194">
        <v>1</v>
      </c>
      <c r="R2" s="310"/>
      <c r="S2" s="832" t="e">
        <f>INDEX(PT_DIFFERENTIATION_NUM_NTAR,MATCH(A2,PT_DIFFERENTIATION_NTAR_ID,0))</f>
        <v>#N/A</v>
      </c>
      <c r="T2" s="795" t="s">
        <v>136</v>
      </c>
      <c r="U2" s="833"/>
      <c r="V2" s="1181"/>
      <c r="W2" s="1181"/>
      <c r="X2" s="1181"/>
      <c r="Y2" s="1181"/>
      <c r="Z2" s="1181"/>
      <c r="AA2" s="1181"/>
      <c r="AB2" s="1181"/>
      <c r="AC2" s="1182"/>
      <c r="AD2" s="1180" t="e">
        <f>INDEX(PT_DIFFERENTIATION_NTAR,MATCH(A2,PT_DIFFERENTIATION_NTAR_ID,0))</f>
        <v>#N/A</v>
      </c>
      <c r="AE2" s="1181"/>
      <c r="AF2" s="1181"/>
      <c r="AG2" s="1181"/>
      <c r="AH2" s="1181"/>
      <c r="AI2" s="1181"/>
      <c r="AJ2" s="1181"/>
      <c r="AK2" s="1181"/>
      <c r="AL2" s="1181"/>
      <c r="AM2" s="1181"/>
      <c r="AN2" s="1181"/>
      <c r="AO2" s="1181"/>
      <c r="AP2" s="1181"/>
      <c r="AQ2" s="1181"/>
      <c r="AR2" s="1181"/>
      <c r="AS2" s="1181"/>
      <c r="AT2" s="1181"/>
      <c r="AU2" s="1181"/>
      <c r="AV2" s="1181"/>
      <c r="AW2" s="1181"/>
      <c r="AX2" s="1181"/>
      <c r="AY2" s="1181"/>
      <c r="AZ2" s="1181"/>
      <c r="BA2" s="1181"/>
      <c r="BB2" s="1182"/>
      <c r="BC2"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2" s="582" t="str">
        <f t="shared" ref="BF2:BF8" si="0">IF(T2="","",T2)</f>
        <v>Наименование тарифа</v>
      </c>
      <c r="BI2" s="538">
        <v>0</v>
      </c>
    </row>
    <row r="3" spans="5:61" ht="21" hidden="1" customHeight="1">
      <c r="E3" s="1195"/>
      <c r="F3" s="1194">
        <v>1</v>
      </c>
      <c r="Q3" s="879"/>
      <c r="R3" s="837"/>
      <c r="S3" s="832" t="e">
        <f>INDEX(PT_DIFFERENTIATION_NUM_TER,MATCH(B3,PT_DIFFERENTIATION_TER_ID,0))</f>
        <v>#N/A</v>
      </c>
      <c r="T3" s="838" t="s">
        <v>408</v>
      </c>
      <c r="U3" s="833"/>
      <c r="V3" s="1181"/>
      <c r="W3" s="1181"/>
      <c r="X3" s="1181"/>
      <c r="Y3" s="1181"/>
      <c r="Z3" s="1181"/>
      <c r="AA3" s="1181"/>
      <c r="AB3" s="1181"/>
      <c r="AC3" s="1182"/>
      <c r="AD3" s="1180" t="e">
        <f>INDEX(PT_DIFFERENTIATION_TER,MATCH(B3,PT_DIFFERENTIATION_TER_ID,0))</f>
        <v>#N/A</v>
      </c>
      <c r="AE3" s="1181"/>
      <c r="AF3" s="1181"/>
      <c r="AG3" s="1181"/>
      <c r="AH3" s="1181"/>
      <c r="AI3" s="1181"/>
      <c r="AJ3" s="1181"/>
      <c r="AK3" s="1181"/>
      <c r="AL3" s="1181"/>
      <c r="AM3" s="1181"/>
      <c r="AN3" s="1181"/>
      <c r="AO3" s="1181"/>
      <c r="AP3" s="1181"/>
      <c r="AQ3" s="1181"/>
      <c r="AR3" s="1181"/>
      <c r="AS3" s="1181"/>
      <c r="AT3" s="1181"/>
      <c r="AU3" s="1181"/>
      <c r="AV3" s="1181"/>
      <c r="AW3" s="1181"/>
      <c r="AX3" s="1181"/>
      <c r="AY3" s="1181"/>
      <c r="AZ3" s="1181"/>
      <c r="BA3" s="1181"/>
      <c r="BB3" s="1182"/>
      <c r="BC3" s="835" t="s">
        <v>409</v>
      </c>
      <c r="BF3" s="582" t="str">
        <f t="shared" si="0"/>
        <v>Территория действия тарифа</v>
      </c>
      <c r="BI3" s="538">
        <v>0</v>
      </c>
    </row>
    <row r="4" spans="5:61" ht="33.75" hidden="1" customHeight="1">
      <c r="E4" s="1195"/>
      <c r="F4" s="1195"/>
      <c r="G4" s="1194">
        <v>1</v>
      </c>
      <c r="Q4" s="879"/>
      <c r="R4" s="837"/>
      <c r="S4" s="832" t="e">
        <f>INDEX(PT_DIFFERENTIATION_NUM_CS,MATCH(C4,PT_DIFFERENTIATION_CS_ID,0))</f>
        <v>#N/A</v>
      </c>
      <c r="T4" s="839" t="s">
        <v>527</v>
      </c>
      <c r="U4" s="833"/>
      <c r="V4" s="1181"/>
      <c r="W4" s="1181"/>
      <c r="X4" s="1181"/>
      <c r="Y4" s="1181"/>
      <c r="Z4" s="1181"/>
      <c r="AA4" s="1181"/>
      <c r="AB4" s="1181"/>
      <c r="AC4" s="1182"/>
      <c r="AD4" s="1180" t="e">
        <f>INDEX(PT_DIFFERENTIATION_CS,MATCH(C4,PT_DIFFERENTIATION_CS_ID,0))</f>
        <v>#N/A</v>
      </c>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1"/>
      <c r="BB4" s="1182"/>
      <c r="BC4" s="835" t="s">
        <v>528</v>
      </c>
      <c r="BF4" s="582" t="str">
        <f t="shared" si="0"/>
        <v>Наименование централизованной системы водоотведения</v>
      </c>
      <c r="BI4" s="538">
        <v>0</v>
      </c>
    </row>
    <row r="5" spans="5:61" ht="14.25" hidden="1" customHeight="1">
      <c r="E5" s="1195"/>
      <c r="F5" s="1195"/>
      <c r="G5" s="1195"/>
      <c r="H5" s="1194">
        <v>1</v>
      </c>
      <c r="Q5" s="908"/>
      <c r="R5" s="844"/>
      <c r="S5" s="635"/>
      <c r="T5" s="909"/>
      <c r="U5" s="860"/>
      <c r="V5" s="1223"/>
      <c r="W5" s="1223"/>
      <c r="X5" s="1223"/>
      <c r="Y5" s="1223"/>
      <c r="Z5" s="1223"/>
      <c r="AA5" s="1223"/>
      <c r="AB5" s="1223"/>
      <c r="AC5" s="1224"/>
      <c r="AD5" s="1222"/>
      <c r="AE5" s="1223"/>
      <c r="AF5" s="1223"/>
      <c r="AG5" s="1223"/>
      <c r="AH5" s="1223"/>
      <c r="AI5" s="1223"/>
      <c r="AJ5" s="1223"/>
      <c r="AK5" s="1223"/>
      <c r="AL5" s="1223"/>
      <c r="AM5" s="1223"/>
      <c r="AN5" s="1223"/>
      <c r="AO5" s="1223"/>
      <c r="AP5" s="1223"/>
      <c r="AQ5" s="1223"/>
      <c r="AR5" s="1223"/>
      <c r="AS5" s="1223"/>
      <c r="AT5" s="1223"/>
      <c r="AU5" s="1223"/>
      <c r="AV5" s="1223"/>
      <c r="AW5" s="1223"/>
      <c r="AX5" s="1223"/>
      <c r="AY5" s="1223"/>
      <c r="AZ5" s="1223"/>
      <c r="BA5" s="1223"/>
      <c r="BB5" s="1224"/>
      <c r="BC5" s="862" t="s">
        <v>413</v>
      </c>
      <c r="BF5" s="582" t="str">
        <f t="shared" si="0"/>
        <v/>
      </c>
      <c r="BI5" s="577">
        <v>0</v>
      </c>
    </row>
    <row r="6" spans="5:61" ht="14.25" hidden="1" customHeight="1">
      <c r="E6" s="1195"/>
      <c r="F6" s="1195"/>
      <c r="G6" s="1195"/>
      <c r="H6" s="1195"/>
      <c r="I6" s="1192" t="str">
        <f>S5&amp;".1"</f>
        <v>.1</v>
      </c>
      <c r="L6" s="863" t="s">
        <v>414</v>
      </c>
      <c r="P6" s="1193">
        <v>1</v>
      </c>
      <c r="R6" s="842"/>
      <c r="S6" s="635"/>
      <c r="T6" s="859"/>
      <c r="U6" s="860"/>
      <c r="V6" s="1223"/>
      <c r="W6" s="1223"/>
      <c r="X6" s="1223"/>
      <c r="Y6" s="1223"/>
      <c r="Z6" s="1223"/>
      <c r="AA6" s="1223"/>
      <c r="AB6" s="1223"/>
      <c r="AC6" s="1224"/>
      <c r="AD6" s="1222"/>
      <c r="AE6" s="1223"/>
      <c r="AF6" s="1223"/>
      <c r="AG6" s="1223"/>
      <c r="AH6" s="1223"/>
      <c r="AI6" s="1223"/>
      <c r="AJ6" s="1223"/>
      <c r="AK6" s="1223"/>
      <c r="AL6" s="1223"/>
      <c r="AM6" s="1223"/>
      <c r="AN6" s="1223"/>
      <c r="AO6" s="1223"/>
      <c r="AP6" s="1223"/>
      <c r="AQ6" s="1223"/>
      <c r="AR6" s="1223"/>
      <c r="AS6" s="1223"/>
      <c r="AT6" s="1223"/>
      <c r="AU6" s="1223"/>
      <c r="AV6" s="1223"/>
      <c r="AW6" s="1223"/>
      <c r="AX6" s="1223"/>
      <c r="AY6" s="1223"/>
      <c r="AZ6" s="1223"/>
      <c r="BA6" s="1223"/>
      <c r="BB6" s="1224"/>
      <c r="BC6" s="862"/>
      <c r="BF6" s="582" t="str">
        <f t="shared" si="0"/>
        <v/>
      </c>
      <c r="BI6" s="577">
        <v>0</v>
      </c>
    </row>
    <row r="7" spans="5:61" ht="14.25" hidden="1" customHeight="1">
      <c r="E7" s="1195"/>
      <c r="F7" s="1195"/>
      <c r="G7" s="1195"/>
      <c r="H7" s="1195"/>
      <c r="I7" s="1214"/>
      <c r="J7" s="1192" t="str">
        <f>S5&amp;".1"</f>
        <v>.1</v>
      </c>
      <c r="P7" s="1031"/>
      <c r="Q7" s="1193">
        <v>1</v>
      </c>
      <c r="R7" s="844"/>
      <c r="S7" s="635"/>
      <c r="T7" s="880"/>
      <c r="U7" s="860"/>
      <c r="V7" s="1223"/>
      <c r="W7" s="1223"/>
      <c r="X7" s="1223"/>
      <c r="Y7" s="1223"/>
      <c r="Z7" s="1223"/>
      <c r="AA7" s="1223"/>
      <c r="AB7" s="1223"/>
      <c r="AC7" s="1224"/>
      <c r="AD7" s="1222"/>
      <c r="AE7" s="1223"/>
      <c r="AF7" s="1223"/>
      <c r="AG7" s="1223"/>
      <c r="AH7" s="1223"/>
      <c r="AI7" s="1223"/>
      <c r="AJ7" s="1223"/>
      <c r="AK7" s="1223"/>
      <c r="AL7" s="1223"/>
      <c r="AM7" s="1223"/>
      <c r="AN7" s="1223"/>
      <c r="AO7" s="1223"/>
      <c r="AP7" s="1223"/>
      <c r="AQ7" s="1223"/>
      <c r="AR7" s="1223"/>
      <c r="AS7" s="1223"/>
      <c r="AT7" s="1223"/>
      <c r="AU7" s="1223"/>
      <c r="AV7" s="1223"/>
      <c r="AW7" s="1223"/>
      <c r="AX7" s="1223"/>
      <c r="AY7" s="1223"/>
      <c r="AZ7" s="1223"/>
      <c r="BA7" s="1223"/>
      <c r="BB7" s="1224"/>
      <c r="BC7" s="862"/>
      <c r="BF7" s="582" t="str">
        <f t="shared" si="0"/>
        <v/>
      </c>
      <c r="BI7" s="577">
        <v>0</v>
      </c>
    </row>
    <row r="8" spans="5:61" ht="11.25" hidden="1" customHeight="1">
      <c r="E8" s="1195"/>
      <c r="F8" s="1195"/>
      <c r="G8" s="1195"/>
      <c r="H8" s="1195"/>
      <c r="I8" s="1214"/>
      <c r="J8" s="1214"/>
      <c r="K8" s="1192" t="e">
        <f>S4&amp;".1"</f>
        <v>#N/A</v>
      </c>
      <c r="P8" s="1031"/>
      <c r="Q8" s="1031"/>
      <c r="R8" s="1257">
        <v>1</v>
      </c>
      <c r="S8" s="1251" t="e">
        <f>$K8</f>
        <v>#N/A</v>
      </c>
      <c r="T8" s="1270"/>
      <c r="U8" s="833"/>
      <c r="V8" s="311"/>
      <c r="W8" s="313"/>
      <c r="X8" s="311"/>
      <c r="Y8" s="313"/>
      <c r="Z8" s="203"/>
      <c r="AA8" s="56" t="s">
        <v>61</v>
      </c>
      <c r="AB8" s="203"/>
      <c r="AC8" s="56" t="s">
        <v>61</v>
      </c>
      <c r="AD8" s="1134" t="s">
        <v>61</v>
      </c>
      <c r="AE8" s="1236"/>
      <c r="AF8" s="1150">
        <v>1</v>
      </c>
      <c r="AG8" s="1273"/>
      <c r="AH8" s="1058" t="s">
        <v>61</v>
      </c>
      <c r="AI8" s="1236"/>
      <c r="AJ8" s="1150">
        <v>1</v>
      </c>
      <c r="AK8" s="1237" t="s">
        <v>22</v>
      </c>
      <c r="AL8" s="1058" t="s">
        <v>61</v>
      </c>
      <c r="AM8" s="1141"/>
      <c r="AN8" s="1150">
        <v>1</v>
      </c>
      <c r="AO8" s="1267"/>
      <c r="AP8" s="1268" t="s">
        <v>61</v>
      </c>
      <c r="AQ8" s="882"/>
      <c r="AR8" s="92">
        <v>1</v>
      </c>
      <c r="AS8" s="14" t="s">
        <v>22</v>
      </c>
      <c r="AT8" s="311"/>
      <c r="AU8" s="313"/>
      <c r="AV8" s="311"/>
      <c r="AW8" s="313"/>
      <c r="AX8" s="203"/>
      <c r="AY8" s="56" t="s">
        <v>61</v>
      </c>
      <c r="AZ8" s="203"/>
      <c r="BA8" s="56" t="s">
        <v>61</v>
      </c>
      <c r="BB8" s="331"/>
      <c r="BC8" s="1189" t="s">
        <v>512</v>
      </c>
      <c r="BF8" s="582" t="str">
        <f t="shared" si="0"/>
        <v/>
      </c>
      <c r="BI8" s="538">
        <v>0</v>
      </c>
    </row>
    <row r="9" spans="5:61" ht="11.25" hidden="1" customHeight="1">
      <c r="E9" s="1195"/>
      <c r="F9" s="1195"/>
      <c r="G9" s="1195"/>
      <c r="H9" s="1195"/>
      <c r="I9" s="1214"/>
      <c r="J9" s="1214"/>
      <c r="K9" s="1192"/>
      <c r="P9" s="1031"/>
      <c r="Q9" s="1031"/>
      <c r="R9" s="1257"/>
      <c r="S9" s="1252"/>
      <c r="T9" s="1271"/>
      <c r="U9" s="833"/>
      <c r="V9" s="344"/>
      <c r="W9" s="351"/>
      <c r="X9" s="344"/>
      <c r="Y9" s="351"/>
      <c r="Z9" s="344"/>
      <c r="AA9" s="344"/>
      <c r="AB9" s="344"/>
      <c r="AC9" s="344"/>
      <c r="AD9" s="1135"/>
      <c r="AE9" s="1236"/>
      <c r="AF9" s="1150"/>
      <c r="AG9" s="1273"/>
      <c r="AH9" s="1058"/>
      <c r="AI9" s="1236"/>
      <c r="AJ9" s="1150"/>
      <c r="AK9" s="1237"/>
      <c r="AL9" s="1058"/>
      <c r="AM9" s="1146"/>
      <c r="AN9" s="1150"/>
      <c r="AO9" s="1267"/>
      <c r="AP9" s="1269"/>
      <c r="AQ9" s="264"/>
      <c r="AR9" s="49"/>
      <c r="AS9" s="49" t="s">
        <v>513</v>
      </c>
      <c r="AT9" s="344"/>
      <c r="AU9" s="351"/>
      <c r="AV9" s="344"/>
      <c r="AW9" s="351"/>
      <c r="AX9" s="344"/>
      <c r="AY9" s="344"/>
      <c r="AZ9" s="344"/>
      <c r="BA9" s="344"/>
      <c r="BB9" s="350"/>
      <c r="BC9" s="1190"/>
      <c r="BI9" s="538">
        <v>0</v>
      </c>
    </row>
    <row r="10" spans="5:61" ht="11.25" hidden="1" customHeight="1">
      <c r="E10" s="1195"/>
      <c r="F10" s="1195"/>
      <c r="G10" s="1195"/>
      <c r="H10" s="1195"/>
      <c r="I10" s="1214"/>
      <c r="J10" s="1214"/>
      <c r="K10" s="1192"/>
      <c r="P10" s="1031"/>
      <c r="Q10" s="1031"/>
      <c r="R10" s="1257"/>
      <c r="S10" s="1252"/>
      <c r="T10" s="1271"/>
      <c r="U10" s="833"/>
      <c r="V10" s="344"/>
      <c r="W10" s="351"/>
      <c r="X10" s="344"/>
      <c r="Y10" s="351"/>
      <c r="Z10" s="344"/>
      <c r="AA10" s="344"/>
      <c r="AB10" s="344"/>
      <c r="AC10" s="344"/>
      <c r="AD10" s="1135"/>
      <c r="AE10" s="1236"/>
      <c r="AF10" s="1150"/>
      <c r="AG10" s="1273"/>
      <c r="AH10" s="1058"/>
      <c r="AI10" s="1236"/>
      <c r="AJ10" s="1150"/>
      <c r="AK10" s="1237"/>
      <c r="AL10" s="1058"/>
      <c r="AM10" s="264"/>
      <c r="AN10" s="303"/>
      <c r="AO10" s="303" t="s">
        <v>533</v>
      </c>
      <c r="AP10" s="49"/>
      <c r="AQ10" s="49"/>
      <c r="AR10" s="49"/>
      <c r="AS10" s="344"/>
      <c r="AT10" s="344"/>
      <c r="AU10" s="351"/>
      <c r="AV10" s="344"/>
      <c r="AW10" s="351"/>
      <c r="AX10" s="344"/>
      <c r="AY10" s="344"/>
      <c r="AZ10" s="344"/>
      <c r="BA10" s="344"/>
      <c r="BB10" s="350"/>
      <c r="BC10" s="1190"/>
      <c r="BI10" s="538">
        <v>0</v>
      </c>
    </row>
    <row r="11" spans="5:61" ht="11.25" hidden="1" customHeight="1">
      <c r="E11" s="1195"/>
      <c r="F11" s="1195"/>
      <c r="G11" s="1195"/>
      <c r="H11" s="1195"/>
      <c r="I11" s="1214"/>
      <c r="J11" s="1214"/>
      <c r="K11" s="1192"/>
      <c r="P11" s="1031"/>
      <c r="Q11" s="1031"/>
      <c r="R11" s="1257"/>
      <c r="S11" s="1252"/>
      <c r="T11" s="1271"/>
      <c r="U11" s="833"/>
      <c r="V11" s="344"/>
      <c r="W11" s="351"/>
      <c r="X11" s="344"/>
      <c r="Y11" s="351"/>
      <c r="Z11" s="344"/>
      <c r="AA11" s="344"/>
      <c r="AB11" s="344"/>
      <c r="AC11" s="344"/>
      <c r="AD11" s="1135"/>
      <c r="AE11" s="1236"/>
      <c r="AF11" s="1150"/>
      <c r="AG11" s="1273"/>
      <c r="AH11" s="1058"/>
      <c r="AI11" s="353"/>
      <c r="AJ11" s="44"/>
      <c r="AK11" s="120" t="s">
        <v>534</v>
      </c>
      <c r="AL11" s="344"/>
      <c r="AM11" s="344"/>
      <c r="AN11" s="344"/>
      <c r="AO11" s="344"/>
      <c r="AP11" s="344"/>
      <c r="AQ11" s="344"/>
      <c r="AR11" s="344"/>
      <c r="AS11" s="344"/>
      <c r="AT11" s="344"/>
      <c r="AU11" s="351"/>
      <c r="AV11" s="344"/>
      <c r="AW11" s="351"/>
      <c r="AX11" s="344"/>
      <c r="AY11" s="344"/>
      <c r="AZ11" s="344"/>
      <c r="BA11" s="344"/>
      <c r="BB11" s="350"/>
      <c r="BC11" s="1190"/>
      <c r="BI11" s="538">
        <v>0</v>
      </c>
    </row>
    <row r="12" spans="5:61" ht="11.25" hidden="1" customHeight="1">
      <c r="E12" s="1195"/>
      <c r="F12" s="1195"/>
      <c r="G12" s="1195"/>
      <c r="H12" s="1195"/>
      <c r="I12" s="1214"/>
      <c r="J12" s="1214"/>
      <c r="K12" s="1192"/>
      <c r="P12" s="1031"/>
      <c r="Q12" s="1031"/>
      <c r="R12" s="1257"/>
      <c r="S12" s="1253"/>
      <c r="T12" s="1272"/>
      <c r="U12" s="833"/>
      <c r="V12" s="344"/>
      <c r="W12" s="345" t="str">
        <f>Z8&amp;"-"&amp;AB8</f>
        <v>-</v>
      </c>
      <c r="X12" s="344"/>
      <c r="Y12" s="345" t="str">
        <f>AB8&amp;"-"&amp;AD8</f>
        <v>-да</v>
      </c>
      <c r="Z12" s="344"/>
      <c r="AA12" s="344"/>
      <c r="AB12" s="344"/>
      <c r="AC12" s="344"/>
      <c r="AD12" s="1072"/>
      <c r="AE12" s="355"/>
      <c r="AF12" s="356"/>
      <c r="AG12" s="49" t="s">
        <v>516</v>
      </c>
      <c r="AH12" s="344"/>
      <c r="AI12" s="344"/>
      <c r="AJ12" s="344"/>
      <c r="AK12" s="344"/>
      <c r="AL12" s="344"/>
      <c r="AM12" s="344"/>
      <c r="AN12" s="344"/>
      <c r="AO12" s="344"/>
      <c r="AP12" s="344"/>
      <c r="AQ12" s="344"/>
      <c r="AR12" s="344"/>
      <c r="AS12" s="344"/>
      <c r="AT12" s="344"/>
      <c r="AU12" s="345" t="str">
        <f>AX8&amp;"-"&amp;AZ8</f>
        <v>-</v>
      </c>
      <c r="AV12" s="344"/>
      <c r="AW12" s="345" t="str">
        <f>AZ8&amp;"-"&amp;BB8</f>
        <v>-</v>
      </c>
      <c r="AX12" s="344"/>
      <c r="AY12" s="344"/>
      <c r="AZ12" s="344"/>
      <c r="BA12" s="344"/>
      <c r="BB12" s="354" t="str">
        <f>BE8&amp;"-"&amp;BG8</f>
        <v>-</v>
      </c>
      <c r="BC12" s="1190"/>
      <c r="BF12" s="582" t="str">
        <f t="shared" ref="BF12:BF18" si="1">IF(T12="","",T12)</f>
        <v/>
      </c>
      <c r="BI12" s="538">
        <v>0</v>
      </c>
    </row>
    <row r="13" spans="5:61" ht="11.25" hidden="1" customHeight="1">
      <c r="E13" s="1195"/>
      <c r="F13" s="1195"/>
      <c r="G13" s="1195"/>
      <c r="H13" s="1195"/>
      <c r="I13" s="1214"/>
      <c r="J13" s="1192"/>
      <c r="P13" s="1031"/>
      <c r="Q13" s="1031"/>
      <c r="R13" s="842"/>
      <c r="S13" s="315"/>
      <c r="T13" s="318" t="s">
        <v>479</v>
      </c>
      <c r="U13" s="52"/>
      <c r="V13" s="52"/>
      <c r="W13" s="52"/>
      <c r="X13" s="52"/>
      <c r="Y13" s="52"/>
      <c r="Z13" s="52"/>
      <c r="AA13" s="52"/>
      <c r="AB13" s="52"/>
      <c r="AC13" s="52"/>
      <c r="AD13" s="361"/>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317"/>
      <c r="BC13" s="1191"/>
      <c r="BF13" s="582" t="str">
        <f t="shared" si="1"/>
        <v>Добавить строку</v>
      </c>
      <c r="BI13" s="538">
        <v>0</v>
      </c>
    </row>
    <row r="14" spans="5:61" ht="14.25" hidden="1" customHeight="1">
      <c r="E14" s="1195"/>
      <c r="F14" s="1195"/>
      <c r="G14" s="1195"/>
      <c r="H14" s="1195"/>
      <c r="I14" s="1192"/>
      <c r="P14" s="1031"/>
      <c r="R14" s="842"/>
      <c r="S14" s="334"/>
      <c r="T14" s="335"/>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c r="AT14" s="336"/>
      <c r="AU14" s="336"/>
      <c r="AV14" s="336"/>
      <c r="AW14" s="336"/>
      <c r="AX14" s="336"/>
      <c r="AY14" s="336"/>
      <c r="AZ14" s="336"/>
      <c r="BA14" s="336"/>
      <c r="BB14" s="336"/>
      <c r="BC14" s="337"/>
      <c r="BF14" s="582" t="str">
        <f t="shared" si="1"/>
        <v/>
      </c>
      <c r="BI14" s="577">
        <v>0</v>
      </c>
    </row>
    <row r="15" spans="5:61" ht="14.25" hidden="1" customHeight="1">
      <c r="E15" s="1195"/>
      <c r="F15" s="1195"/>
      <c r="G15" s="1195"/>
      <c r="H15" s="1194"/>
      <c r="R15" s="357"/>
      <c r="S15" s="334"/>
      <c r="T15" s="335"/>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7"/>
      <c r="BF15" s="582" t="str">
        <f t="shared" si="1"/>
        <v/>
      </c>
      <c r="BI15" s="577">
        <v>0</v>
      </c>
    </row>
    <row r="16" spans="5:61" ht="14.25" hidden="1" customHeight="1">
      <c r="E16" s="1195"/>
      <c r="F16" s="1195"/>
      <c r="G16" s="1194"/>
      <c r="BF16" s="582" t="str">
        <f t="shared" si="1"/>
        <v/>
      </c>
      <c r="BI16" s="577">
        <v>0</v>
      </c>
    </row>
    <row r="17" spans="5:61" ht="14.25" hidden="1" customHeight="1">
      <c r="E17" s="1195"/>
      <c r="F17" s="1194"/>
      <c r="T17" s="326" t="s">
        <v>426</v>
      </c>
      <c r="BF17" s="582" t="str">
        <f t="shared" si="1"/>
        <v>Добавить централизованную систему для дифференциации</v>
      </c>
      <c r="BI17" s="577">
        <v>0</v>
      </c>
    </row>
    <row r="18" spans="5:61" ht="14.25" hidden="1" customHeight="1">
      <c r="E18" s="1194"/>
      <c r="T18" s="326" t="s">
        <v>427</v>
      </c>
      <c r="BF18" s="582" t="str">
        <f t="shared" si="1"/>
        <v>Добавить территорию для дифференциации</v>
      </c>
      <c r="BI18" s="577">
        <v>0</v>
      </c>
    </row>
    <row r="19" spans="5:61" ht="14.25" hidden="1" customHeight="1">
      <c r="BI19" s="538">
        <v>0</v>
      </c>
    </row>
    <row r="20" spans="5:61" ht="14.25" hidden="1" customHeight="1">
      <c r="AD20" s="358" t="s">
        <v>19</v>
      </c>
      <c r="AF20" s="358">
        <v>1</v>
      </c>
      <c r="AH20" s="358" t="s">
        <v>19</v>
      </c>
      <c r="AJ20" s="358">
        <v>1</v>
      </c>
      <c r="AL20" s="358" t="s">
        <v>19</v>
      </c>
      <c r="AN20" s="358">
        <v>1</v>
      </c>
      <c r="AP20" s="358" t="s">
        <v>19</v>
      </c>
      <c r="AR20" s="358">
        <v>1</v>
      </c>
      <c r="AT20" s="312"/>
      <c r="AU20" s="333"/>
      <c r="AV20" s="312"/>
      <c r="AW20" s="333"/>
      <c r="AX20" s="360"/>
      <c r="AY20" s="285" t="s">
        <v>61</v>
      </c>
      <c r="AZ20" s="360"/>
      <c r="BA20" s="285" t="s">
        <v>61</v>
      </c>
      <c r="BI20" s="538">
        <v>0</v>
      </c>
    </row>
    <row r="21" spans="5:61" ht="14.25" hidden="1" customHeight="1">
      <c r="BI21" s="538">
        <v>0</v>
      </c>
    </row>
    <row r="22" spans="5:61" ht="14.25" hidden="1" customHeight="1">
      <c r="O22" s="328" t="s">
        <v>428</v>
      </c>
      <c r="Z22" s="348"/>
      <c r="AB22" s="348"/>
      <c r="AX22" s="348"/>
      <c r="AZ22" s="348"/>
      <c r="BI22" s="538">
        <v>0</v>
      </c>
    </row>
    <row r="23" spans="5:61" ht="14.25" hidden="1" customHeight="1">
      <c r="BI23" s="538">
        <v>0</v>
      </c>
    </row>
    <row r="24" spans="5:61" ht="14.25" hidden="1" customHeight="1">
      <c r="O24" s="884" t="s">
        <v>429</v>
      </c>
      <c r="AA24" s="884" t="s">
        <v>431</v>
      </c>
      <c r="AC24" s="884" t="s">
        <v>432</v>
      </c>
      <c r="AD24" s="884" t="s">
        <v>480</v>
      </c>
      <c r="AH24" s="884" t="s">
        <v>480</v>
      </c>
      <c r="AK24" s="884" t="s">
        <v>517</v>
      </c>
      <c r="AL24" s="884" t="s">
        <v>480</v>
      </c>
      <c r="AP24" s="884" t="s">
        <v>480</v>
      </c>
      <c r="AY24" s="884" t="s">
        <v>431</v>
      </c>
      <c r="BA24" s="884" t="s">
        <v>432</v>
      </c>
      <c r="BI24" s="884">
        <v>0</v>
      </c>
    </row>
    <row r="25" spans="5:61" ht="14.25" hidden="1" customHeight="1">
      <c r="BI25" s="538">
        <v>0</v>
      </c>
    </row>
    <row r="26" spans="5:61" ht="14.25" hidden="1" customHeight="1">
      <c r="BI26" s="538">
        <v>0</v>
      </c>
    </row>
    <row r="27" spans="5:61" ht="14.65" customHeight="1">
      <c r="Q27" s="885"/>
      <c r="R27" s="756"/>
      <c r="S27" s="847"/>
      <c r="T27" s="556"/>
      <c r="U27" s="556"/>
      <c r="BI27" s="538">
        <v>14</v>
      </c>
    </row>
    <row r="28" spans="5:61" ht="14.65" customHeight="1">
      <c r="Q28" s="885"/>
      <c r="R28" s="756"/>
      <c r="S28" s="117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178"/>
      <c r="U28" s="1178"/>
      <c r="V28" s="1178"/>
      <c r="W28" s="1178"/>
      <c r="X28" s="1178"/>
      <c r="Y28" s="1178"/>
      <c r="Z28" s="1178"/>
      <c r="AA28" s="1178"/>
      <c r="AB28" s="1178"/>
      <c r="AC28" s="1178"/>
      <c r="AD28" s="1178"/>
      <c r="AE28" s="1178"/>
      <c r="AF28" s="1178"/>
      <c r="AG28" s="1178"/>
      <c r="AH28" s="1178"/>
      <c r="AI28" s="1178"/>
      <c r="AJ28" s="1178"/>
      <c r="AK28" s="1178"/>
      <c r="AL28" s="1178"/>
      <c r="AM28" s="1178"/>
      <c r="AN28" s="1178"/>
      <c r="AO28" s="1178"/>
      <c r="AP28" s="1178"/>
      <c r="AQ28" s="1178"/>
      <c r="AR28" s="1178"/>
      <c r="AS28" s="1178"/>
      <c r="AT28" s="1178"/>
      <c r="AU28" s="1178"/>
      <c r="AV28" s="1178"/>
      <c r="AW28" s="1178"/>
      <c r="AX28" s="1178"/>
      <c r="AY28" s="1178"/>
      <c r="AZ28" s="1178"/>
      <c r="BI28" s="538">
        <v>14</v>
      </c>
    </row>
    <row r="29" spans="5:61" ht="14.65" customHeight="1">
      <c r="Q29" s="885"/>
      <c r="R29" s="756"/>
      <c r="S29" s="1127" t="str">
        <f>IF(org=0,"Не определено",org)</f>
        <v>АО "НИЖЕГОРОДСКИЙ ВОДОКАНАЛ"</v>
      </c>
      <c r="T29" s="1127"/>
      <c r="U29" s="1127"/>
      <c r="V29" s="1127"/>
      <c r="W29" s="1127"/>
      <c r="X29" s="1127"/>
      <c r="Y29" s="1127"/>
      <c r="Z29" s="1127"/>
      <c r="AA29" s="1127"/>
      <c r="AB29" s="1127"/>
      <c r="AC29" s="1127"/>
      <c r="AD29" s="1127"/>
      <c r="AE29" s="1127"/>
      <c r="AF29" s="1127"/>
      <c r="AG29" s="1127"/>
      <c r="AH29" s="1127"/>
      <c r="AI29" s="1127"/>
      <c r="AJ29" s="1127"/>
      <c r="AK29" s="1127"/>
      <c r="AL29" s="1127"/>
      <c r="AM29" s="1127"/>
      <c r="AN29" s="1127"/>
      <c r="AO29" s="1127"/>
      <c r="AP29" s="1127"/>
      <c r="AQ29" s="1127"/>
      <c r="AR29" s="1127"/>
      <c r="AS29" s="1127"/>
      <c r="AT29" s="1127"/>
      <c r="AU29" s="1127"/>
      <c r="AV29" s="1127"/>
      <c r="AW29" s="1127"/>
      <c r="AX29" s="1127"/>
      <c r="AY29" s="1127"/>
      <c r="AZ29" s="1127"/>
      <c r="BI29" s="538">
        <v>14</v>
      </c>
    </row>
    <row r="30" spans="5:61" ht="14.25" hidden="1" customHeight="1">
      <c r="Q30" s="885"/>
      <c r="R30" s="756"/>
      <c r="S30" s="847"/>
      <c r="T30" s="556"/>
      <c r="U30" s="556"/>
      <c r="V30" s="826"/>
      <c r="W30" s="826"/>
      <c r="X30" s="826"/>
      <c r="Y30" s="826"/>
      <c r="Z30" s="826"/>
      <c r="AA30" s="826"/>
      <c r="AB30" s="826"/>
      <c r="AC30" s="826"/>
      <c r="AD30" s="826"/>
      <c r="AE30" s="826"/>
      <c r="AF30" s="826"/>
      <c r="AG30" s="826"/>
      <c r="AH30" s="826"/>
      <c r="AI30" s="826"/>
      <c r="AJ30" s="826"/>
      <c r="AK30" s="826"/>
      <c r="AL30" s="826"/>
      <c r="AM30" s="826"/>
      <c r="AN30" s="826"/>
      <c r="AO30" s="826"/>
      <c r="AP30" s="826"/>
      <c r="AQ30" s="826"/>
      <c r="AR30" s="826"/>
      <c r="AS30" s="826"/>
      <c r="AT30" s="826"/>
      <c r="AU30" s="826"/>
      <c r="AV30" s="826"/>
      <c r="AW30" s="826"/>
      <c r="AX30" s="826"/>
      <c r="AY30" s="826"/>
      <c r="AZ30" s="826"/>
      <c r="BA30" s="826"/>
      <c r="BI30" s="538">
        <v>0</v>
      </c>
    </row>
    <row r="31" spans="5:61" ht="25.5" hidden="1" customHeight="1">
      <c r="S31" s="1186" t="s">
        <v>41</v>
      </c>
      <c r="T31" s="1186"/>
      <c r="U31" s="849"/>
      <c r="V31" s="1187" t="str">
        <f>IF(TITLE_NAME_OR_PR_CHANGE="",IF(TITLE_NAME_OR_PR="","",TITLE_NAME_OR_PR),TITLE_NAME_OR_PR_CHANGE)</f>
        <v/>
      </c>
      <c r="W31" s="1187"/>
      <c r="X31" s="1187"/>
      <c r="Y31" s="1187"/>
      <c r="Z31" s="1187"/>
      <c r="AA31" s="1187"/>
      <c r="AB31" s="1187"/>
      <c r="AD31" s="1187" t="str">
        <f>IF(TITLE_NAME_OR_PR_CHANGE="",IF(TITLE_NAME_OR_PR="","",TITLE_NAME_OR_PR),TITLE_NAME_OR_PR_CHANGE)</f>
        <v/>
      </c>
      <c r="AE31" s="1187"/>
      <c r="AF31" s="1187"/>
      <c r="AG31" s="1187"/>
      <c r="AH31" s="1187"/>
      <c r="AI31" s="1187"/>
      <c r="AJ31" s="1187"/>
      <c r="AK31" s="1187"/>
      <c r="AL31" s="1187"/>
      <c r="AM31" s="1187"/>
      <c r="AN31" s="1187"/>
      <c r="AO31" s="1187"/>
      <c r="AP31" s="1187"/>
      <c r="AQ31" s="1187"/>
      <c r="AR31" s="1187"/>
      <c r="AS31" s="1187"/>
      <c r="AT31" s="1187"/>
      <c r="AU31" s="1187"/>
      <c r="AV31" s="1187"/>
      <c r="AW31" s="1187"/>
      <c r="AX31" s="1187"/>
      <c r="AY31" s="1187"/>
      <c r="AZ31" s="1187"/>
      <c r="BI31" s="592">
        <v>0</v>
      </c>
    </row>
    <row r="32" spans="5:61" ht="18.75" hidden="1" customHeight="1">
      <c r="S32" s="1186" t="s">
        <v>434</v>
      </c>
      <c r="T32" s="1186"/>
      <c r="U32" s="849"/>
      <c r="V32" s="1196" t="str">
        <f>IF(TITLE_DATE_PR_CHANGE="",IF(TITLE_DATE_PR="","",TITLE_DATE_PR),TITLE_DATE_PR_CHANGE)</f>
        <v/>
      </c>
      <c r="W32" s="1196"/>
      <c r="X32" s="1196"/>
      <c r="Y32" s="1196"/>
      <c r="Z32" s="1196"/>
      <c r="AA32" s="1196"/>
      <c r="AB32" s="1196"/>
      <c r="AD32" s="1196" t="str">
        <f>IF(TITLE_DATE_PR_CHANGE="",IF(TITLE_DATE_PR="","",TITLE_DATE_PR),TITLE_DATE_PR_CHANGE)</f>
        <v/>
      </c>
      <c r="AE32" s="1196"/>
      <c r="AF32" s="1196"/>
      <c r="AG32" s="1196"/>
      <c r="AH32" s="1196"/>
      <c r="AI32" s="1196"/>
      <c r="AJ32" s="1196"/>
      <c r="AK32" s="1196"/>
      <c r="AL32" s="1196"/>
      <c r="AM32" s="1196"/>
      <c r="AN32" s="1196"/>
      <c r="AO32" s="1196"/>
      <c r="AP32" s="1196"/>
      <c r="AQ32" s="1196"/>
      <c r="AR32" s="1196"/>
      <c r="AS32" s="1196"/>
      <c r="AT32" s="1196"/>
      <c r="AU32" s="1196"/>
      <c r="AV32" s="1196"/>
      <c r="AW32" s="1196"/>
      <c r="AX32" s="1196"/>
      <c r="AY32" s="1196"/>
      <c r="AZ32" s="1196"/>
      <c r="BI32" s="592">
        <v>0</v>
      </c>
    </row>
    <row r="33" spans="1:61" ht="18.75" hidden="1" customHeight="1">
      <c r="S33" s="1186" t="s">
        <v>435</v>
      </c>
      <c r="T33" s="1186"/>
      <c r="U33" s="849"/>
      <c r="V33" s="1187" t="str">
        <f>IF(TITLE_NUMBER_PR_CHANGE="",IF(TITLE_NUMBER_PR="","",TITLE_NUMBER_PR),TITLE_NUMBER_PR_CHANGE)</f>
        <v/>
      </c>
      <c r="W33" s="1187"/>
      <c r="X33" s="1187"/>
      <c r="Y33" s="1187"/>
      <c r="Z33" s="1187"/>
      <c r="AA33" s="1187"/>
      <c r="AB33" s="1187"/>
      <c r="AD33" s="1187" t="str">
        <f>IF(TITLE_NUMBER_PR_CHANGE="",IF(TITLE_NUMBER_PR="","",TITLE_NUMBER_PR),TITLE_NUMBER_PR_CHANGE)</f>
        <v/>
      </c>
      <c r="AE33" s="1187"/>
      <c r="AF33" s="1187"/>
      <c r="AG33" s="1187"/>
      <c r="AH33" s="1187"/>
      <c r="AI33" s="1187"/>
      <c r="AJ33" s="1187"/>
      <c r="AK33" s="1187"/>
      <c r="AL33" s="1187"/>
      <c r="AM33" s="1187"/>
      <c r="AN33" s="1187"/>
      <c r="AO33" s="1187"/>
      <c r="AP33" s="1187"/>
      <c r="AQ33" s="1187"/>
      <c r="AR33" s="1187"/>
      <c r="AS33" s="1187"/>
      <c r="AT33" s="1187"/>
      <c r="AU33" s="1187"/>
      <c r="AV33" s="1187"/>
      <c r="AW33" s="1187"/>
      <c r="AX33" s="1187"/>
      <c r="AY33" s="1187"/>
      <c r="AZ33" s="1187"/>
      <c r="BI33" s="592">
        <v>0</v>
      </c>
    </row>
    <row r="34" spans="1:61" ht="18.75" hidden="1" customHeight="1">
      <c r="S34" s="1186" t="s">
        <v>42</v>
      </c>
      <c r="T34" s="1186"/>
      <c r="U34" s="849"/>
      <c r="V34" s="1187" t="str">
        <f>IF(TITLE_IST_PUB_CHANGE="",IF(TITLE_IST_PUB="","",TITLE_IST_PUB),TITLE_IST_PUB_CHANGE)</f>
        <v/>
      </c>
      <c r="W34" s="1187"/>
      <c r="X34" s="1187"/>
      <c r="Y34" s="1187"/>
      <c r="Z34" s="1187"/>
      <c r="AA34" s="1187"/>
      <c r="AB34" s="1187"/>
      <c r="AD34" s="1187" t="str">
        <f>IF(TITLE_IST_PUB_CHANGE="",IF(TITLE_IST_PUB="","",TITLE_IST_PUB),TITLE_IST_PUB_CHANGE)</f>
        <v/>
      </c>
      <c r="AE34" s="1187"/>
      <c r="AF34" s="1187"/>
      <c r="AG34" s="1187"/>
      <c r="AH34" s="1187"/>
      <c r="AI34" s="1187"/>
      <c r="AJ34" s="1187"/>
      <c r="AK34" s="1187"/>
      <c r="AL34" s="1187"/>
      <c r="AM34" s="1187"/>
      <c r="AN34" s="1187"/>
      <c r="AO34" s="1187"/>
      <c r="AP34" s="1187"/>
      <c r="AQ34" s="1187"/>
      <c r="AR34" s="1187"/>
      <c r="AS34" s="1187"/>
      <c r="AT34" s="1187"/>
      <c r="AU34" s="1187"/>
      <c r="AV34" s="1187"/>
      <c r="AW34" s="1187"/>
      <c r="AX34" s="1187"/>
      <c r="AY34" s="1187"/>
      <c r="AZ34" s="1187"/>
      <c r="BI34" s="592">
        <v>0</v>
      </c>
    </row>
    <row r="35" spans="1:61" ht="14.25" hidden="1" customHeight="1">
      <c r="Q35" s="885"/>
      <c r="R35" s="756"/>
      <c r="S35" s="847"/>
      <c r="T35" s="556"/>
      <c r="U35" s="556"/>
      <c r="V35" s="826"/>
      <c r="W35" s="826"/>
      <c r="X35" s="826"/>
      <c r="Y35" s="826"/>
      <c r="Z35" s="826"/>
      <c r="AA35" s="826"/>
      <c r="AB35" s="826"/>
      <c r="AC35" s="826"/>
      <c r="AD35" s="826"/>
      <c r="AE35" s="826"/>
      <c r="AF35" s="826"/>
      <c r="AG35" s="826"/>
      <c r="AH35" s="826"/>
      <c r="AI35" s="826"/>
      <c r="AJ35" s="826"/>
      <c r="AK35" s="826"/>
      <c r="AL35" s="826"/>
      <c r="AM35" s="826"/>
      <c r="AN35" s="826"/>
      <c r="AO35" s="826"/>
      <c r="AP35" s="826"/>
      <c r="AQ35" s="826"/>
      <c r="AR35" s="826"/>
      <c r="AS35" s="826"/>
      <c r="AT35" s="826"/>
      <c r="AU35" s="826"/>
      <c r="AV35" s="826"/>
      <c r="AW35" s="826"/>
      <c r="AX35" s="826"/>
      <c r="AY35" s="826"/>
      <c r="AZ35" s="826"/>
      <c r="BA35" s="826"/>
      <c r="BI35" s="538">
        <v>0</v>
      </c>
    </row>
    <row r="36" spans="1:61" ht="18.75" hidden="1" customHeight="1">
      <c r="S36" s="1186" t="s">
        <v>434</v>
      </c>
      <c r="T36" s="1186"/>
      <c r="U36" s="849"/>
      <c r="V36" s="1196" t="str">
        <f>IF(TITLE_DATE_PR_CHANGE="",IF(TITLE_DATE_PR="","",TITLE_DATE_PR),TITLE_DATE_PR_CHANGE)</f>
        <v/>
      </c>
      <c r="W36" s="1196"/>
      <c r="X36" s="1196"/>
      <c r="Y36" s="1196"/>
      <c r="Z36" s="1196"/>
      <c r="AA36" s="1196"/>
      <c r="AB36" s="1196"/>
      <c r="AD36" s="1196" t="str">
        <f>IF(TITLE_DATE_PR_CHANGE="",IF(TITLE_DATE_PR="","",TITLE_DATE_PR),TITLE_DATE_PR_CHANGE)</f>
        <v/>
      </c>
      <c r="AE36" s="1196"/>
      <c r="AF36" s="1196"/>
      <c r="AG36" s="1196"/>
      <c r="AH36" s="1196"/>
      <c r="AI36" s="1196"/>
      <c r="AJ36" s="1196"/>
      <c r="AK36" s="1196"/>
      <c r="AL36" s="1196"/>
      <c r="AM36" s="1196"/>
      <c r="AN36" s="1196"/>
      <c r="AO36" s="1196"/>
      <c r="AP36" s="1196"/>
      <c r="AQ36" s="1196"/>
      <c r="AR36" s="1196"/>
      <c r="AS36" s="1196"/>
      <c r="AT36" s="1196"/>
      <c r="AU36" s="1196"/>
      <c r="AV36" s="1196"/>
      <c r="AW36" s="1196"/>
      <c r="AX36" s="1196"/>
      <c r="AY36" s="1196"/>
      <c r="AZ36" s="1196"/>
      <c r="BI36" s="592">
        <v>0</v>
      </c>
    </row>
    <row r="37" spans="1:61" ht="18.75" hidden="1" customHeight="1">
      <c r="S37" s="1186" t="s">
        <v>435</v>
      </c>
      <c r="T37" s="1186"/>
      <c r="U37" s="849"/>
      <c r="V37" s="1187" t="str">
        <f>IF(TITLE_NUMBER_PR_CHANGE="",IF(TITLE_NUMBER_PR="","",TITLE_NUMBER_PR),TITLE_NUMBER_PR_CHANGE)</f>
        <v/>
      </c>
      <c r="W37" s="1187"/>
      <c r="X37" s="1187"/>
      <c r="Y37" s="1187"/>
      <c r="Z37" s="1187"/>
      <c r="AA37" s="1187"/>
      <c r="AB37" s="1187"/>
      <c r="AD37" s="1187" t="str">
        <f>IF(TITLE_NUMBER_PR_CHANGE="",IF(TITLE_NUMBER_PR="","",TITLE_NUMBER_PR),TITLE_NUMBER_PR_CHANGE)</f>
        <v/>
      </c>
      <c r="AE37" s="1187"/>
      <c r="AF37" s="1187"/>
      <c r="AG37" s="1187"/>
      <c r="AH37" s="1187"/>
      <c r="AI37" s="1187"/>
      <c r="AJ37" s="1187"/>
      <c r="AK37" s="1187"/>
      <c r="AL37" s="1187"/>
      <c r="AM37" s="1187"/>
      <c r="AN37" s="1187"/>
      <c r="AO37" s="1187"/>
      <c r="AP37" s="1187"/>
      <c r="AQ37" s="1187"/>
      <c r="AR37" s="1187"/>
      <c r="AS37" s="1187"/>
      <c r="AT37" s="1187"/>
      <c r="AU37" s="1187"/>
      <c r="AV37" s="1187"/>
      <c r="AW37" s="1187"/>
      <c r="AX37" s="1187"/>
      <c r="AY37" s="1187"/>
      <c r="AZ37" s="1187"/>
      <c r="BI37" s="592">
        <v>0</v>
      </c>
    </row>
    <row r="38" spans="1:61" ht="0" hidden="1" customHeight="1">
      <c r="AC38" s="577" t="s">
        <v>438</v>
      </c>
      <c r="BA38" s="577" t="s">
        <v>438</v>
      </c>
      <c r="BI38" s="592">
        <v>0</v>
      </c>
    </row>
    <row r="39" spans="1:61" ht="14.65" customHeight="1">
      <c r="Q39" s="885"/>
      <c r="R39" s="756"/>
      <c r="S39" s="847"/>
      <c r="T39" s="556"/>
      <c r="U39" s="850"/>
      <c r="V39" s="1188"/>
      <c r="W39" s="1188"/>
      <c r="X39" s="1188"/>
      <c r="Y39" s="1188"/>
      <c r="Z39" s="1188"/>
      <c r="AA39" s="1188"/>
      <c r="AB39" s="1188"/>
      <c r="AC39" s="1188"/>
      <c r="AD39" s="1188"/>
      <c r="AE39" s="1188"/>
      <c r="AF39" s="1188"/>
      <c r="AG39" s="1188"/>
      <c r="AH39" s="1188"/>
      <c r="AI39" s="1188"/>
      <c r="AJ39" s="1188"/>
      <c r="AK39" s="1188"/>
      <c r="AL39" s="1188"/>
      <c r="AM39" s="1188"/>
      <c r="AN39" s="1188"/>
      <c r="AO39" s="1188"/>
      <c r="AP39" s="1188"/>
      <c r="AQ39" s="1188"/>
      <c r="AR39" s="1188"/>
      <c r="AS39" s="1188"/>
      <c r="AT39" s="1188"/>
      <c r="AU39" s="1188"/>
      <c r="AV39" s="1188"/>
      <c r="AW39" s="1188"/>
      <c r="AX39" s="1188"/>
      <c r="AY39" s="1188"/>
      <c r="AZ39" s="1188"/>
      <c r="BA39" s="1188"/>
      <c r="BI39" s="538">
        <v>14</v>
      </c>
    </row>
    <row r="40" spans="1:61" ht="14.65" customHeight="1">
      <c r="Q40" s="885"/>
      <c r="R40" s="756"/>
      <c r="S40" s="1066" t="s">
        <v>311</v>
      </c>
      <c r="T40" s="1066"/>
      <c r="U40" s="1066"/>
      <c r="V40" s="1066"/>
      <c r="W40" s="1066"/>
      <c r="X40" s="1066"/>
      <c r="Y40" s="1066"/>
      <c r="Z40" s="1066"/>
      <c r="AA40" s="1066"/>
      <c r="AB40" s="1066"/>
      <c r="AC40" s="1066"/>
      <c r="AD40" s="1066"/>
      <c r="AE40" s="1066"/>
      <c r="AF40" s="1066"/>
      <c r="AG40" s="1066"/>
      <c r="AH40" s="1066"/>
      <c r="AI40" s="1066"/>
      <c r="AJ40" s="1066"/>
      <c r="AK40" s="1066"/>
      <c r="AL40" s="1066"/>
      <c r="AM40" s="1066"/>
      <c r="AN40" s="1066"/>
      <c r="AO40" s="1066"/>
      <c r="AP40" s="1066"/>
      <c r="AQ40" s="1066"/>
      <c r="AR40" s="1066"/>
      <c r="AS40" s="1066"/>
      <c r="AT40" s="1066"/>
      <c r="AU40" s="1066"/>
      <c r="AV40" s="1066"/>
      <c r="AW40" s="1066"/>
      <c r="AX40" s="1066"/>
      <c r="AY40" s="1066"/>
      <c r="AZ40" s="1066"/>
      <c r="BA40" s="1066"/>
      <c r="BB40" s="1066"/>
      <c r="BC40" s="1066" t="s">
        <v>312</v>
      </c>
      <c r="BI40" s="538">
        <v>14</v>
      </c>
    </row>
    <row r="41" spans="1:61" ht="14.65" customHeight="1">
      <c r="Q41" s="885"/>
      <c r="R41" s="756"/>
      <c r="S41" s="1202" t="s">
        <v>87</v>
      </c>
      <c r="T41" s="1154" t="s">
        <v>518</v>
      </c>
      <c r="U41" s="817"/>
      <c r="V41" s="1203" t="s">
        <v>440</v>
      </c>
      <c r="W41" s="1204"/>
      <c r="X41" s="1204"/>
      <c r="Y41" s="1204"/>
      <c r="Z41" s="1204"/>
      <c r="AA41" s="1204"/>
      <c r="AB41" s="1205"/>
      <c r="AC41" s="1206" t="s">
        <v>441</v>
      </c>
      <c r="AD41" s="1238" t="s">
        <v>535</v>
      </c>
      <c r="AE41" s="1219"/>
      <c r="AF41" s="1219"/>
      <c r="AG41" s="1239"/>
      <c r="AH41" s="1238" t="s">
        <v>536</v>
      </c>
      <c r="AI41" s="1219"/>
      <c r="AJ41" s="1219"/>
      <c r="AK41" s="1239"/>
      <c r="AL41" s="1238" t="s">
        <v>537</v>
      </c>
      <c r="AM41" s="1219"/>
      <c r="AN41" s="1219"/>
      <c r="AO41" s="1239"/>
      <c r="AP41" s="1238" t="s">
        <v>522</v>
      </c>
      <c r="AQ41" s="1219"/>
      <c r="AR41" s="1219"/>
      <c r="AS41" s="1239"/>
      <c r="AT41" s="1203" t="s">
        <v>440</v>
      </c>
      <c r="AU41" s="1204"/>
      <c r="AV41" s="1204"/>
      <c r="AW41" s="1204"/>
      <c r="AX41" s="1204"/>
      <c r="AY41" s="1204"/>
      <c r="AZ41" s="1205"/>
      <c r="BA41" s="1206" t="s">
        <v>441</v>
      </c>
      <c r="BB41" s="1209" t="s">
        <v>443</v>
      </c>
      <c r="BC41" s="1066"/>
      <c r="BI41" s="538">
        <v>14</v>
      </c>
    </row>
    <row r="42" spans="1:61" ht="35.65" customHeight="1">
      <c r="Q42" s="885"/>
      <c r="R42" s="756"/>
      <c r="S42" s="1202"/>
      <c r="T42" s="1154"/>
      <c r="U42" s="822"/>
      <c r="V42" s="1141" t="s">
        <v>523</v>
      </c>
      <c r="W42" s="1142"/>
      <c r="X42" s="1141" t="s">
        <v>524</v>
      </c>
      <c r="Y42" s="1142"/>
      <c r="Z42" s="1141" t="s">
        <v>525</v>
      </c>
      <c r="AA42" s="1233"/>
      <c r="AB42" s="1142"/>
      <c r="AC42" s="1207"/>
      <c r="AD42" s="1240"/>
      <c r="AE42" s="1241"/>
      <c r="AF42" s="1241"/>
      <c r="AG42" s="1242"/>
      <c r="AH42" s="1240"/>
      <c r="AI42" s="1241"/>
      <c r="AJ42" s="1241"/>
      <c r="AK42" s="1242"/>
      <c r="AL42" s="1240"/>
      <c r="AM42" s="1241"/>
      <c r="AN42" s="1241"/>
      <c r="AO42" s="1242"/>
      <c r="AP42" s="1240"/>
      <c r="AQ42" s="1241"/>
      <c r="AR42" s="1241"/>
      <c r="AS42" s="1242"/>
      <c r="AT42" s="1141" t="s">
        <v>538</v>
      </c>
      <c r="AU42" s="1142"/>
      <c r="AV42" s="1141" t="s">
        <v>539</v>
      </c>
      <c r="AW42" s="1142"/>
      <c r="AX42" s="1141" t="s">
        <v>525</v>
      </c>
      <c r="AY42" s="1233"/>
      <c r="AZ42" s="1142"/>
      <c r="BA42" s="1207"/>
      <c r="BB42" s="1210"/>
      <c r="BC42" s="1066"/>
      <c r="BI42" s="538">
        <v>34</v>
      </c>
    </row>
    <row r="43" spans="1:61" ht="14.65" customHeight="1">
      <c r="Q43" s="885"/>
      <c r="R43" s="756"/>
      <c r="S43" s="1202"/>
      <c r="T43" s="1154"/>
      <c r="U43" s="822"/>
      <c r="V43" s="1146"/>
      <c r="W43" s="1147"/>
      <c r="X43" s="1146"/>
      <c r="Y43" s="1147"/>
      <c r="Z43" s="1146"/>
      <c r="AA43" s="1234"/>
      <c r="AB43" s="1147"/>
      <c r="AC43" s="1207"/>
      <c r="AD43" s="1240"/>
      <c r="AE43" s="1241"/>
      <c r="AF43" s="1241"/>
      <c r="AG43" s="1242"/>
      <c r="AH43" s="1240"/>
      <c r="AI43" s="1241"/>
      <c r="AJ43" s="1241"/>
      <c r="AK43" s="1242"/>
      <c r="AL43" s="1240"/>
      <c r="AM43" s="1241"/>
      <c r="AN43" s="1241"/>
      <c r="AO43" s="1242"/>
      <c r="AP43" s="1240"/>
      <c r="AQ43" s="1241"/>
      <c r="AR43" s="1241"/>
      <c r="AS43" s="1242"/>
      <c r="AT43" s="1146"/>
      <c r="AU43" s="1147"/>
      <c r="AV43" s="1146"/>
      <c r="AW43" s="1147"/>
      <c r="AX43" s="1146"/>
      <c r="AY43" s="1234"/>
      <c r="AZ43" s="1147"/>
      <c r="BA43" s="1207"/>
      <c r="BB43" s="1210"/>
      <c r="BC43" s="1066"/>
      <c r="BI43" s="538">
        <v>14</v>
      </c>
    </row>
    <row r="44" spans="1:61" ht="14.65" customHeight="1">
      <c r="B44" s="598" t="s">
        <v>148</v>
      </c>
      <c r="C44" s="598" t="s">
        <v>149</v>
      </c>
      <c r="D44" s="598" t="s">
        <v>150</v>
      </c>
      <c r="E44" s="841" t="s">
        <v>448</v>
      </c>
      <c r="F44" s="841" t="s">
        <v>449</v>
      </c>
      <c r="G44" s="841" t="s">
        <v>450</v>
      </c>
      <c r="H44" s="841" t="s">
        <v>451</v>
      </c>
      <c r="I44" s="841" t="s">
        <v>452</v>
      </c>
      <c r="J44" s="841" t="s">
        <v>453</v>
      </c>
      <c r="K44" s="841" t="s">
        <v>454</v>
      </c>
      <c r="L44" s="841" t="s">
        <v>429</v>
      </c>
      <c r="Q44" s="885"/>
      <c r="R44" s="756"/>
      <c r="S44" s="1202"/>
      <c r="T44" s="1154"/>
      <c r="U44" s="852"/>
      <c r="V44" s="632" t="s">
        <v>489</v>
      </c>
      <c r="W44" s="632" t="s">
        <v>490</v>
      </c>
      <c r="X44" s="632" t="s">
        <v>489</v>
      </c>
      <c r="Y44" s="632" t="s">
        <v>490</v>
      </c>
      <c r="Z44" s="602" t="s">
        <v>457</v>
      </c>
      <c r="AA44" s="1162" t="s">
        <v>458</v>
      </c>
      <c r="AB44" s="1164"/>
      <c r="AC44" s="1208"/>
      <c r="AD44" s="1243"/>
      <c r="AE44" s="1244"/>
      <c r="AF44" s="1244"/>
      <c r="AG44" s="1245"/>
      <c r="AH44" s="1243"/>
      <c r="AI44" s="1244"/>
      <c r="AJ44" s="1244"/>
      <c r="AK44" s="1245"/>
      <c r="AL44" s="1243"/>
      <c r="AM44" s="1244"/>
      <c r="AN44" s="1244"/>
      <c r="AO44" s="1245"/>
      <c r="AP44" s="1243"/>
      <c r="AQ44" s="1244"/>
      <c r="AR44" s="1244"/>
      <c r="AS44" s="1245"/>
      <c r="AT44" s="632" t="s">
        <v>489</v>
      </c>
      <c r="AU44" s="632" t="s">
        <v>490</v>
      </c>
      <c r="AV44" s="632" t="s">
        <v>489</v>
      </c>
      <c r="AW44" s="632" t="s">
        <v>490</v>
      </c>
      <c r="AX44" s="602" t="s">
        <v>457</v>
      </c>
      <c r="AY44" s="1162" t="s">
        <v>458</v>
      </c>
      <c r="AZ44" s="1164"/>
      <c r="BA44" s="1208"/>
      <c r="BB44" s="1211"/>
      <c r="BC44" s="1066"/>
      <c r="BI44" s="538">
        <v>14</v>
      </c>
    </row>
    <row r="45" spans="1:61" ht="11.25" hidden="1" customHeight="1">
      <c r="Q45" s="854"/>
      <c r="R45" s="854">
        <v>1</v>
      </c>
      <c r="S45" s="329" t="s">
        <v>114</v>
      </c>
      <c r="T45" s="330" t="s">
        <v>102</v>
      </c>
      <c r="U45" s="855" t="str">
        <f ca="1">OFFSET(U45,0,-1)</f>
        <v>2</v>
      </c>
      <c r="V45" s="856">
        <f t="shared" ref="V45:AA45" ca="1" si="2">OFFSET(V45,0,-1)+1</f>
        <v>3</v>
      </c>
      <c r="W45" s="856">
        <f t="shared" ca="1" si="2"/>
        <v>4</v>
      </c>
      <c r="X45" s="856">
        <f t="shared" ca="1" si="2"/>
        <v>5</v>
      </c>
      <c r="Y45" s="856">
        <f t="shared" ca="1" si="2"/>
        <v>6</v>
      </c>
      <c r="Z45" s="856">
        <f t="shared" ca="1" si="2"/>
        <v>7</v>
      </c>
      <c r="AA45" s="1201">
        <f t="shared" ca="1" si="2"/>
        <v>8</v>
      </c>
      <c r="AB45" s="1201"/>
      <c r="AC45" s="856">
        <f ca="1">OFFSET(AC45,0,-2)+1</f>
        <v>9</v>
      </c>
      <c r="AD45" s="856">
        <f ca="1">OFFSET(AD45,0,-1)+1</f>
        <v>10</v>
      </c>
      <c r="AE45" s="856"/>
      <c r="AF45" s="856"/>
      <c r="AG45" s="856"/>
      <c r="AH45" s="856"/>
      <c r="AI45" s="856"/>
      <c r="AJ45" s="856"/>
      <c r="AK45" s="856"/>
      <c r="AL45" s="856"/>
      <c r="AM45" s="856"/>
      <c r="AN45" s="856"/>
      <c r="AO45" s="856"/>
      <c r="AP45" s="856"/>
      <c r="AQ45" s="856"/>
      <c r="AR45" s="856"/>
      <c r="AS45" s="856"/>
      <c r="AT45" s="856"/>
      <c r="AU45" s="856"/>
      <c r="AV45" s="856"/>
      <c r="AW45" s="856">
        <f ca="1">OFFSET(AW45,0,-1)+1</f>
        <v>1</v>
      </c>
      <c r="AX45" s="856">
        <f ca="1">OFFSET(AX45,0,-1)+1</f>
        <v>2</v>
      </c>
      <c r="AY45" s="1201">
        <f ca="1">OFFSET(AY45,0,-1)+1</f>
        <v>3</v>
      </c>
      <c r="AZ45" s="1201"/>
      <c r="BA45" s="856">
        <f ca="1">OFFSET(BA45,0,-2)+1</f>
        <v>4</v>
      </c>
      <c r="BB45" s="855">
        <f ca="1">OFFSET(BB45,0,-1)</f>
        <v>4</v>
      </c>
      <c r="BC45" s="856">
        <f ca="1">OFFSET(BC45,0,-1)+1</f>
        <v>5</v>
      </c>
      <c r="BI45" s="681">
        <v>0</v>
      </c>
    </row>
    <row r="46" spans="1:61" ht="21.95" customHeight="1">
      <c r="A46" s="857" t="s">
        <v>287</v>
      </c>
      <c r="E46" s="1194">
        <v>1</v>
      </c>
      <c r="R46" s="310"/>
      <c r="S46" s="832">
        <f>INDEX(PT_DIFFERENTIATION_NUM_NTAR,MATCH(A46,PT_DIFFERENTIATION_NTAR_ID,0))</f>
        <v>0</v>
      </c>
      <c r="T46" s="795" t="s">
        <v>136</v>
      </c>
      <c r="U46" s="833"/>
      <c r="V46" s="1181"/>
      <c r="W46" s="1181"/>
      <c r="X46" s="1181"/>
      <c r="Y46" s="1181"/>
      <c r="Z46" s="1181"/>
      <c r="AA46" s="1181"/>
      <c r="AB46" s="1181"/>
      <c r="AC46" s="1182"/>
      <c r="AD46" s="1180" t="str">
        <f>INDEX(PT_DIFFERENTIATION_NTAR,MATCH(A46,PT_DIFFERENTIATION_NTAR_ID,0))</f>
        <v/>
      </c>
      <c r="AE46" s="1181"/>
      <c r="AF46" s="1181"/>
      <c r="AG46" s="1181"/>
      <c r="AH46" s="1181"/>
      <c r="AI46" s="1181"/>
      <c r="AJ46" s="1181"/>
      <c r="AK46" s="1181"/>
      <c r="AL46" s="1181"/>
      <c r="AM46" s="1181"/>
      <c r="AN46" s="1181"/>
      <c r="AO46" s="1181"/>
      <c r="AP46" s="1181"/>
      <c r="AQ46" s="1181"/>
      <c r="AR46" s="1181"/>
      <c r="AS46" s="1181"/>
      <c r="AT46" s="1181"/>
      <c r="AU46" s="1181"/>
      <c r="AV46" s="1181"/>
      <c r="AW46" s="1181"/>
      <c r="AX46" s="1181"/>
      <c r="AY46" s="1181"/>
      <c r="AZ46" s="1181"/>
      <c r="BA46" s="1181"/>
      <c r="BB46" s="1182"/>
      <c r="BC46"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46" s="582" t="str">
        <f t="shared" ref="BF46:BF52" si="3">IF(T46="","",T46)</f>
        <v>Наименование тарифа</v>
      </c>
      <c r="BI46" s="538">
        <v>21</v>
      </c>
    </row>
    <row r="47" spans="1:61" ht="21.95" customHeight="1">
      <c r="A47" s="857" t="s">
        <v>287</v>
      </c>
      <c r="B47" s="857" t="s">
        <v>288</v>
      </c>
      <c r="E47" s="1195"/>
      <c r="F47" s="1194">
        <v>1</v>
      </c>
      <c r="Q47" s="879"/>
      <c r="R47" s="837"/>
      <c r="S47" s="832" t="str">
        <f>INDEX(PT_DIFFERENTIATION_NUM_TER,MATCH(B47,PT_DIFFERENTIATION_TER_ID,0))</f>
        <v>.</v>
      </c>
      <c r="T47" s="838" t="s">
        <v>408</v>
      </c>
      <c r="U47" s="833"/>
      <c r="V47" s="1181"/>
      <c r="W47" s="1181"/>
      <c r="X47" s="1181"/>
      <c r="Y47" s="1181"/>
      <c r="Z47" s="1181"/>
      <c r="AA47" s="1181"/>
      <c r="AB47" s="1181"/>
      <c r="AC47" s="1182"/>
      <c r="AD47" s="1180" t="str">
        <f>INDEX(PT_DIFFERENTIATION_TER,MATCH(B47,PT_DIFFERENTIATION_TER_ID,0))</f>
        <v/>
      </c>
      <c r="AE47" s="1181"/>
      <c r="AF47" s="1181"/>
      <c r="AG47" s="1181"/>
      <c r="AH47" s="1181"/>
      <c r="AI47" s="1181"/>
      <c r="AJ47" s="1181"/>
      <c r="AK47" s="1181"/>
      <c r="AL47" s="1181"/>
      <c r="AM47" s="1181"/>
      <c r="AN47" s="1181"/>
      <c r="AO47" s="1181"/>
      <c r="AP47" s="1181"/>
      <c r="AQ47" s="1181"/>
      <c r="AR47" s="1181"/>
      <c r="AS47" s="1181"/>
      <c r="AT47" s="1181"/>
      <c r="AU47" s="1181"/>
      <c r="AV47" s="1181"/>
      <c r="AW47" s="1181"/>
      <c r="AX47" s="1181"/>
      <c r="AY47" s="1181"/>
      <c r="AZ47" s="1181"/>
      <c r="BA47" s="1181"/>
      <c r="BB47" s="1182"/>
      <c r="BC47" s="835" t="s">
        <v>409</v>
      </c>
      <c r="BF47" s="582" t="str">
        <f t="shared" si="3"/>
        <v>Территория действия тарифа</v>
      </c>
      <c r="BI47" s="538">
        <v>21</v>
      </c>
    </row>
    <row r="48" spans="1:61" ht="35.65" customHeight="1">
      <c r="A48" s="857" t="s">
        <v>287</v>
      </c>
      <c r="B48" s="857" t="s">
        <v>288</v>
      </c>
      <c r="C48" s="857" t="s">
        <v>289</v>
      </c>
      <c r="E48" s="1195"/>
      <c r="F48" s="1195"/>
      <c r="G48" s="1194">
        <v>1</v>
      </c>
      <c r="Q48" s="879"/>
      <c r="R48" s="837"/>
      <c r="S48" s="832" t="str">
        <f>INDEX(PT_DIFFERENTIATION_NUM_CS,MATCH(C48,PT_DIFFERENTIATION_CS_ID,0))</f>
        <v>..</v>
      </c>
      <c r="T48" s="839" t="s">
        <v>527</v>
      </c>
      <c r="U48" s="833"/>
      <c r="V48" s="1181"/>
      <c r="W48" s="1181"/>
      <c r="X48" s="1181"/>
      <c r="Y48" s="1181"/>
      <c r="Z48" s="1181"/>
      <c r="AA48" s="1181"/>
      <c r="AB48" s="1181"/>
      <c r="AC48" s="1182"/>
      <c r="AD48" s="1180" t="str">
        <f>INDEX(PT_DIFFERENTIATION_CS,MATCH(C48,PT_DIFFERENTIATION_CS_ID,0))</f>
        <v/>
      </c>
      <c r="AE48" s="1181"/>
      <c r="AF48" s="1181"/>
      <c r="AG48" s="1181"/>
      <c r="AH48" s="1181"/>
      <c r="AI48" s="1181"/>
      <c r="AJ48" s="1181"/>
      <c r="AK48" s="1181"/>
      <c r="AL48" s="1181"/>
      <c r="AM48" s="1181"/>
      <c r="AN48" s="1181"/>
      <c r="AO48" s="1181"/>
      <c r="AP48" s="1181"/>
      <c r="AQ48" s="1181"/>
      <c r="AR48" s="1181"/>
      <c r="AS48" s="1181"/>
      <c r="AT48" s="1181"/>
      <c r="AU48" s="1181"/>
      <c r="AV48" s="1181"/>
      <c r="AW48" s="1181"/>
      <c r="AX48" s="1181"/>
      <c r="AY48" s="1181"/>
      <c r="AZ48" s="1181"/>
      <c r="BA48" s="1181"/>
      <c r="BB48" s="1182"/>
      <c r="BC48" s="835" t="s">
        <v>528</v>
      </c>
      <c r="BF48" s="582" t="str">
        <f t="shared" si="3"/>
        <v>Наименование централизованной системы водоотведения</v>
      </c>
      <c r="BI48" s="538">
        <v>34</v>
      </c>
    </row>
    <row r="49" spans="1:61" ht="0" hidden="1" customHeight="1">
      <c r="A49" s="574" t="s">
        <v>287</v>
      </c>
      <c r="B49" s="574" t="s">
        <v>288</v>
      </c>
      <c r="C49" s="574" t="s">
        <v>289</v>
      </c>
      <c r="D49" s="574" t="s">
        <v>540</v>
      </c>
      <c r="E49" s="1195"/>
      <c r="F49" s="1195"/>
      <c r="G49" s="1195"/>
      <c r="H49" s="1194">
        <v>1</v>
      </c>
      <c r="Q49" s="908"/>
      <c r="R49" s="844"/>
      <c r="S49" s="635"/>
      <c r="T49" s="909"/>
      <c r="U49" s="860"/>
      <c r="V49" s="1223"/>
      <c r="W49" s="1223"/>
      <c r="X49" s="1223"/>
      <c r="Y49" s="1223"/>
      <c r="Z49" s="1223"/>
      <c r="AA49" s="1223"/>
      <c r="AB49" s="1223"/>
      <c r="AC49" s="1224"/>
      <c r="AD49" s="1222"/>
      <c r="AE49" s="1223"/>
      <c r="AF49" s="1223"/>
      <c r="AG49" s="1223"/>
      <c r="AH49" s="1223"/>
      <c r="AI49" s="1223"/>
      <c r="AJ49" s="1223"/>
      <c r="AK49" s="1223"/>
      <c r="AL49" s="1223"/>
      <c r="AM49" s="1223"/>
      <c r="AN49" s="1223"/>
      <c r="AO49" s="1223"/>
      <c r="AP49" s="1223"/>
      <c r="AQ49" s="1223"/>
      <c r="AR49" s="1223"/>
      <c r="AS49" s="1223"/>
      <c r="AT49" s="1223"/>
      <c r="AU49" s="1223"/>
      <c r="AV49" s="1223"/>
      <c r="AW49" s="1223"/>
      <c r="AX49" s="1223"/>
      <c r="AY49" s="1223"/>
      <c r="AZ49" s="1223"/>
      <c r="BA49" s="1223"/>
      <c r="BB49" s="1224"/>
      <c r="BC49" s="862" t="s">
        <v>413</v>
      </c>
      <c r="BF49" s="582" t="str">
        <f t="shared" si="3"/>
        <v/>
      </c>
      <c r="BI49" s="577">
        <v>0</v>
      </c>
    </row>
    <row r="50" spans="1:61" ht="0" hidden="1" customHeight="1">
      <c r="A50" s="574" t="s">
        <v>287</v>
      </c>
      <c r="B50" s="574" t="s">
        <v>288</v>
      </c>
      <c r="C50" s="574" t="s">
        <v>289</v>
      </c>
      <c r="D50" s="574" t="s">
        <v>540</v>
      </c>
      <c r="E50" s="1195"/>
      <c r="F50" s="1195"/>
      <c r="G50" s="1195"/>
      <c r="H50" s="1195"/>
      <c r="I50" s="1192" t="str">
        <f>S49&amp;".1"</f>
        <v>.1</v>
      </c>
      <c r="L50" s="863" t="s">
        <v>414</v>
      </c>
      <c r="P50" s="1193">
        <v>1</v>
      </c>
      <c r="R50" s="842"/>
      <c r="S50" s="635"/>
      <c r="T50" s="859"/>
      <c r="U50" s="860"/>
      <c r="V50" s="1223"/>
      <c r="W50" s="1223"/>
      <c r="X50" s="1223"/>
      <c r="Y50" s="1223"/>
      <c r="Z50" s="1223"/>
      <c r="AA50" s="1223"/>
      <c r="AB50" s="1223"/>
      <c r="AC50" s="1224"/>
      <c r="AD50" s="1222"/>
      <c r="AE50" s="1223"/>
      <c r="AF50" s="1223"/>
      <c r="AG50" s="1223"/>
      <c r="AH50" s="1223"/>
      <c r="AI50" s="1223"/>
      <c r="AJ50" s="1223"/>
      <c r="AK50" s="1223"/>
      <c r="AL50" s="1223"/>
      <c r="AM50" s="1223"/>
      <c r="AN50" s="1223"/>
      <c r="AO50" s="1223"/>
      <c r="AP50" s="1223"/>
      <c r="AQ50" s="1223"/>
      <c r="AR50" s="1223"/>
      <c r="AS50" s="1223"/>
      <c r="AT50" s="1223"/>
      <c r="AU50" s="1223"/>
      <c r="AV50" s="1223"/>
      <c r="AW50" s="1223"/>
      <c r="AX50" s="1223"/>
      <c r="AY50" s="1223"/>
      <c r="AZ50" s="1223"/>
      <c r="BA50" s="1223"/>
      <c r="BB50" s="1224"/>
      <c r="BC50" s="862"/>
      <c r="BF50" s="582" t="str">
        <f t="shared" si="3"/>
        <v/>
      </c>
      <c r="BI50" s="577">
        <v>0</v>
      </c>
    </row>
    <row r="51" spans="1:61" ht="0" hidden="1" customHeight="1">
      <c r="A51" s="574" t="s">
        <v>287</v>
      </c>
      <c r="B51" s="574" t="s">
        <v>288</v>
      </c>
      <c r="C51" s="574" t="s">
        <v>289</v>
      </c>
      <c r="D51" s="574" t="s">
        <v>540</v>
      </c>
      <c r="E51" s="1195"/>
      <c r="F51" s="1195"/>
      <c r="G51" s="1195"/>
      <c r="H51" s="1195"/>
      <c r="I51" s="1214"/>
      <c r="J51" s="1192" t="str">
        <f>S49&amp;".1"</f>
        <v>.1</v>
      </c>
      <c r="P51" s="1031"/>
      <c r="Q51" s="1193">
        <v>1</v>
      </c>
      <c r="R51" s="844"/>
      <c r="S51" s="635"/>
      <c r="T51" s="880"/>
      <c r="U51" s="860"/>
      <c r="V51" s="1223"/>
      <c r="W51" s="1223"/>
      <c r="X51" s="1223"/>
      <c r="Y51" s="1223"/>
      <c r="Z51" s="1223"/>
      <c r="AA51" s="1223"/>
      <c r="AB51" s="1223"/>
      <c r="AC51" s="1224"/>
      <c r="AD51" s="1222"/>
      <c r="AE51" s="1223"/>
      <c r="AF51" s="1223"/>
      <c r="AG51" s="1223"/>
      <c r="AH51" s="1223"/>
      <c r="AI51" s="1223"/>
      <c r="AJ51" s="1223"/>
      <c r="AK51" s="1223"/>
      <c r="AL51" s="1223"/>
      <c r="AM51" s="1223"/>
      <c r="AN51" s="1274"/>
      <c r="AO51" s="1274"/>
      <c r="AP51" s="1223"/>
      <c r="AQ51" s="1223"/>
      <c r="AR51" s="1223"/>
      <c r="AS51" s="1223"/>
      <c r="AT51" s="1223"/>
      <c r="AU51" s="1223"/>
      <c r="AV51" s="1223"/>
      <c r="AW51" s="1223"/>
      <c r="AX51" s="1223"/>
      <c r="AY51" s="1223"/>
      <c r="AZ51" s="1223"/>
      <c r="BA51" s="1223"/>
      <c r="BB51" s="1224"/>
      <c r="BC51" s="862"/>
      <c r="BF51" s="582" t="str">
        <f t="shared" si="3"/>
        <v/>
      </c>
      <c r="BI51" s="577">
        <v>0</v>
      </c>
    </row>
    <row r="52" spans="1:61" ht="11.45" customHeight="1">
      <c r="A52" s="857" t="s">
        <v>287</v>
      </c>
      <c r="B52" s="857" t="s">
        <v>288</v>
      </c>
      <c r="C52" s="857" t="s">
        <v>289</v>
      </c>
      <c r="D52" s="857" t="s">
        <v>540</v>
      </c>
      <c r="E52" s="1195"/>
      <c r="F52" s="1195"/>
      <c r="G52" s="1195"/>
      <c r="H52" s="1195"/>
      <c r="I52" s="1214"/>
      <c r="J52" s="1214"/>
      <c r="K52" s="1192" t="str">
        <f>S48&amp;".1"</f>
        <v>...1</v>
      </c>
      <c r="P52" s="1031"/>
      <c r="Q52" s="1031"/>
      <c r="R52" s="844">
        <v>1</v>
      </c>
      <c r="S52" s="1251" t="str">
        <f>$K52</f>
        <v>...1</v>
      </c>
      <c r="T52" s="1270"/>
      <c r="U52" s="833"/>
      <c r="V52" s="311"/>
      <c r="W52" s="313"/>
      <c r="X52" s="311"/>
      <c r="Y52" s="313"/>
      <c r="Z52" s="203"/>
      <c r="AA52" s="56" t="s">
        <v>61</v>
      </c>
      <c r="AB52" s="203"/>
      <c r="AC52" s="56" t="s">
        <v>61</v>
      </c>
      <c r="AD52" s="1134" t="s">
        <v>61</v>
      </c>
      <c r="AE52" s="1236"/>
      <c r="AF52" s="1150">
        <v>1</v>
      </c>
      <c r="AG52" s="1273"/>
      <c r="AH52" s="1058" t="s">
        <v>61</v>
      </c>
      <c r="AI52" s="1236"/>
      <c r="AJ52" s="1150">
        <v>1</v>
      </c>
      <c r="AK52" s="1237" t="s">
        <v>22</v>
      </c>
      <c r="AL52" s="1058" t="s">
        <v>61</v>
      </c>
      <c r="AM52" s="1141"/>
      <c r="AN52" s="1150">
        <v>1</v>
      </c>
      <c r="AO52" s="1267"/>
      <c r="AP52" s="1268" t="s">
        <v>61</v>
      </c>
      <c r="AQ52" s="882"/>
      <c r="AR52" s="92">
        <v>1</v>
      </c>
      <c r="AS52" s="14" t="s">
        <v>22</v>
      </c>
      <c r="AT52" s="311"/>
      <c r="AU52" s="313"/>
      <c r="AV52" s="311"/>
      <c r="AW52" s="313"/>
      <c r="AX52" s="203"/>
      <c r="AY52" s="56" t="s">
        <v>61</v>
      </c>
      <c r="AZ52" s="203"/>
      <c r="BA52" s="56" t="s">
        <v>61</v>
      </c>
      <c r="BB52" s="331"/>
      <c r="BC52" s="1189" t="s">
        <v>512</v>
      </c>
      <c r="BF52" s="582" t="str">
        <f t="shared" si="3"/>
        <v/>
      </c>
      <c r="BI52" s="538">
        <v>11</v>
      </c>
    </row>
    <row r="53" spans="1:61" ht="11.45" customHeight="1">
      <c r="E53" s="1195"/>
      <c r="F53" s="1195"/>
      <c r="G53" s="1195"/>
      <c r="H53" s="1195"/>
      <c r="I53" s="1214"/>
      <c r="J53" s="1214"/>
      <c r="K53" s="1192"/>
      <c r="P53" s="1031"/>
      <c r="Q53" s="1031"/>
      <c r="R53" s="844"/>
      <c r="S53" s="1252"/>
      <c r="T53" s="1271"/>
      <c r="U53" s="833"/>
      <c r="V53" s="344"/>
      <c r="W53" s="351"/>
      <c r="X53" s="344"/>
      <c r="Y53" s="351"/>
      <c r="Z53" s="344"/>
      <c r="AA53" s="344"/>
      <c r="AB53" s="344"/>
      <c r="AC53" s="344"/>
      <c r="AD53" s="1135"/>
      <c r="AE53" s="1236"/>
      <c r="AF53" s="1150"/>
      <c r="AG53" s="1273"/>
      <c r="AH53" s="1058"/>
      <c r="AI53" s="1236"/>
      <c r="AJ53" s="1150"/>
      <c r="AK53" s="1237"/>
      <c r="AL53" s="1058"/>
      <c r="AM53" s="1146"/>
      <c r="AN53" s="1150"/>
      <c r="AO53" s="1267"/>
      <c r="AP53" s="1269"/>
      <c r="AQ53" s="264"/>
      <c r="AR53" s="49"/>
      <c r="AS53" s="49" t="s">
        <v>513</v>
      </c>
      <c r="AT53" s="344"/>
      <c r="AU53" s="351"/>
      <c r="AV53" s="344"/>
      <c r="AW53" s="351"/>
      <c r="AX53" s="344"/>
      <c r="AY53" s="344"/>
      <c r="AZ53" s="344"/>
      <c r="BA53" s="344"/>
      <c r="BB53" s="350"/>
      <c r="BC53" s="1190"/>
      <c r="BI53" s="538">
        <v>11</v>
      </c>
    </row>
    <row r="54" spans="1:61" ht="11.45" customHeight="1">
      <c r="A54" s="857" t="s">
        <v>287</v>
      </c>
      <c r="E54" s="1195"/>
      <c r="F54" s="1195"/>
      <c r="G54" s="1195"/>
      <c r="H54" s="1195"/>
      <c r="I54" s="1214"/>
      <c r="J54" s="1214"/>
      <c r="K54" s="1192"/>
      <c r="P54" s="1031"/>
      <c r="Q54" s="1031"/>
      <c r="R54" s="844"/>
      <c r="S54" s="1252"/>
      <c r="T54" s="1271"/>
      <c r="U54" s="833"/>
      <c r="V54" s="344"/>
      <c r="W54" s="351"/>
      <c r="X54" s="344"/>
      <c r="Y54" s="351"/>
      <c r="Z54" s="344"/>
      <c r="AA54" s="344"/>
      <c r="AB54" s="344"/>
      <c r="AC54" s="344"/>
      <c r="AD54" s="1135"/>
      <c r="AE54" s="1236"/>
      <c r="AF54" s="1150"/>
      <c r="AG54" s="1273"/>
      <c r="AH54" s="1058"/>
      <c r="AI54" s="1236"/>
      <c r="AJ54" s="1150"/>
      <c r="AK54" s="1237"/>
      <c r="AL54" s="1058"/>
      <c r="AM54" s="264"/>
      <c r="AN54" s="303"/>
      <c r="AO54" s="303" t="s">
        <v>533</v>
      </c>
      <c r="AP54" s="49"/>
      <c r="AQ54" s="49"/>
      <c r="AR54" s="49"/>
      <c r="AS54" s="344"/>
      <c r="AT54" s="344"/>
      <c r="AU54" s="351"/>
      <c r="AV54" s="344"/>
      <c r="AW54" s="351"/>
      <c r="AX54" s="344"/>
      <c r="AY54" s="344"/>
      <c r="AZ54" s="344"/>
      <c r="BA54" s="344"/>
      <c r="BB54" s="350"/>
      <c r="BC54" s="1190"/>
      <c r="BI54" s="538">
        <v>11</v>
      </c>
    </row>
    <row r="55" spans="1:61" ht="11.45" customHeight="1">
      <c r="A55" s="857" t="s">
        <v>287</v>
      </c>
      <c r="E55" s="1195"/>
      <c r="F55" s="1195"/>
      <c r="G55" s="1195"/>
      <c r="H55" s="1195"/>
      <c r="I55" s="1214"/>
      <c r="J55" s="1214"/>
      <c r="K55" s="1192"/>
      <c r="P55" s="1031"/>
      <c r="Q55" s="1031"/>
      <c r="R55" s="844"/>
      <c r="S55" s="1252"/>
      <c r="T55" s="1271"/>
      <c r="U55" s="833"/>
      <c r="V55" s="344"/>
      <c r="W55" s="351"/>
      <c r="X55" s="344"/>
      <c r="Y55" s="351"/>
      <c r="Z55" s="344"/>
      <c r="AA55" s="344"/>
      <c r="AB55" s="344"/>
      <c r="AC55" s="344"/>
      <c r="AD55" s="1135"/>
      <c r="AE55" s="1236"/>
      <c r="AF55" s="1150"/>
      <c r="AG55" s="1273"/>
      <c r="AH55" s="1058"/>
      <c r="AI55" s="353"/>
      <c r="AJ55" s="44"/>
      <c r="AK55" s="120" t="s">
        <v>534</v>
      </c>
      <c r="AL55" s="344"/>
      <c r="AM55" s="344"/>
      <c r="AN55" s="344"/>
      <c r="AO55" s="344"/>
      <c r="AP55" s="344"/>
      <c r="AQ55" s="344"/>
      <c r="AR55" s="344"/>
      <c r="AS55" s="344"/>
      <c r="AT55" s="344"/>
      <c r="AU55" s="351"/>
      <c r="AV55" s="344"/>
      <c r="AW55" s="351"/>
      <c r="AX55" s="344"/>
      <c r="AY55" s="344"/>
      <c r="AZ55" s="344"/>
      <c r="BA55" s="344"/>
      <c r="BB55" s="350"/>
      <c r="BC55" s="1190"/>
      <c r="BI55" s="538">
        <v>11</v>
      </c>
    </row>
    <row r="56" spans="1:61" ht="11.45" customHeight="1">
      <c r="A56" s="857" t="s">
        <v>287</v>
      </c>
      <c r="B56" s="857" t="s">
        <v>288</v>
      </c>
      <c r="C56" s="857" t="s">
        <v>289</v>
      </c>
      <c r="D56" s="857" t="s">
        <v>540</v>
      </c>
      <c r="E56" s="1195"/>
      <c r="F56" s="1195"/>
      <c r="G56" s="1195"/>
      <c r="H56" s="1195"/>
      <c r="I56" s="1214"/>
      <c r="J56" s="1214"/>
      <c r="K56" s="1192"/>
      <c r="P56" s="1031"/>
      <c r="Q56" s="1031"/>
      <c r="R56" s="844"/>
      <c r="S56" s="1253"/>
      <c r="T56" s="1272"/>
      <c r="U56" s="833"/>
      <c r="V56" s="344"/>
      <c r="W56" s="345" t="str">
        <f>Z52&amp;"-"&amp;AB52</f>
        <v>-</v>
      </c>
      <c r="X56" s="344"/>
      <c r="Y56" s="345" t="str">
        <f>AB52&amp;"-"&amp;AD52</f>
        <v>-да</v>
      </c>
      <c r="Z56" s="344"/>
      <c r="AA56" s="344"/>
      <c r="AB56" s="344"/>
      <c r="AC56" s="344"/>
      <c r="AD56" s="1072"/>
      <c r="AE56" s="355"/>
      <c r="AF56" s="356"/>
      <c r="AG56" s="49" t="s">
        <v>516</v>
      </c>
      <c r="AH56" s="344"/>
      <c r="AI56" s="344"/>
      <c r="AJ56" s="344"/>
      <c r="AK56" s="344"/>
      <c r="AL56" s="344"/>
      <c r="AM56" s="344"/>
      <c r="AN56" s="344"/>
      <c r="AO56" s="344"/>
      <c r="AP56" s="344"/>
      <c r="AQ56" s="344"/>
      <c r="AR56" s="344"/>
      <c r="AS56" s="344"/>
      <c r="AT56" s="344"/>
      <c r="AU56" s="345" t="str">
        <f>AX52&amp;"-"&amp;AZ52</f>
        <v>-</v>
      </c>
      <c r="AV56" s="344"/>
      <c r="AW56" s="345" t="str">
        <f>AZ52&amp;"-"&amp;BB52</f>
        <v>-</v>
      </c>
      <c r="AX56" s="344"/>
      <c r="AY56" s="344"/>
      <c r="AZ56" s="344"/>
      <c r="BA56" s="344"/>
      <c r="BB56" s="354" t="str">
        <f>BE52&amp;"-"&amp;BG52</f>
        <v>-</v>
      </c>
      <c r="BC56" s="1190"/>
      <c r="BF56" s="582" t="str">
        <f t="shared" ref="BF56:BF63" si="4">IF(T56="","",T56)</f>
        <v/>
      </c>
      <c r="BI56" s="538">
        <v>11</v>
      </c>
    </row>
    <row r="57" spans="1:61" ht="11.45" customHeight="1">
      <c r="A57" s="857" t="s">
        <v>287</v>
      </c>
      <c r="B57" s="857" t="s">
        <v>288</v>
      </c>
      <c r="C57" s="857" t="s">
        <v>289</v>
      </c>
      <c r="D57" s="857" t="s">
        <v>540</v>
      </c>
      <c r="E57" s="1195"/>
      <c r="F57" s="1195"/>
      <c r="G57" s="1195"/>
      <c r="H57" s="1195"/>
      <c r="I57" s="1214"/>
      <c r="J57" s="1192"/>
      <c r="P57" s="1031"/>
      <c r="Q57" s="1031"/>
      <c r="R57" s="842"/>
      <c r="S57" s="315"/>
      <c r="T57" s="318" t="s">
        <v>479</v>
      </c>
      <c r="U57" s="52"/>
      <c r="V57" s="52"/>
      <c r="W57" s="52"/>
      <c r="X57" s="52"/>
      <c r="Y57" s="52"/>
      <c r="Z57" s="52"/>
      <c r="AA57" s="52"/>
      <c r="AB57" s="52"/>
      <c r="AC57" s="317"/>
      <c r="AD57" s="361"/>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317"/>
      <c r="BC57" s="1191"/>
      <c r="BF57" s="582" t="str">
        <f t="shared" si="4"/>
        <v>Добавить строку</v>
      </c>
      <c r="BI57" s="538">
        <v>11</v>
      </c>
    </row>
    <row r="58" spans="1:61" ht="0" hidden="1" customHeight="1">
      <c r="A58" s="574" t="s">
        <v>287</v>
      </c>
      <c r="B58" s="574" t="s">
        <v>288</v>
      </c>
      <c r="C58" s="574" t="s">
        <v>289</v>
      </c>
      <c r="D58" s="574" t="s">
        <v>540</v>
      </c>
      <c r="E58" s="1195"/>
      <c r="F58" s="1195"/>
      <c r="G58" s="1195"/>
      <c r="H58" s="1195"/>
      <c r="I58" s="1192"/>
      <c r="P58" s="1031"/>
      <c r="R58" s="842"/>
      <c r="S58" s="334"/>
      <c r="T58" s="335"/>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7"/>
      <c r="BF58" s="582" t="str">
        <f t="shared" si="4"/>
        <v/>
      </c>
      <c r="BI58" s="577">
        <v>0</v>
      </c>
    </row>
    <row r="59" spans="1:61" ht="0" hidden="1" customHeight="1">
      <c r="A59" s="574" t="s">
        <v>287</v>
      </c>
      <c r="B59" s="574" t="s">
        <v>288</v>
      </c>
      <c r="C59" s="574" t="s">
        <v>289</v>
      </c>
      <c r="D59" s="574" t="s">
        <v>540</v>
      </c>
      <c r="E59" s="1195"/>
      <c r="F59" s="1195"/>
      <c r="G59" s="1195"/>
      <c r="H59" s="1194"/>
      <c r="R59" s="357"/>
      <c r="S59" s="334"/>
      <c r="T59" s="335"/>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7"/>
      <c r="BF59" s="582" t="str">
        <f t="shared" si="4"/>
        <v/>
      </c>
      <c r="BI59" s="577">
        <v>0</v>
      </c>
    </row>
    <row r="60" spans="1:61" ht="0" hidden="1" customHeight="1">
      <c r="A60" s="574" t="s">
        <v>287</v>
      </c>
      <c r="B60" s="574" t="s">
        <v>288</v>
      </c>
      <c r="C60" s="574" t="s">
        <v>289</v>
      </c>
      <c r="E60" s="1195"/>
      <c r="F60" s="1195"/>
      <c r="G60" s="1194"/>
      <c r="BF60" s="582" t="str">
        <f t="shared" si="4"/>
        <v/>
      </c>
      <c r="BI60" s="577">
        <v>0</v>
      </c>
    </row>
    <row r="61" spans="1:61" ht="0" hidden="1" customHeight="1">
      <c r="A61" s="574" t="s">
        <v>287</v>
      </c>
      <c r="B61" s="574" t="s">
        <v>288</v>
      </c>
      <c r="E61" s="1195"/>
      <c r="F61" s="1194"/>
      <c r="T61" s="326" t="s">
        <v>426</v>
      </c>
      <c r="BF61" s="582" t="str">
        <f t="shared" si="4"/>
        <v>Добавить централизованную систему для дифференциации</v>
      </c>
      <c r="BI61" s="577">
        <v>0</v>
      </c>
    </row>
    <row r="62" spans="1:61" ht="0" hidden="1" customHeight="1">
      <c r="A62" s="574" t="s">
        <v>287</v>
      </c>
      <c r="E62" s="1194"/>
      <c r="T62" s="326" t="s">
        <v>427</v>
      </c>
      <c r="BF62" s="582" t="str">
        <f t="shared" si="4"/>
        <v>Добавить территорию для дифференциации</v>
      </c>
      <c r="BI62" s="577">
        <v>0</v>
      </c>
    </row>
    <row r="63" spans="1:61" ht="0" hidden="1" customHeight="1">
      <c r="T63" s="326" t="s">
        <v>459</v>
      </c>
      <c r="BF63" s="582" t="str">
        <f t="shared" si="4"/>
        <v>Добавить наименование тарифа</v>
      </c>
      <c r="BI63" s="577">
        <v>0</v>
      </c>
    </row>
    <row r="64" spans="1:61" ht="11.45" customHeight="1">
      <c r="BI64" s="538">
        <v>11</v>
      </c>
    </row>
    <row r="65" spans="1:61" ht="14.65" customHeight="1">
      <c r="T65" s="1031"/>
      <c r="U65" s="1031"/>
      <c r="V65" s="1031"/>
      <c r="W65" s="1031"/>
      <c r="X65" s="1031"/>
      <c r="Y65" s="1031"/>
      <c r="Z65" s="1031"/>
      <c r="AA65" s="1031"/>
      <c r="AB65" s="1031"/>
      <c r="AC65" s="1031"/>
      <c r="AD65" s="1031"/>
      <c r="AE65" s="1031"/>
      <c r="AF65" s="1031"/>
      <c r="AG65" s="1031"/>
      <c r="AH65" s="1031"/>
      <c r="AI65" s="1031"/>
      <c r="AJ65" s="1031"/>
      <c r="AK65" s="1031"/>
      <c r="AL65" s="1031"/>
      <c r="AM65" s="1031"/>
      <c r="AN65" s="1031"/>
      <c r="AO65" s="1031"/>
      <c r="AP65" s="1031"/>
      <c r="AQ65" s="1031"/>
      <c r="AR65" s="1031"/>
      <c r="AS65" s="1031"/>
      <c r="AT65" s="1031"/>
      <c r="AU65" s="1031"/>
      <c r="AV65" s="1031"/>
      <c r="AW65" s="1031"/>
      <c r="AX65" s="1031"/>
      <c r="AY65" s="1031"/>
      <c r="AZ65" s="1031"/>
      <c r="BA65" s="1031"/>
      <c r="BB65" s="1031"/>
      <c r="BC65" s="1031"/>
      <c r="BI65" s="538">
        <v>14</v>
      </c>
    </row>
    <row r="66" spans="1:61" ht="14.65" customHeight="1">
      <c r="BI66" s="538">
        <v>14</v>
      </c>
    </row>
    <row r="67" spans="1:61" ht="14.65" customHeight="1">
      <c r="T67" s="1031"/>
      <c r="U67" s="1031"/>
      <c r="V67" s="1031"/>
      <c r="W67" s="1031"/>
      <c r="X67" s="1031"/>
      <c r="Y67" s="1031"/>
      <c r="Z67" s="1031"/>
      <c r="AA67" s="1031"/>
      <c r="AB67" s="1031"/>
      <c r="AC67" s="1031"/>
      <c r="AD67" s="1031"/>
      <c r="AE67" s="1031"/>
      <c r="AF67" s="1031"/>
      <c r="AG67" s="1031"/>
      <c r="AH67" s="1031"/>
      <c r="AI67" s="1031"/>
      <c r="AJ67" s="1031"/>
      <c r="AK67" s="1031"/>
      <c r="AL67" s="1031"/>
      <c r="AM67" s="1031"/>
      <c r="AN67" s="1031"/>
      <c r="AO67" s="1031"/>
      <c r="AP67" s="1031"/>
      <c r="AQ67" s="1031"/>
      <c r="AR67" s="1031"/>
      <c r="AS67" s="1031"/>
      <c r="AT67" s="1031"/>
      <c r="AU67" s="1031"/>
      <c r="AV67" s="1031"/>
      <c r="AW67" s="1031"/>
      <c r="AX67" s="1031"/>
      <c r="AY67" s="1031"/>
      <c r="AZ67" s="1031"/>
      <c r="BA67" s="1031"/>
      <c r="BB67" s="1031"/>
      <c r="BC67" s="1031"/>
      <c r="BI67" s="538">
        <v>14</v>
      </c>
    </row>
    <row r="68" spans="1:61" ht="14.65" customHeight="1">
      <c r="BI68" s="538">
        <v>14</v>
      </c>
    </row>
    <row r="69" spans="1:61" ht="14.25" hidden="1" customHeight="1">
      <c r="A69" s="555" t="s">
        <v>81</v>
      </c>
      <c r="B69" s="555">
        <v>0</v>
      </c>
      <c r="C69" s="555">
        <v>0</v>
      </c>
      <c r="D69" s="555">
        <v>0</v>
      </c>
      <c r="E69" s="555">
        <v>0</v>
      </c>
      <c r="F69" s="555">
        <v>0</v>
      </c>
      <c r="G69" s="555">
        <v>0</v>
      </c>
      <c r="H69" s="555">
        <v>0</v>
      </c>
      <c r="I69" s="555">
        <v>0</v>
      </c>
      <c r="J69" s="555">
        <v>0</v>
      </c>
      <c r="K69" s="555">
        <v>0</v>
      </c>
      <c r="L69" s="667">
        <v>0</v>
      </c>
      <c r="M69" s="12">
        <v>0</v>
      </c>
      <c r="N69" s="12">
        <v>0</v>
      </c>
      <c r="O69" s="12">
        <v>0</v>
      </c>
      <c r="P69" s="12">
        <v>0</v>
      </c>
      <c r="Q69" s="889">
        <v>0</v>
      </c>
      <c r="R69" s="821">
        <v>3</v>
      </c>
      <c r="S69" s="553">
        <v>12</v>
      </c>
      <c r="T69" s="538">
        <v>31</v>
      </c>
      <c r="U69" s="538">
        <v>0</v>
      </c>
      <c r="V69" s="538">
        <v>0</v>
      </c>
      <c r="W69" s="538">
        <v>0</v>
      </c>
      <c r="X69" s="538">
        <v>0</v>
      </c>
      <c r="Y69" s="538">
        <v>0</v>
      </c>
      <c r="Z69" s="538">
        <v>0</v>
      </c>
      <c r="AA69" s="538">
        <v>0</v>
      </c>
      <c r="AB69" s="538">
        <v>0</v>
      </c>
      <c r="AC69" s="538">
        <v>0</v>
      </c>
      <c r="AD69" s="538">
        <v>3</v>
      </c>
      <c r="AE69" s="538">
        <v>3</v>
      </c>
      <c r="AF69" s="538">
        <v>3</v>
      </c>
      <c r="AG69" s="538">
        <v>24</v>
      </c>
      <c r="AH69" s="538">
        <v>3</v>
      </c>
      <c r="AI69" s="538">
        <v>3</v>
      </c>
      <c r="AJ69" s="538">
        <v>3</v>
      </c>
      <c r="AK69" s="538">
        <v>24</v>
      </c>
      <c r="AL69" s="538">
        <v>3</v>
      </c>
      <c r="AM69" s="538">
        <v>3</v>
      </c>
      <c r="AN69" s="538">
        <v>3</v>
      </c>
      <c r="AO69" s="538">
        <v>18</v>
      </c>
      <c r="AP69" s="538">
        <v>3</v>
      </c>
      <c r="AQ69" s="538">
        <v>3</v>
      </c>
      <c r="AR69" s="538">
        <v>3</v>
      </c>
      <c r="AS69" s="538">
        <v>18</v>
      </c>
      <c r="AT69" s="538">
        <v>21</v>
      </c>
      <c r="AU69" s="538">
        <v>21</v>
      </c>
      <c r="AV69" s="538">
        <v>21</v>
      </c>
      <c r="AW69" s="538">
        <v>21</v>
      </c>
      <c r="AX69" s="538">
        <v>11</v>
      </c>
      <c r="AY69" s="538">
        <v>3</v>
      </c>
      <c r="AZ69" s="538">
        <v>11</v>
      </c>
      <c r="BA69" s="538">
        <v>0</v>
      </c>
      <c r="BB69" s="538">
        <v>4</v>
      </c>
      <c r="BC69" s="538">
        <v>115</v>
      </c>
      <c r="BD69" s="577">
        <v>10</v>
      </c>
      <c r="BE69" s="577">
        <v>10</v>
      </c>
      <c r="BF69" s="577">
        <v>10</v>
      </c>
      <c r="BG69" s="577">
        <v>10</v>
      </c>
      <c r="BH69" s="577">
        <v>10</v>
      </c>
      <c r="BI69" s="538">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2"/>
  <sheetViews>
    <sheetView showGridLines="0" zoomScale="90" workbookViewId="0">
      <pane xSplit="6" ySplit="11" topLeftCell="G12" activePane="bottomRight" state="frozen"/>
      <selection pane="topRight" activeCell="G1" sqref="G1"/>
      <selection pane="bottomLeft" activeCell="A12" sqref="A12"/>
      <selection pane="bottomRight" activeCell="G15" sqref="G15"/>
    </sheetView>
  </sheetViews>
  <sheetFormatPr defaultColWidth="9.140625" defaultRowHeight="14.25" customHeight="1"/>
  <cols>
    <col min="1" max="1" width="8" style="1029" hidden="1" customWidth="1"/>
    <col min="2" max="2" width="6" style="1029" hidden="1" customWidth="1"/>
    <col min="3" max="4" width="3" style="1029" customWidth="1"/>
    <col min="5" max="5" width="6" style="1029" customWidth="1"/>
    <col min="6" max="6" width="2.7109375" style="1029" hidden="1" customWidth="1"/>
    <col min="7" max="7" width="46.7109375" style="1029" customWidth="1"/>
    <col min="8" max="8" width="42" style="1029" customWidth="1"/>
    <col min="9" max="9" width="14" style="1029" customWidth="1"/>
    <col min="10" max="10" width="3" style="1029" customWidth="1"/>
    <col min="11" max="13" width="9.140625" style="1029" hidden="1"/>
    <col min="14" max="14" width="25.7109375" style="1029" hidden="1" customWidth="1"/>
    <col min="15" max="15" width="14.42578125" style="1029" hidden="1" customWidth="1"/>
    <col min="16" max="27" width="9.140625" style="1029" hidden="1"/>
    <col min="28" max="28" width="8" style="1029" customWidth="1"/>
    <col min="29" max="29" width="9.140625" style="1029" hidden="1"/>
  </cols>
  <sheetData>
    <row r="1" spans="1:29" ht="5.25" hidden="1" customHeight="1">
      <c r="G1" s="574" t="s">
        <v>82</v>
      </c>
      <c r="H1" s="575" t="s">
        <v>83</v>
      </c>
      <c r="I1" s="576" t="s">
        <v>84</v>
      </c>
      <c r="J1" s="574" t="s">
        <v>82</v>
      </c>
      <c r="AC1" s="577" t="s">
        <v>14</v>
      </c>
    </row>
    <row r="2" spans="1:29" ht="11.25" customHeight="1">
      <c r="AC2" s="578">
        <v>11</v>
      </c>
    </row>
    <row r="3" spans="1:29" ht="3" customHeight="1">
      <c r="AC3" s="579">
        <v>3</v>
      </c>
    </row>
    <row r="4" spans="1:29" ht="27.4" customHeight="1">
      <c r="E4" s="1052" t="str">
        <f>NameTemplatesInListMO</f>
        <v>Перечень муниципальных районов и муниципальных образований (территорий оказания услуг)</v>
      </c>
      <c r="F4" s="1052"/>
      <c r="G4" s="1052"/>
      <c r="H4" s="1052"/>
      <c r="I4" s="1052"/>
      <c r="AC4" s="579">
        <v>26</v>
      </c>
    </row>
    <row r="5" spans="1:29" ht="3" customHeight="1">
      <c r="AC5" s="579">
        <v>3</v>
      </c>
    </row>
    <row r="6" spans="1:29" ht="20.25" hidden="1" customHeight="1">
      <c r="AC6" s="579">
        <v>0</v>
      </c>
    </row>
    <row r="7" spans="1:29" ht="25.5" hidden="1" customHeight="1">
      <c r="AC7" s="538">
        <v>0</v>
      </c>
    </row>
    <row r="8" spans="1:29" ht="14.65" customHeight="1">
      <c r="E8" s="1048" t="s">
        <v>85</v>
      </c>
      <c r="F8" s="1053"/>
      <c r="G8" s="1047"/>
      <c r="H8" s="1054" t="s">
        <v>86</v>
      </c>
      <c r="I8" s="1054"/>
      <c r="AC8" s="579">
        <v>14</v>
      </c>
    </row>
    <row r="9" spans="1:29" ht="21" customHeight="1">
      <c r="E9" s="29" t="s">
        <v>87</v>
      </c>
      <c r="F9" s="29"/>
      <c r="G9" s="30" t="s">
        <v>88</v>
      </c>
      <c r="H9" s="30" t="s">
        <v>88</v>
      </c>
      <c r="I9" s="30" t="s">
        <v>84</v>
      </c>
      <c r="AC9" s="579">
        <v>20</v>
      </c>
    </row>
    <row r="10" spans="1:29" ht="11.45" customHeight="1">
      <c r="E10" s="31" t="s">
        <v>89</v>
      </c>
      <c r="F10" s="31"/>
      <c r="G10" s="31" t="s">
        <v>90</v>
      </c>
      <c r="H10" s="31" t="s">
        <v>91</v>
      </c>
      <c r="I10" s="31" t="s">
        <v>92</v>
      </c>
      <c r="AC10" s="538">
        <v>11</v>
      </c>
    </row>
    <row r="11" spans="1:29" ht="1.1499999999999999" customHeight="1">
      <c r="E11" s="32"/>
      <c r="F11" s="32"/>
      <c r="G11" s="33"/>
      <c r="H11" s="33"/>
      <c r="I11" s="34"/>
      <c r="J11" s="581" t="s">
        <v>93</v>
      </c>
      <c r="M11" s="582" t="s">
        <v>94</v>
      </c>
      <c r="N11" s="582" t="s">
        <v>95</v>
      </c>
      <c r="O11" s="582" t="s">
        <v>96</v>
      </c>
      <c r="AC11" s="579">
        <v>1</v>
      </c>
    </row>
    <row r="12" spans="1:29" ht="15" customHeight="1">
      <c r="A12" s="1051">
        <v>1</v>
      </c>
      <c r="E12" s="583">
        <f>A12</f>
        <v>1</v>
      </c>
      <c r="F12" s="584" t="s">
        <v>97</v>
      </c>
      <c r="G12" s="37" t="str">
        <f>"Территория "&amp;E12</f>
        <v>Территория 1</v>
      </c>
      <c r="H12" s="38"/>
      <c r="I12" s="38"/>
      <c r="AC12" s="579">
        <v>14</v>
      </c>
    </row>
    <row r="13" spans="1:29" ht="15.75" customHeight="1">
      <c r="A13" s="1031"/>
      <c r="B13" s="555">
        <v>1</v>
      </c>
      <c r="D13" s="585"/>
      <c r="E13" s="586" t="str">
        <f>A12&amp;"."&amp;B13</f>
        <v>1.1</v>
      </c>
      <c r="F13" s="587" t="s">
        <v>98</v>
      </c>
      <c r="G13" s="39" t="s">
        <v>99</v>
      </c>
      <c r="H13" s="39" t="s">
        <v>99</v>
      </c>
      <c r="I13" s="40" t="s">
        <v>100</v>
      </c>
      <c r="J13" s="582" t="e">
        <f ca="1">MERGEVALUE(G13)</f>
        <v>#NAME?</v>
      </c>
      <c r="M13" s="582" t="str">
        <f t="array" ref="M13">IF(ISERROR(MATCH(MID(N13,1,250),MID(note_ter,1,250),0)),"n","y")</f>
        <v>n</v>
      </c>
      <c r="O13" s="582" t="str">
        <f>H13&amp;"("&amp;I13&amp;")"</f>
        <v>город Нижний Новгород(22701000)</v>
      </c>
      <c r="AC13" s="41">
        <v>15</v>
      </c>
    </row>
    <row r="14" spans="1:29" ht="15.75" customHeight="1">
      <c r="A14" s="1031"/>
      <c r="E14" s="42"/>
      <c r="F14" s="43"/>
      <c r="G14" s="44" t="s">
        <v>101</v>
      </c>
      <c r="H14" s="45"/>
      <c r="I14" s="46"/>
      <c r="AC14" s="41">
        <v>15</v>
      </c>
    </row>
    <row r="15" spans="1:29" ht="15" customHeight="1">
      <c r="A15" s="1055" t="s">
        <v>102</v>
      </c>
      <c r="B15"/>
      <c r="C15" s="747" t="s">
        <v>103</v>
      </c>
      <c r="D15"/>
      <c r="E15" s="583" t="str">
        <f>A15</f>
        <v>2</v>
      </c>
      <c r="F15" s="603" t="s">
        <v>104</v>
      </c>
      <c r="G15" s="37" t="str">
        <f>"Территория "&amp;E15</f>
        <v>Территория 2</v>
      </c>
      <c r="H15" s="38"/>
      <c r="I15" s="38"/>
      <c r="J15"/>
      <c r="K15"/>
      <c r="L15"/>
      <c r="M15"/>
      <c r="N15"/>
      <c r="O15"/>
      <c r="P15"/>
      <c r="Q15"/>
      <c r="R15"/>
      <c r="S15"/>
      <c r="T15"/>
      <c r="U15"/>
      <c r="V15"/>
      <c r="W15"/>
      <c r="X15"/>
      <c r="Y15"/>
      <c r="Z15"/>
      <c r="AA15"/>
      <c r="AB15"/>
      <c r="AC15"/>
    </row>
    <row r="16" spans="1:29" ht="15" customHeight="1">
      <c r="A16" s="1031"/>
      <c r="B16" s="555">
        <v>1</v>
      </c>
      <c r="C16"/>
      <c r="D16" s="585"/>
      <c r="E16" s="586" t="str">
        <f>A15&amp;"."&amp;B16</f>
        <v>2.1</v>
      </c>
      <c r="F16" s="748" t="s">
        <v>105</v>
      </c>
      <c r="G16" s="39" t="s">
        <v>106</v>
      </c>
      <c r="H16" s="39" t="s">
        <v>106</v>
      </c>
      <c r="I16" s="40" t="s">
        <v>107</v>
      </c>
      <c r="J16"/>
      <c r="K16"/>
      <c r="L16"/>
      <c r="M16" s="582" t="str">
        <f t="array" ref="M16">IF(ISERROR(MATCH(MID(N16,1,250),MID(note_ter,1,250),0)),"n","y")</f>
        <v>n</v>
      </c>
      <c r="N16"/>
      <c r="O16" s="582" t="str">
        <f>H16&amp;"("&amp;I16&amp;")"</f>
        <v>Кстовский муниципальный округ(22537000)</v>
      </c>
      <c r="P16"/>
      <c r="Q16"/>
      <c r="R16"/>
      <c r="S16"/>
      <c r="T16"/>
      <c r="U16"/>
      <c r="V16"/>
      <c r="W16"/>
      <c r="X16"/>
      <c r="Y16"/>
      <c r="Z16"/>
      <c r="AA16"/>
      <c r="AB16"/>
      <c r="AC16"/>
    </row>
    <row r="17" spans="1:29" ht="15" customHeight="1">
      <c r="A17" s="1031"/>
      <c r="B17"/>
      <c r="C17"/>
      <c r="D17"/>
      <c r="E17" s="42"/>
      <c r="F17" s="43"/>
      <c r="G17" s="44" t="s">
        <v>101</v>
      </c>
      <c r="H17" s="45"/>
      <c r="I17" s="46"/>
      <c r="J17"/>
      <c r="K17"/>
      <c r="L17"/>
      <c r="M17"/>
      <c r="N17"/>
      <c r="O17"/>
      <c r="P17"/>
      <c r="Q17"/>
      <c r="R17"/>
      <c r="S17"/>
      <c r="T17"/>
      <c r="U17"/>
      <c r="V17"/>
      <c r="W17"/>
      <c r="X17"/>
      <c r="Y17"/>
      <c r="Z17"/>
      <c r="AA17"/>
      <c r="AB17"/>
      <c r="AC17"/>
    </row>
    <row r="18" spans="1:29" ht="14.65" customHeight="1">
      <c r="E18" s="47"/>
      <c r="F18" s="48"/>
      <c r="G18" s="49" t="s">
        <v>108</v>
      </c>
      <c r="H18" s="48"/>
      <c r="I18" s="50"/>
      <c r="J18" s="581"/>
      <c r="N18" s="582" t="s">
        <v>109</v>
      </c>
      <c r="AC18" s="579">
        <v>14</v>
      </c>
    </row>
    <row r="19" spans="1:29" ht="21.95" customHeight="1">
      <c r="E19" s="588"/>
      <c r="F19" s="588"/>
      <c r="G19" s="588"/>
      <c r="H19" s="588"/>
      <c r="I19" s="588"/>
      <c r="AC19" s="579">
        <v>21</v>
      </c>
    </row>
    <row r="20" spans="1:29" ht="14.65" customHeight="1">
      <c r="AC20" s="579">
        <v>14</v>
      </c>
    </row>
    <row r="21" spans="1:29" ht="1.1499999999999999" customHeight="1">
      <c r="AC21" s="579">
        <v>1</v>
      </c>
    </row>
    <row r="22" spans="1:29" ht="10.5" customHeight="1">
      <c r="AC22" s="589">
        <v>10</v>
      </c>
    </row>
    <row r="23" spans="1:29" ht="10.5" customHeight="1">
      <c r="AC23" s="589">
        <v>10</v>
      </c>
    </row>
    <row r="24" spans="1:29" ht="14.65" customHeight="1">
      <c r="AC24" s="538">
        <v>14</v>
      </c>
    </row>
    <row r="25" spans="1:29" ht="14.65" customHeight="1">
      <c r="AC25" s="538">
        <v>14</v>
      </c>
    </row>
    <row r="26" spans="1:29" ht="14.65" customHeight="1">
      <c r="AC26" s="538">
        <v>14</v>
      </c>
    </row>
    <row r="27" spans="1:29" ht="14.65" customHeight="1">
      <c r="AC27" s="538">
        <v>14</v>
      </c>
    </row>
    <row r="28" spans="1:29" ht="14.65" customHeight="1">
      <c r="AC28" s="538">
        <v>14</v>
      </c>
    </row>
    <row r="29" spans="1:29" ht="14.65" customHeight="1">
      <c r="AC29" s="538">
        <v>14</v>
      </c>
    </row>
    <row r="30" spans="1:29" ht="14.65" customHeight="1">
      <c r="AC30" s="538">
        <v>14</v>
      </c>
    </row>
    <row r="31" spans="1:29" ht="14.65" customHeight="1">
      <c r="AC31" s="538">
        <v>14</v>
      </c>
    </row>
    <row r="32" spans="1:29" ht="22.5" hidden="1" customHeight="1">
      <c r="A32" s="538" t="s">
        <v>81</v>
      </c>
      <c r="B32" s="555">
        <v>0</v>
      </c>
      <c r="C32" s="538">
        <v>3</v>
      </c>
      <c r="D32" s="590">
        <v>3</v>
      </c>
      <c r="E32" s="538">
        <v>6</v>
      </c>
      <c r="F32" s="538">
        <v>0</v>
      </c>
      <c r="G32" s="538">
        <v>46</v>
      </c>
      <c r="H32" s="538">
        <v>42</v>
      </c>
      <c r="I32" s="538">
        <v>14</v>
      </c>
      <c r="J32" s="582">
        <v>3</v>
      </c>
      <c r="K32" s="582">
        <v>0</v>
      </c>
      <c r="L32" s="582">
        <v>0</v>
      </c>
      <c r="M32" s="582">
        <v>0</v>
      </c>
      <c r="N32" s="582">
        <v>0</v>
      </c>
      <c r="O32" s="582">
        <v>0</v>
      </c>
      <c r="P32" s="591">
        <v>0</v>
      </c>
      <c r="Q32" s="591">
        <v>0</v>
      </c>
      <c r="R32" s="591">
        <v>0</v>
      </c>
      <c r="S32" s="591">
        <v>0</v>
      </c>
      <c r="T32" s="538">
        <v>0</v>
      </c>
      <c r="U32" s="538">
        <v>0</v>
      </c>
      <c r="V32" s="538">
        <v>0</v>
      </c>
      <c r="W32" s="538">
        <v>0</v>
      </c>
      <c r="X32" s="538">
        <v>0</v>
      </c>
      <c r="Y32" s="538">
        <v>0</v>
      </c>
      <c r="Z32" s="538">
        <v>0</v>
      </c>
      <c r="AA32" s="538">
        <v>0</v>
      </c>
      <c r="AB32" s="538">
        <v>8</v>
      </c>
      <c r="AC32" s="538">
        <v>23</v>
      </c>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4.140625" style="1029" hidden="1" customWidth="1"/>
    <col min="10" max="10" width="9.85546875" style="1029" hidden="1" customWidth="1"/>
    <col min="11" max="11" width="14.7109375" style="1029" hidden="1" customWidth="1"/>
    <col min="12" max="12" width="19.140625" style="1029" hidden="1" customWidth="1"/>
    <col min="13" max="14" width="12.28515625" style="1029" hidden="1" customWidth="1"/>
    <col min="15" max="15" width="23.42578125" style="1029" hidden="1" customWidth="1"/>
    <col min="16" max="18" width="3" style="1029" customWidth="1"/>
    <col min="19" max="19" width="12" style="1029" customWidth="1"/>
    <col min="20" max="20" width="35" style="1029" customWidth="1"/>
    <col min="21" max="21" width="0.140625" style="1029" customWidth="1"/>
    <col min="22" max="28" width="19.7109375" style="1029" hidden="1" customWidth="1"/>
    <col min="29" max="29" width="11.7109375" style="1029" hidden="1" customWidth="1"/>
    <col min="30" max="30" width="3.7109375" style="1029" hidden="1" customWidth="1"/>
    <col min="31" max="31" width="11.7109375" style="1029" hidden="1" customWidth="1"/>
    <col min="32" max="32" width="8.5703125" style="1029" hidden="1" customWidth="1"/>
    <col min="33" max="33" width="19.7109375" style="1029" customWidth="1"/>
    <col min="34" max="39" width="19" style="1029" customWidth="1"/>
    <col min="40" max="40" width="11" style="1029" customWidth="1"/>
    <col min="41" max="41" width="3.7109375" style="1029" customWidth="1"/>
    <col min="42" max="42" width="11" style="1029" customWidth="1"/>
    <col min="43" max="43" width="8.5703125" style="1029" hidden="1" customWidth="1"/>
    <col min="44" max="44" width="4" style="1029" customWidth="1"/>
    <col min="45" max="45" width="115" style="1029" customWidth="1"/>
    <col min="46" max="50" width="10" style="1029" customWidth="1"/>
    <col min="51" max="51" width="10.5703125" style="1029" hidden="1"/>
  </cols>
  <sheetData>
    <row r="1" spans="5:51" ht="22.5" hidden="1" customHeight="1">
      <c r="AY1" s="538" t="s">
        <v>14</v>
      </c>
    </row>
    <row r="2" spans="5:51" ht="23.25" hidden="1" customHeight="1">
      <c r="E2" s="1194">
        <v>1</v>
      </c>
      <c r="R2" s="310"/>
      <c r="S2" s="832" t="e">
        <f>INDEX(PT_DIFFERENTIATION_NUM_NTAR,MATCH(A2,PT_DIFFERENTIATION_NTAR_ID,0))</f>
        <v>#N/A</v>
      </c>
      <c r="T2" s="795" t="s">
        <v>136</v>
      </c>
      <c r="U2" s="833"/>
      <c r="V2" s="1180"/>
      <c r="W2" s="1181"/>
      <c r="X2" s="1181"/>
      <c r="Y2" s="1181"/>
      <c r="Z2" s="1181"/>
      <c r="AA2" s="1181"/>
      <c r="AB2" s="1181"/>
      <c r="AC2" s="1181"/>
      <c r="AD2" s="1181"/>
      <c r="AE2" s="1181"/>
      <c r="AF2" s="1182"/>
      <c r="AG2" s="1180" t="e">
        <f>INDEX(PT_DIFFERENTIATION_NTAR,MATCH(A2,PT_DIFFERENTIATION_NTAR_ID,0))</f>
        <v>#N/A</v>
      </c>
      <c r="AH2" s="1181"/>
      <c r="AI2" s="1181"/>
      <c r="AJ2" s="1181"/>
      <c r="AK2" s="1181"/>
      <c r="AL2" s="1181"/>
      <c r="AM2" s="1181"/>
      <c r="AN2" s="1181"/>
      <c r="AO2" s="1181"/>
      <c r="AP2" s="1181"/>
      <c r="AQ2" s="1181"/>
      <c r="AR2" s="1182"/>
      <c r="AS2"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V2" s="582" t="str">
        <f t="shared" ref="AV2:AV13" si="0">IF(T2="","",T2)</f>
        <v>Наименование тарифа</v>
      </c>
      <c r="AY2" s="538">
        <v>0</v>
      </c>
    </row>
    <row r="3" spans="5:51" ht="23.25" hidden="1" customHeight="1">
      <c r="E3" s="1195"/>
      <c r="F3" s="1194">
        <v>1</v>
      </c>
      <c r="Q3" s="836"/>
      <c r="R3" s="837"/>
      <c r="S3" s="832" t="e">
        <f>INDEX(PT_DIFFERENTIATION_NUM_TER,MATCH(B3,PT_DIFFERENTIATION_TER_ID,0))</f>
        <v>#N/A</v>
      </c>
      <c r="T3" s="838" t="s">
        <v>408</v>
      </c>
      <c r="U3" s="833"/>
      <c r="V3" s="1180"/>
      <c r="W3" s="1181"/>
      <c r="X3" s="1181"/>
      <c r="Y3" s="1181"/>
      <c r="Z3" s="1181"/>
      <c r="AA3" s="1181"/>
      <c r="AB3" s="1181"/>
      <c r="AC3" s="1181"/>
      <c r="AD3" s="1181"/>
      <c r="AE3" s="1181"/>
      <c r="AF3" s="1182"/>
      <c r="AG3" s="1180" t="e">
        <f>INDEX(PT_DIFFERENTIATION_TER,MATCH(B3,PT_DIFFERENTIATION_TER_ID,0))</f>
        <v>#N/A</v>
      </c>
      <c r="AH3" s="1181"/>
      <c r="AI3" s="1181"/>
      <c r="AJ3" s="1181"/>
      <c r="AK3" s="1181"/>
      <c r="AL3" s="1181"/>
      <c r="AM3" s="1181"/>
      <c r="AN3" s="1181"/>
      <c r="AO3" s="1181"/>
      <c r="AP3" s="1181"/>
      <c r="AQ3" s="1181"/>
      <c r="AR3" s="1182"/>
      <c r="AS3" s="835" t="s">
        <v>409</v>
      </c>
      <c r="AV3" s="582" t="str">
        <f t="shared" si="0"/>
        <v>Территория действия тарифа</v>
      </c>
      <c r="AY3" s="538">
        <v>0</v>
      </c>
    </row>
    <row r="4" spans="5:51" ht="23.25" hidden="1" customHeight="1">
      <c r="E4" s="1195"/>
      <c r="F4" s="1195"/>
      <c r="G4" s="1194">
        <v>1</v>
      </c>
      <c r="Q4" s="836"/>
      <c r="R4" s="837"/>
      <c r="S4" s="832" t="e">
        <f>INDEX(PT_DIFFERENTIATION_NUM_CS,MATCH(C4,PT_DIFFERENTIATION_CS_ID,0))</f>
        <v>#N/A</v>
      </c>
      <c r="T4" s="839" t="s">
        <v>541</v>
      </c>
      <c r="U4" s="833"/>
      <c r="V4" s="1180"/>
      <c r="W4" s="1181"/>
      <c r="X4" s="1181"/>
      <c r="Y4" s="1181"/>
      <c r="Z4" s="1181"/>
      <c r="AA4" s="1181"/>
      <c r="AB4" s="1181"/>
      <c r="AC4" s="1181"/>
      <c r="AD4" s="1181"/>
      <c r="AE4" s="1181"/>
      <c r="AF4" s="1182"/>
      <c r="AG4" s="1180" t="e">
        <f>INDEX(PT_DIFFERENTIATION_CS,MATCH(C4,PT_DIFFERENTIATION_CS_ID,0))</f>
        <v>#N/A</v>
      </c>
      <c r="AH4" s="1181"/>
      <c r="AI4" s="1181"/>
      <c r="AJ4" s="1181"/>
      <c r="AK4" s="1181"/>
      <c r="AL4" s="1181"/>
      <c r="AM4" s="1181"/>
      <c r="AN4" s="1181"/>
      <c r="AO4" s="1181"/>
      <c r="AP4" s="1181"/>
      <c r="AQ4" s="1181"/>
      <c r="AR4" s="1182"/>
      <c r="AS4" s="835" t="s">
        <v>542</v>
      </c>
      <c r="AV4" s="582" t="str">
        <f t="shared" si="0"/>
        <v>Наименование централизованной системы горячего водоснабжения</v>
      </c>
      <c r="AY4" s="538">
        <v>0</v>
      </c>
    </row>
    <row r="5" spans="5:51" ht="23.25" hidden="1" customHeight="1">
      <c r="E5" s="1195"/>
      <c r="F5" s="1195"/>
      <c r="G5" s="1195"/>
      <c r="H5" s="1195"/>
      <c r="I5" s="1192" t="e">
        <f>S4&amp;".1"</f>
        <v>#N/A</v>
      </c>
      <c r="P5" s="1193">
        <v>1</v>
      </c>
      <c r="R5" s="842"/>
      <c r="S5" s="832" t="e">
        <f>$I5</f>
        <v>#N/A</v>
      </c>
      <c r="T5" s="843" t="s">
        <v>494</v>
      </c>
      <c r="U5" s="833"/>
      <c r="V5" s="1260"/>
      <c r="W5" s="1261"/>
      <c r="X5" s="1261"/>
      <c r="Y5" s="1261"/>
      <c r="Z5" s="1261"/>
      <c r="AA5" s="1261"/>
      <c r="AB5" s="1261"/>
      <c r="AC5" s="1261"/>
      <c r="AD5" s="1261"/>
      <c r="AE5" s="1261"/>
      <c r="AF5" s="1262"/>
      <c r="AG5" s="1263"/>
      <c r="AH5" s="1264"/>
      <c r="AI5" s="1264"/>
      <c r="AJ5" s="1264"/>
      <c r="AK5" s="1264"/>
      <c r="AL5" s="1264"/>
      <c r="AM5" s="1264"/>
      <c r="AN5" s="1264"/>
      <c r="AO5" s="1264"/>
      <c r="AP5" s="1264"/>
      <c r="AQ5" s="1264"/>
      <c r="AR5" s="1265"/>
      <c r="AS5" s="835" t="s">
        <v>495</v>
      </c>
      <c r="AV5" s="582" t="str">
        <f t="shared" si="0"/>
        <v>Наименование признака дифференциации</v>
      </c>
      <c r="AY5" s="538">
        <v>0</v>
      </c>
    </row>
    <row r="6" spans="5:51" ht="23.25" hidden="1" customHeight="1">
      <c r="E6" s="1195"/>
      <c r="F6" s="1195"/>
      <c r="G6" s="1195"/>
      <c r="H6" s="1195"/>
      <c r="I6" s="1214"/>
      <c r="J6" s="1192" t="e">
        <f>I5&amp;".1"</f>
        <v>#N/A</v>
      </c>
      <c r="L6" s="841" t="s">
        <v>417</v>
      </c>
      <c r="P6" s="1031"/>
      <c r="Q6" s="1193">
        <v>1</v>
      </c>
      <c r="R6" s="844"/>
      <c r="S6" s="832" t="e">
        <f>$J6</f>
        <v>#N/A</v>
      </c>
      <c r="T6" s="845" t="s">
        <v>418</v>
      </c>
      <c r="U6" s="833"/>
      <c r="V6" s="1183"/>
      <c r="W6" s="1184"/>
      <c r="X6" s="1184"/>
      <c r="Y6" s="1184"/>
      <c r="Z6" s="1184"/>
      <c r="AA6" s="1184"/>
      <c r="AB6" s="1184"/>
      <c r="AC6" s="1184"/>
      <c r="AD6" s="1184"/>
      <c r="AE6" s="1184"/>
      <c r="AF6" s="1185"/>
      <c r="AG6" s="1183"/>
      <c r="AH6" s="1184"/>
      <c r="AI6" s="1184"/>
      <c r="AJ6" s="1184"/>
      <c r="AK6" s="1184"/>
      <c r="AL6" s="1184"/>
      <c r="AM6" s="1184"/>
      <c r="AN6" s="1184"/>
      <c r="AO6" s="1184"/>
      <c r="AP6" s="1184"/>
      <c r="AQ6" s="1184"/>
      <c r="AR6" s="1185"/>
      <c r="AS6" s="874" t="s">
        <v>496</v>
      </c>
      <c r="AV6" s="582" t="str">
        <f t="shared" si="0"/>
        <v>Группа потребителей</v>
      </c>
      <c r="AY6" s="538">
        <v>0</v>
      </c>
    </row>
    <row r="7" spans="5:51" ht="23.25" hidden="1" customHeight="1">
      <c r="E7" s="1195"/>
      <c r="F7" s="1195"/>
      <c r="G7" s="1195"/>
      <c r="H7" s="1195"/>
      <c r="I7" s="1214"/>
      <c r="J7" s="1214"/>
      <c r="K7" s="1192" t="e">
        <f>J6&amp;".1"</f>
        <v>#N/A</v>
      </c>
      <c r="P7" s="1031"/>
      <c r="Q7" s="1031"/>
      <c r="R7" s="844">
        <v>1</v>
      </c>
      <c r="S7" s="832" t="e">
        <f>$K7</f>
        <v>#N/A</v>
      </c>
      <c r="T7" s="397"/>
      <c r="U7" s="833"/>
      <c r="V7" s="311"/>
      <c r="W7" s="311"/>
      <c r="X7" s="311"/>
      <c r="Y7" s="311"/>
      <c r="Z7" s="311"/>
      <c r="AA7" s="311"/>
      <c r="AB7" s="311"/>
      <c r="AC7" s="1197"/>
      <c r="AD7" s="1058" t="s">
        <v>61</v>
      </c>
      <c r="AE7" s="1197"/>
      <c r="AF7" s="1058" t="s">
        <v>61</v>
      </c>
      <c r="AG7" s="311"/>
      <c r="AH7" s="311"/>
      <c r="AI7" s="311"/>
      <c r="AJ7" s="311"/>
      <c r="AK7" s="311"/>
      <c r="AL7" s="311"/>
      <c r="AM7" s="311"/>
      <c r="AN7" s="1197"/>
      <c r="AO7" s="1058" t="s">
        <v>61</v>
      </c>
      <c r="AP7" s="1215"/>
      <c r="AQ7" s="1058" t="s">
        <v>61</v>
      </c>
      <c r="AR7" s="398"/>
      <c r="AS7" s="1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77" t="e">
        <f ca="1">STRCHECKDATE(V8:AR8)</f>
        <v>#NAME?</v>
      </c>
      <c r="AV7" s="582" t="str">
        <f t="shared" si="0"/>
        <v/>
      </c>
      <c r="AY7" s="538">
        <v>0</v>
      </c>
    </row>
    <row r="8" spans="5:51" ht="14.25" hidden="1" customHeight="1">
      <c r="E8" s="1195"/>
      <c r="F8" s="1195"/>
      <c r="G8" s="1195"/>
      <c r="H8" s="1195"/>
      <c r="I8" s="1214"/>
      <c r="J8" s="1214"/>
      <c r="K8" s="1192"/>
      <c r="P8" s="1031"/>
      <c r="Q8" s="1031"/>
      <c r="R8" s="844"/>
      <c r="S8" s="127"/>
      <c r="T8" s="833"/>
      <c r="U8" s="833"/>
      <c r="V8" s="312"/>
      <c r="W8" s="312"/>
      <c r="X8" s="312"/>
      <c r="Y8" s="312"/>
      <c r="Z8" s="312"/>
      <c r="AA8" s="312"/>
      <c r="AB8" s="312"/>
      <c r="AC8" s="1198"/>
      <c r="AD8" s="1058"/>
      <c r="AE8" s="1198"/>
      <c r="AF8" s="1058"/>
      <c r="AG8" s="312"/>
      <c r="AH8" s="312"/>
      <c r="AI8" s="312"/>
      <c r="AJ8" s="312"/>
      <c r="AK8" s="312"/>
      <c r="AL8" s="312"/>
      <c r="AM8" s="312"/>
      <c r="AN8" s="1198"/>
      <c r="AO8" s="1058"/>
      <c r="AP8" s="1216"/>
      <c r="AQ8" s="1058"/>
      <c r="AR8" s="387"/>
      <c r="AS8" s="1259"/>
      <c r="AV8" s="582" t="str">
        <f t="shared" si="0"/>
        <v/>
      </c>
      <c r="AY8" s="538">
        <v>0</v>
      </c>
    </row>
    <row r="9" spans="5:51" ht="21" hidden="1" customHeight="1">
      <c r="E9" s="1195"/>
      <c r="F9" s="1195"/>
      <c r="G9" s="1195"/>
      <c r="H9" s="1195"/>
      <c r="I9" s="1214"/>
      <c r="J9" s="1192"/>
      <c r="P9" s="1031"/>
      <c r="Q9" s="1031"/>
      <c r="R9" s="842"/>
      <c r="S9" s="315"/>
      <c r="T9" s="318" t="s">
        <v>497</v>
      </c>
      <c r="U9" s="52"/>
      <c r="V9" s="52"/>
      <c r="W9" s="52"/>
      <c r="X9" s="52"/>
      <c r="Y9" s="52"/>
      <c r="Z9" s="52"/>
      <c r="AA9" s="52"/>
      <c r="AB9" s="52"/>
      <c r="AC9" s="52"/>
      <c r="AD9" s="52"/>
      <c r="AE9" s="52"/>
      <c r="AF9" s="52"/>
      <c r="AG9" s="52"/>
      <c r="AH9" s="52"/>
      <c r="AI9" s="52"/>
      <c r="AJ9" s="52"/>
      <c r="AK9" s="52"/>
      <c r="AL9" s="52"/>
      <c r="AM9" s="52"/>
      <c r="AN9" s="52"/>
      <c r="AO9" s="52"/>
      <c r="AP9" s="52"/>
      <c r="AQ9" s="52"/>
      <c r="AR9" s="52"/>
      <c r="AS9" s="835" t="s">
        <v>498</v>
      </c>
      <c r="AV9" s="582" t="str">
        <f t="shared" si="0"/>
        <v>Добавить значение признака дифференциации</v>
      </c>
      <c r="AY9" s="538">
        <v>0</v>
      </c>
    </row>
    <row r="10" spans="5:51" ht="21" hidden="1" customHeight="1">
      <c r="E10" s="1195"/>
      <c r="F10" s="1195"/>
      <c r="G10" s="1195"/>
      <c r="H10" s="1195"/>
      <c r="I10" s="1192"/>
      <c r="P10" s="1031"/>
      <c r="R10" s="842"/>
      <c r="S10" s="315"/>
      <c r="T10" s="321" t="s">
        <v>423</v>
      </c>
      <c r="U10" s="52"/>
      <c r="V10" s="52"/>
      <c r="W10" s="52"/>
      <c r="X10" s="52"/>
      <c r="Y10" s="52"/>
      <c r="Z10" s="52"/>
      <c r="AA10" s="52"/>
      <c r="AB10" s="52"/>
      <c r="AC10" s="52"/>
      <c r="AD10" s="52"/>
      <c r="AE10" s="52"/>
      <c r="AF10" s="319"/>
      <c r="AG10" s="52"/>
      <c r="AH10" s="52"/>
      <c r="AI10" s="52"/>
      <c r="AJ10" s="52"/>
      <c r="AK10" s="52"/>
      <c r="AL10" s="52"/>
      <c r="AM10" s="52"/>
      <c r="AN10" s="52"/>
      <c r="AO10" s="52"/>
      <c r="AP10" s="52"/>
      <c r="AQ10" s="319"/>
      <c r="AR10" s="52"/>
      <c r="AS10" s="399"/>
      <c r="AV10" s="582" t="str">
        <f t="shared" si="0"/>
        <v>Добавить группу потребителей</v>
      </c>
      <c r="AY10" s="538">
        <v>0</v>
      </c>
    </row>
    <row r="11" spans="5:51" ht="21" hidden="1" customHeight="1">
      <c r="E11" s="1195"/>
      <c r="F11" s="1195"/>
      <c r="G11" s="1195"/>
      <c r="H11" s="1194"/>
      <c r="R11" s="310"/>
      <c r="S11" s="315"/>
      <c r="T11" s="376" t="s">
        <v>499</v>
      </c>
      <c r="U11" s="52"/>
      <c r="V11" s="52"/>
      <c r="W11" s="52"/>
      <c r="X11" s="52"/>
      <c r="Y11" s="52"/>
      <c r="Z11" s="52"/>
      <c r="AA11" s="52"/>
      <c r="AB11" s="52"/>
      <c r="AC11" s="52"/>
      <c r="AD11" s="52"/>
      <c r="AE11" s="52"/>
      <c r="AF11" s="319"/>
      <c r="AG11" s="52"/>
      <c r="AH11" s="52"/>
      <c r="AI11" s="52"/>
      <c r="AJ11" s="52"/>
      <c r="AK11" s="52"/>
      <c r="AL11" s="52"/>
      <c r="AM11" s="52"/>
      <c r="AN11" s="52"/>
      <c r="AO11" s="52"/>
      <c r="AP11" s="52"/>
      <c r="AQ11" s="319"/>
      <c r="AR11" s="52"/>
      <c r="AS11" s="320"/>
      <c r="AV11" s="582" t="str">
        <f t="shared" si="0"/>
        <v>Добавить наименование признака дифференциации</v>
      </c>
      <c r="AY11" s="538">
        <v>0</v>
      </c>
    </row>
    <row r="12" spans="5:51" ht="14.25" hidden="1" customHeight="1">
      <c r="E12" s="1195"/>
      <c r="F12" s="1194"/>
      <c r="T12" s="326" t="s">
        <v>426</v>
      </c>
      <c r="AV12" s="582" t="str">
        <f t="shared" si="0"/>
        <v>Добавить централизованную систему для дифференциации</v>
      </c>
      <c r="AY12" s="577">
        <v>0</v>
      </c>
    </row>
    <row r="13" spans="5:51" ht="14.25" hidden="1" customHeight="1">
      <c r="E13" s="1194"/>
      <c r="T13" s="326" t="s">
        <v>427</v>
      </c>
      <c r="AV13" s="582" t="str">
        <f t="shared" si="0"/>
        <v>Добавить территорию для дифференциации</v>
      </c>
      <c r="AY13" s="577">
        <v>0</v>
      </c>
    </row>
    <row r="14" spans="5:51" ht="14.25" hidden="1" customHeight="1">
      <c r="AY14" s="538">
        <v>0</v>
      </c>
    </row>
    <row r="15" spans="5:51" ht="14.25" hidden="1" customHeight="1">
      <c r="AG15" s="275"/>
      <c r="AH15" s="275"/>
      <c r="AI15" s="275"/>
      <c r="AJ15" s="275"/>
      <c r="AK15" s="275"/>
      <c r="AL15" s="275"/>
      <c r="AM15" s="275"/>
      <c r="AN15" s="1199"/>
      <c r="AO15" s="1200" t="s">
        <v>61</v>
      </c>
      <c r="AP15" s="1199"/>
      <c r="AQ15" s="1200" t="s">
        <v>61</v>
      </c>
      <c r="AY15" s="538">
        <v>0</v>
      </c>
    </row>
    <row r="16" spans="5:51" ht="14.25" hidden="1" customHeight="1">
      <c r="AG16" s="275"/>
      <c r="AH16" s="275"/>
      <c r="AI16" s="275"/>
      <c r="AJ16" s="275"/>
      <c r="AK16" s="275"/>
      <c r="AL16" s="275"/>
      <c r="AM16" s="275"/>
      <c r="AN16" s="1200"/>
      <c r="AO16" s="1200"/>
      <c r="AP16" s="1200"/>
      <c r="AQ16" s="1200"/>
      <c r="AY16" s="538">
        <v>0</v>
      </c>
    </row>
    <row r="17" spans="15:51" ht="14.25" hidden="1" customHeight="1">
      <c r="AY17" s="538">
        <v>0</v>
      </c>
    </row>
    <row r="18" spans="15:51" ht="22.5" hidden="1" customHeight="1">
      <c r="O18" s="328" t="s">
        <v>428</v>
      </c>
      <c r="AC18" s="328"/>
      <c r="AE18" s="328"/>
      <c r="AN18" s="328"/>
      <c r="AP18" s="328"/>
      <c r="AY18" s="555">
        <v>0</v>
      </c>
    </row>
    <row r="19" spans="15:51" ht="14.25" hidden="1" customHeight="1">
      <c r="AY19" s="555">
        <v>0</v>
      </c>
    </row>
    <row r="20" spans="15:51" ht="12" hidden="1" customHeight="1">
      <c r="O20" s="841" t="s">
        <v>429</v>
      </c>
      <c r="T20" s="555" t="s">
        <v>430</v>
      </c>
      <c r="AD20" s="598" t="s">
        <v>431</v>
      </c>
      <c r="AF20" s="598" t="s">
        <v>432</v>
      </c>
      <c r="AG20" s="555" t="s">
        <v>430</v>
      </c>
      <c r="AO20" s="598" t="s">
        <v>433</v>
      </c>
      <c r="AQ20" s="598" t="s">
        <v>432</v>
      </c>
      <c r="AY20" s="555">
        <v>0</v>
      </c>
    </row>
    <row r="21" spans="15:51" ht="14.25" hidden="1" customHeight="1">
      <c r="AY21" s="538">
        <v>0</v>
      </c>
    </row>
    <row r="22" spans="15:51" ht="14.25" hidden="1" customHeight="1">
      <c r="AY22" s="538">
        <v>0</v>
      </c>
    </row>
    <row r="23" spans="15:51" ht="14.65" customHeight="1">
      <c r="Q23" s="756"/>
      <c r="R23" s="756"/>
      <c r="S23" s="847"/>
      <c r="T23" s="556"/>
      <c r="U23" s="556"/>
      <c r="AY23" s="538">
        <v>14</v>
      </c>
    </row>
    <row r="24" spans="15:51" ht="26.25" customHeight="1">
      <c r="Q24" s="756"/>
      <c r="R24" s="756"/>
      <c r="S24" s="117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178"/>
      <c r="U24" s="1178"/>
      <c r="V24" s="1178"/>
      <c r="W24" s="1178"/>
      <c r="X24" s="1178"/>
      <c r="Y24" s="1178"/>
      <c r="Z24" s="1178"/>
      <c r="AA24" s="1178"/>
      <c r="AB24" s="1178"/>
      <c r="AC24" s="1178"/>
      <c r="AD24" s="1178"/>
      <c r="AE24" s="1178"/>
      <c r="AF24" s="1178"/>
      <c r="AG24" s="1178"/>
      <c r="AH24" s="1178"/>
      <c r="AI24" s="1178"/>
      <c r="AJ24" s="1178"/>
      <c r="AK24" s="1178"/>
      <c r="AL24" s="1178"/>
      <c r="AM24" s="1178"/>
      <c r="AN24" s="1178"/>
      <c r="AO24" s="1178"/>
      <c r="AP24" s="1178"/>
      <c r="AY24" s="538">
        <v>25</v>
      </c>
    </row>
    <row r="25" spans="15:51" ht="14.65" customHeight="1">
      <c r="Q25" s="756"/>
      <c r="R25" s="756"/>
      <c r="S25" s="1127" t="str">
        <f>IF(org=0,"Не определено",org)</f>
        <v>АО "НИЖЕГОРОДСКИЙ ВОДОКАНАЛ"</v>
      </c>
      <c r="T25" s="1127"/>
      <c r="U25" s="1127"/>
      <c r="V25" s="1127"/>
      <c r="W25" s="1127"/>
      <c r="X25" s="1127"/>
      <c r="Y25" s="1127"/>
      <c r="Z25" s="1127"/>
      <c r="AA25" s="1127"/>
      <c r="AB25" s="1127"/>
      <c r="AC25" s="1127"/>
      <c r="AD25" s="1127"/>
      <c r="AE25" s="1127"/>
      <c r="AF25" s="1127"/>
      <c r="AG25" s="1127"/>
      <c r="AH25" s="1127"/>
      <c r="AI25" s="1127"/>
      <c r="AJ25" s="1127"/>
      <c r="AK25" s="1127"/>
      <c r="AL25" s="1127"/>
      <c r="AM25" s="1127"/>
      <c r="AN25" s="1127"/>
      <c r="AO25" s="1127"/>
      <c r="AP25" s="1127"/>
      <c r="AY25" s="538">
        <v>14</v>
      </c>
    </row>
    <row r="26" spans="15:51" ht="14.25" hidden="1" customHeight="1">
      <c r="Q26" s="756"/>
      <c r="R26" s="756"/>
      <c r="S26" s="847"/>
      <c r="T26" s="556"/>
      <c r="U26" s="556"/>
      <c r="V26" s="826"/>
      <c r="W26" s="826"/>
      <c r="X26" s="826"/>
      <c r="Y26" s="826"/>
      <c r="Z26" s="826"/>
      <c r="AA26" s="826"/>
      <c r="AB26" s="826"/>
      <c r="AC26" s="826"/>
      <c r="AD26" s="826"/>
      <c r="AE26" s="826"/>
      <c r="AF26" s="826"/>
      <c r="AG26" s="826"/>
      <c r="AH26" s="826"/>
      <c r="AI26" s="826"/>
      <c r="AJ26" s="826"/>
      <c r="AK26" s="826"/>
      <c r="AL26" s="826"/>
      <c r="AM26" s="826"/>
      <c r="AN26" s="826"/>
      <c r="AO26" s="826"/>
      <c r="AP26" s="826"/>
      <c r="AQ26" s="826"/>
      <c r="AY26" s="538">
        <v>0</v>
      </c>
    </row>
    <row r="27" spans="15:51" ht="25.5" hidden="1" customHeight="1">
      <c r="S27" s="1186" t="s">
        <v>41</v>
      </c>
      <c r="T27" s="1186"/>
      <c r="U27" s="849"/>
      <c r="V27" s="1187" t="str">
        <f>IF(TITLE_NAME_OR_PR_CHANGE="",IF(TITLE_NAME_OR_PR="","",TITLE_NAME_OR_PR),TITLE_NAME_OR_PR_CHANGE)</f>
        <v/>
      </c>
      <c r="W27" s="1187"/>
      <c r="X27" s="1187"/>
      <c r="Y27" s="1187"/>
      <c r="Z27" s="1187"/>
      <c r="AA27" s="1187"/>
      <c r="AB27" s="1187"/>
      <c r="AC27" s="1187"/>
      <c r="AD27" s="1187"/>
      <c r="AE27" s="1187"/>
      <c r="AG27" s="1187" t="str">
        <f>IF(TITLE_NAME_OR_PR_CHANGE="",IF(TITLE_NAME_OR_PR="","",TITLE_NAME_OR_PR),TITLE_NAME_OR_PR_CHANGE)</f>
        <v/>
      </c>
      <c r="AH27" s="1187"/>
      <c r="AI27" s="1187"/>
      <c r="AJ27" s="1187"/>
      <c r="AK27" s="1187"/>
      <c r="AL27" s="1187"/>
      <c r="AM27" s="1187"/>
      <c r="AN27" s="1187"/>
      <c r="AO27" s="1187"/>
      <c r="AP27" s="1187"/>
      <c r="AY27" s="592">
        <v>0</v>
      </c>
    </row>
    <row r="28" spans="15:51" ht="18.75" hidden="1" customHeight="1">
      <c r="S28" s="1186" t="s">
        <v>434</v>
      </c>
      <c r="T28" s="1186"/>
      <c r="U28" s="849"/>
      <c r="V28" s="1196" t="str">
        <f>IF(TITLE_DATE_PR_CHANGE="",IF(TITLE_DATE_PR="","",TITLE_DATE_PR),TITLE_DATE_PR_CHANGE)</f>
        <v/>
      </c>
      <c r="W28" s="1196"/>
      <c r="X28" s="1196"/>
      <c r="Y28" s="1196"/>
      <c r="Z28" s="1196"/>
      <c r="AA28" s="1196"/>
      <c r="AB28" s="1196"/>
      <c r="AC28" s="1196"/>
      <c r="AD28" s="1196"/>
      <c r="AE28" s="1196"/>
      <c r="AG28" s="1196" t="str">
        <f>IF(TITLE_DATE_PR_CHANGE="",IF(TITLE_DATE_PR="","",TITLE_DATE_PR),TITLE_DATE_PR_CHANGE)</f>
        <v/>
      </c>
      <c r="AH28" s="1196"/>
      <c r="AI28" s="1196"/>
      <c r="AJ28" s="1196"/>
      <c r="AK28" s="1196"/>
      <c r="AL28" s="1196"/>
      <c r="AM28" s="1196"/>
      <c r="AN28" s="1196"/>
      <c r="AO28" s="1196"/>
      <c r="AP28" s="1196"/>
      <c r="AY28" s="592">
        <v>0</v>
      </c>
    </row>
    <row r="29" spans="15:51" ht="18.75" hidden="1" customHeight="1">
      <c r="S29" s="1186" t="s">
        <v>435</v>
      </c>
      <c r="T29" s="1186"/>
      <c r="U29" s="849"/>
      <c r="V29" s="1187" t="str">
        <f>IF(TITLE_NUMBER_PR_CHANGE="",IF(TITLE_NUMBER_PR="","",TITLE_NUMBER_PR),TITLE_NUMBER_PR_CHANGE)</f>
        <v/>
      </c>
      <c r="W29" s="1187"/>
      <c r="X29" s="1187"/>
      <c r="Y29" s="1187"/>
      <c r="Z29" s="1187"/>
      <c r="AA29" s="1187"/>
      <c r="AB29" s="1187"/>
      <c r="AC29" s="1187"/>
      <c r="AD29" s="1187"/>
      <c r="AE29" s="1187"/>
      <c r="AG29" s="1187" t="str">
        <f>IF(TITLE_NUMBER_PR_CHANGE="",IF(TITLE_NUMBER_PR="","",TITLE_NUMBER_PR),TITLE_NUMBER_PR_CHANGE)</f>
        <v/>
      </c>
      <c r="AH29" s="1187"/>
      <c r="AI29" s="1187"/>
      <c r="AJ29" s="1187"/>
      <c r="AK29" s="1187"/>
      <c r="AL29" s="1187"/>
      <c r="AM29" s="1187"/>
      <c r="AN29" s="1187"/>
      <c r="AO29" s="1187"/>
      <c r="AP29" s="1187"/>
      <c r="AY29" s="592">
        <v>0</v>
      </c>
    </row>
    <row r="30" spans="15:51" ht="18.75" hidden="1" customHeight="1">
      <c r="S30" s="1186" t="s">
        <v>42</v>
      </c>
      <c r="T30" s="1186"/>
      <c r="U30" s="849"/>
      <c r="V30" s="1187" t="str">
        <f>IF(TITLE_IST_PUB_CHANGE="",IF(TITLE_IST_PUB="","",TITLE_IST_PUB),TITLE_IST_PUB_CHANGE)</f>
        <v/>
      </c>
      <c r="W30" s="1187"/>
      <c r="X30" s="1187"/>
      <c r="Y30" s="1187"/>
      <c r="Z30" s="1187"/>
      <c r="AA30" s="1187"/>
      <c r="AB30" s="1187"/>
      <c r="AC30" s="1187"/>
      <c r="AD30" s="1187"/>
      <c r="AE30" s="1187"/>
      <c r="AG30" s="1187" t="str">
        <f>IF(TITLE_IST_PUB_CHANGE="",IF(TITLE_IST_PUB="","",TITLE_IST_PUB),TITLE_IST_PUB_CHANGE)</f>
        <v/>
      </c>
      <c r="AH30" s="1187"/>
      <c r="AI30" s="1187"/>
      <c r="AJ30" s="1187"/>
      <c r="AK30" s="1187"/>
      <c r="AL30" s="1187"/>
      <c r="AM30" s="1187"/>
      <c r="AN30" s="1187"/>
      <c r="AO30" s="1187"/>
      <c r="AP30" s="1187"/>
      <c r="AY30" s="592">
        <v>0</v>
      </c>
    </row>
    <row r="31" spans="15:51" ht="14.25" hidden="1" customHeight="1">
      <c r="Q31" s="756"/>
      <c r="R31" s="756"/>
      <c r="S31" s="847"/>
      <c r="T31" s="556"/>
      <c r="U31" s="556"/>
      <c r="V31" s="826"/>
      <c r="W31" s="826"/>
      <c r="X31" s="826"/>
      <c r="Y31" s="826"/>
      <c r="Z31" s="826"/>
      <c r="AA31" s="826"/>
      <c r="AB31" s="826"/>
      <c r="AC31" s="826"/>
      <c r="AD31" s="826"/>
      <c r="AE31" s="826"/>
      <c r="AF31" s="826"/>
      <c r="AG31" s="826"/>
      <c r="AH31" s="826"/>
      <c r="AI31" s="826"/>
      <c r="AJ31" s="826"/>
      <c r="AK31" s="826"/>
      <c r="AL31" s="826"/>
      <c r="AM31" s="826"/>
      <c r="AN31" s="826"/>
      <c r="AO31" s="826"/>
      <c r="AP31" s="826"/>
      <c r="AQ31" s="826"/>
      <c r="AY31" s="538">
        <v>0</v>
      </c>
    </row>
    <row r="32" spans="15:51" ht="18.75" hidden="1" customHeight="1">
      <c r="S32" s="1186" t="s">
        <v>436</v>
      </c>
      <c r="T32" s="1186"/>
      <c r="U32" s="849"/>
      <c r="V32" s="1196" t="str">
        <f>IF(TITLE_DATE_PR_CHANGE="",IF(TITLE_DATE_PR="","",TITLE_DATE_PR),TITLE_DATE_PR_CHANGE)</f>
        <v/>
      </c>
      <c r="W32" s="1196"/>
      <c r="X32" s="1196"/>
      <c r="Y32" s="1196"/>
      <c r="Z32" s="1196"/>
      <c r="AA32" s="1196"/>
      <c r="AB32" s="1196"/>
      <c r="AC32" s="1196"/>
      <c r="AD32" s="1196"/>
      <c r="AE32" s="1196"/>
      <c r="AG32" s="1196" t="str">
        <f>IF(TITLE_DATE_PR_CHANGE="",IF(TITLE_DATE_PR="","",TITLE_DATE_PR),TITLE_DATE_PR_CHANGE)</f>
        <v/>
      </c>
      <c r="AH32" s="1196"/>
      <c r="AI32" s="1196"/>
      <c r="AJ32" s="1196"/>
      <c r="AK32" s="1196"/>
      <c r="AL32" s="1196"/>
      <c r="AM32" s="1196"/>
      <c r="AN32" s="1196"/>
      <c r="AO32" s="1196"/>
      <c r="AP32" s="1196"/>
      <c r="AY32" s="592">
        <v>0</v>
      </c>
    </row>
    <row r="33" spans="1:51" ht="18.75" hidden="1" customHeight="1">
      <c r="S33" s="1186" t="s">
        <v>437</v>
      </c>
      <c r="T33" s="1186"/>
      <c r="U33" s="849"/>
      <c r="V33" s="1187" t="str">
        <f>IF(TITLE_NUMBER_PR_CHANGE="",IF(TITLE_NUMBER_PR="","",TITLE_NUMBER_PR),TITLE_NUMBER_PR_CHANGE)</f>
        <v/>
      </c>
      <c r="W33" s="1187"/>
      <c r="X33" s="1187"/>
      <c r="Y33" s="1187"/>
      <c r="Z33" s="1187"/>
      <c r="AA33" s="1187"/>
      <c r="AB33" s="1187"/>
      <c r="AC33" s="1187"/>
      <c r="AD33" s="1187"/>
      <c r="AE33" s="1187"/>
      <c r="AG33" s="1187" t="str">
        <f>IF(TITLE_NUMBER_PR_CHANGE="",IF(TITLE_NUMBER_PR="","",TITLE_NUMBER_PR),TITLE_NUMBER_PR_CHANGE)</f>
        <v/>
      </c>
      <c r="AH33" s="1187"/>
      <c r="AI33" s="1187"/>
      <c r="AJ33" s="1187"/>
      <c r="AK33" s="1187"/>
      <c r="AL33" s="1187"/>
      <c r="AM33" s="1187"/>
      <c r="AN33" s="1187"/>
      <c r="AO33" s="1187"/>
      <c r="AP33" s="1187"/>
      <c r="AY33" s="592">
        <v>0</v>
      </c>
    </row>
    <row r="34" spans="1:51" ht="1.1499999999999999" customHeight="1">
      <c r="AF34" s="577" t="s">
        <v>438</v>
      </c>
      <c r="AQ34" s="577" t="s">
        <v>438</v>
      </c>
      <c r="AY34" s="592">
        <v>1</v>
      </c>
    </row>
    <row r="35" spans="1:51" ht="14.65" customHeight="1">
      <c r="Q35" s="756"/>
      <c r="R35" s="756"/>
      <c r="S35" s="847"/>
      <c r="T35" s="556"/>
      <c r="U35" s="850"/>
      <c r="V35" s="1188"/>
      <c r="W35" s="1188"/>
      <c r="X35" s="1188"/>
      <c r="Y35" s="1188"/>
      <c r="Z35" s="1188"/>
      <c r="AA35" s="1188"/>
      <c r="AB35" s="1188"/>
      <c r="AC35" s="1188"/>
      <c r="AD35" s="1188"/>
      <c r="AE35" s="1188"/>
      <c r="AF35" s="1188"/>
      <c r="AG35" s="1188"/>
      <c r="AH35" s="1188"/>
      <c r="AI35" s="1188"/>
      <c r="AJ35" s="1188"/>
      <c r="AK35" s="1188"/>
      <c r="AL35" s="1188"/>
      <c r="AM35" s="1188"/>
      <c r="AN35" s="1188"/>
      <c r="AO35" s="1188"/>
      <c r="AP35" s="1188"/>
      <c r="AQ35" s="1188"/>
      <c r="AY35" s="538">
        <v>14</v>
      </c>
    </row>
    <row r="36" spans="1:51" ht="14.65" customHeight="1">
      <c r="Q36" s="756"/>
      <c r="R36" s="756"/>
      <c r="S36" s="1066" t="s">
        <v>311</v>
      </c>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c r="AR36" s="1066"/>
      <c r="AS36" s="1066" t="s">
        <v>312</v>
      </c>
      <c r="AY36" s="538">
        <v>14</v>
      </c>
    </row>
    <row r="37" spans="1:51" ht="14.65" customHeight="1">
      <c r="Q37" s="756"/>
      <c r="R37" s="756"/>
      <c r="S37" s="1202" t="s">
        <v>87</v>
      </c>
      <c r="T37" s="1154" t="s">
        <v>439</v>
      </c>
      <c r="U37" s="817"/>
      <c r="V37" s="1203" t="s">
        <v>440</v>
      </c>
      <c r="W37" s="1219"/>
      <c r="X37" s="1219"/>
      <c r="Y37" s="1219"/>
      <c r="Z37" s="1219"/>
      <c r="AA37" s="1219"/>
      <c r="AB37" s="1219"/>
      <c r="AC37" s="1204"/>
      <c r="AD37" s="1204"/>
      <c r="AE37" s="1205"/>
      <c r="AF37" s="1206" t="s">
        <v>441</v>
      </c>
      <c r="AG37" s="1203" t="s">
        <v>440</v>
      </c>
      <c r="AH37" s="1204"/>
      <c r="AI37" s="1204"/>
      <c r="AJ37" s="1204"/>
      <c r="AK37" s="1204"/>
      <c r="AL37" s="1204"/>
      <c r="AM37" s="1204"/>
      <c r="AN37" s="1204"/>
      <c r="AO37" s="1204"/>
      <c r="AP37" s="1205"/>
      <c r="AQ37" s="1206" t="s">
        <v>442</v>
      </c>
      <c r="AR37" s="1209" t="s">
        <v>443</v>
      </c>
      <c r="AS37" s="1066"/>
      <c r="AY37" s="538">
        <v>14</v>
      </c>
    </row>
    <row r="38" spans="1:51" ht="19.899999999999999" customHeight="1">
      <c r="Q38" s="756"/>
      <c r="R38" s="756"/>
      <c r="S38" s="1202"/>
      <c r="T38" s="1154"/>
      <c r="U38" s="822"/>
      <c r="V38" s="1066" t="s">
        <v>543</v>
      </c>
      <c r="W38" s="1150" t="s">
        <v>544</v>
      </c>
      <c r="X38" s="1150"/>
      <c r="Y38" s="1150"/>
      <c r="Z38" s="1150" t="s">
        <v>545</v>
      </c>
      <c r="AA38" s="1150"/>
      <c r="AB38" s="1150"/>
      <c r="AC38" s="1141" t="s">
        <v>447</v>
      </c>
      <c r="AD38" s="1233"/>
      <c r="AE38" s="1142"/>
      <c r="AF38" s="1207"/>
      <c r="AG38" s="1066" t="s">
        <v>543</v>
      </c>
      <c r="AH38" s="1150" t="s">
        <v>544</v>
      </c>
      <c r="AI38" s="1150"/>
      <c r="AJ38" s="1150"/>
      <c r="AK38" s="1150" t="s">
        <v>545</v>
      </c>
      <c r="AL38" s="1150"/>
      <c r="AM38" s="1150"/>
      <c r="AN38" s="1141" t="s">
        <v>447</v>
      </c>
      <c r="AO38" s="1233"/>
      <c r="AP38" s="1142"/>
      <c r="AQ38" s="1207"/>
      <c r="AR38" s="1210"/>
      <c r="AS38" s="1066"/>
      <c r="AY38" s="538">
        <v>19</v>
      </c>
    </row>
    <row r="39" spans="1:51" ht="19.899999999999999" customHeight="1">
      <c r="Q39" s="756"/>
      <c r="R39" s="756"/>
      <c r="S39" s="1202"/>
      <c r="T39" s="1154"/>
      <c r="U39" s="822"/>
      <c r="V39" s="1066"/>
      <c r="W39" s="1150" t="s">
        <v>546</v>
      </c>
      <c r="X39" s="1150" t="s">
        <v>547</v>
      </c>
      <c r="Y39" s="1150"/>
      <c r="Z39" s="1150" t="s">
        <v>548</v>
      </c>
      <c r="AA39" s="1150" t="s">
        <v>547</v>
      </c>
      <c r="AB39" s="1150"/>
      <c r="AC39" s="1146"/>
      <c r="AD39" s="1234"/>
      <c r="AE39" s="1147"/>
      <c r="AF39" s="1207"/>
      <c r="AG39" s="1066"/>
      <c r="AH39" s="1150" t="s">
        <v>546</v>
      </c>
      <c r="AI39" s="1150" t="s">
        <v>547</v>
      </c>
      <c r="AJ39" s="1150"/>
      <c r="AK39" s="1150" t="s">
        <v>548</v>
      </c>
      <c r="AL39" s="1150" t="s">
        <v>547</v>
      </c>
      <c r="AM39" s="1150"/>
      <c r="AN39" s="1146"/>
      <c r="AO39" s="1234"/>
      <c r="AP39" s="1147"/>
      <c r="AQ39" s="1207"/>
      <c r="AR39" s="1210"/>
      <c r="AS39" s="1066"/>
      <c r="AY39" s="538">
        <v>19</v>
      </c>
    </row>
    <row r="40" spans="1:51" ht="61.9" customHeight="1">
      <c r="B40" s="598" t="s">
        <v>148</v>
      </c>
      <c r="C40" s="598" t="s">
        <v>149</v>
      </c>
      <c r="D40" s="598" t="s">
        <v>150</v>
      </c>
      <c r="E40" s="841" t="s">
        <v>448</v>
      </c>
      <c r="F40" s="841" t="s">
        <v>449</v>
      </c>
      <c r="G40" s="841" t="s">
        <v>450</v>
      </c>
      <c r="I40" s="841" t="s">
        <v>501</v>
      </c>
      <c r="J40" s="841" t="s">
        <v>453</v>
      </c>
      <c r="K40" s="841" t="s">
        <v>502</v>
      </c>
      <c r="L40" s="841" t="s">
        <v>429</v>
      </c>
      <c r="Q40" s="756"/>
      <c r="R40" s="756"/>
      <c r="S40" s="1202"/>
      <c r="T40" s="1154"/>
      <c r="U40" s="852"/>
      <c r="V40" s="1066"/>
      <c r="W40" s="1150"/>
      <c r="X40" s="92" t="s">
        <v>549</v>
      </c>
      <c r="Y40" s="92" t="s">
        <v>550</v>
      </c>
      <c r="Z40" s="1150"/>
      <c r="AA40" s="92" t="s">
        <v>551</v>
      </c>
      <c r="AB40" s="92" t="s">
        <v>552</v>
      </c>
      <c r="AC40" s="602" t="s">
        <v>457</v>
      </c>
      <c r="AD40" s="1162" t="s">
        <v>458</v>
      </c>
      <c r="AE40" s="1164"/>
      <c r="AF40" s="1208"/>
      <c r="AG40" s="1066"/>
      <c r="AH40" s="1150"/>
      <c r="AI40" s="92" t="s">
        <v>549</v>
      </c>
      <c r="AJ40" s="92" t="s">
        <v>550</v>
      </c>
      <c r="AK40" s="1150"/>
      <c r="AL40" s="92" t="s">
        <v>551</v>
      </c>
      <c r="AM40" s="92" t="s">
        <v>552</v>
      </c>
      <c r="AN40" s="602" t="s">
        <v>457</v>
      </c>
      <c r="AO40" s="1162" t="s">
        <v>458</v>
      </c>
      <c r="AP40" s="1164"/>
      <c r="AQ40" s="1208"/>
      <c r="AR40" s="1211"/>
      <c r="AS40" s="1066"/>
      <c r="AY40" s="538">
        <v>59</v>
      </c>
    </row>
    <row r="41" spans="1:51" ht="11.25" hidden="1" customHeight="1">
      <c r="Q41" s="853"/>
      <c r="R41" s="854">
        <v>1</v>
      </c>
      <c r="S41" s="329" t="s">
        <v>114</v>
      </c>
      <c r="T41" s="330" t="s">
        <v>102</v>
      </c>
      <c r="U41" s="855" t="str">
        <f ca="1">OFFSET(U41,0,-1)</f>
        <v>2</v>
      </c>
      <c r="V41" s="856">
        <f ca="1">OFFSET(V41,0,-1)+1</f>
        <v>3</v>
      </c>
      <c r="W41" s="680"/>
      <c r="X41" s="680"/>
      <c r="Y41" s="680"/>
      <c r="Z41" s="680"/>
      <c r="AA41" s="680"/>
      <c r="AB41" s="680"/>
      <c r="AC41" s="856">
        <f ca="1">OFFSET(AC41,0,-1)+1</f>
        <v>1</v>
      </c>
      <c r="AD41" s="1201">
        <f ca="1">OFFSET(AD41,0,-1)+1</f>
        <v>2</v>
      </c>
      <c r="AE41" s="1201"/>
      <c r="AF41" s="856">
        <f ca="1">OFFSET(AF41,0,-2)+1</f>
        <v>3</v>
      </c>
      <c r="AG41" s="856">
        <f ca="1">OFFSET(AG41,0,-1)+1</f>
        <v>4</v>
      </c>
      <c r="AH41" s="856"/>
      <c r="AI41" s="856"/>
      <c r="AJ41" s="856"/>
      <c r="AK41" s="856"/>
      <c r="AL41" s="856"/>
      <c r="AM41" s="856">
        <f ca="1">OFFSET(AM41,0,-1)+1</f>
        <v>1</v>
      </c>
      <c r="AN41" s="856">
        <f ca="1">OFFSET(AN41,0,-1)+1</f>
        <v>2</v>
      </c>
      <c r="AO41" s="1201">
        <f ca="1">OFFSET(AO41,0,-1)+1</f>
        <v>3</v>
      </c>
      <c r="AP41" s="1201"/>
      <c r="AQ41" s="856">
        <f ca="1">OFFSET(AQ41,0,-2)+1</f>
        <v>4</v>
      </c>
      <c r="AR41" s="855">
        <f ca="1">OFFSET(AR41,0,-1)</f>
        <v>4</v>
      </c>
      <c r="AS41" s="856">
        <f ca="1">OFFSET(AS41,0,-1)+1</f>
        <v>5</v>
      </c>
      <c r="AY41" s="681">
        <v>0</v>
      </c>
    </row>
    <row r="42" spans="1:51" ht="24" customHeight="1">
      <c r="A42" s="857" t="s">
        <v>262</v>
      </c>
      <c r="E42" s="1194">
        <v>1</v>
      </c>
      <c r="R42" s="310"/>
      <c r="S42" s="832">
        <f>INDEX(PT_DIFFERENTIATION_NUM_NTAR,MATCH(A42,PT_DIFFERENTIATION_NTAR_ID,0))</f>
        <v>0</v>
      </c>
      <c r="T42" s="795" t="s">
        <v>136</v>
      </c>
      <c r="U42" s="833"/>
      <c r="V42" s="1180"/>
      <c r="W42" s="1181"/>
      <c r="X42" s="1181"/>
      <c r="Y42" s="1181"/>
      <c r="Z42" s="1181"/>
      <c r="AA42" s="1181"/>
      <c r="AB42" s="1181"/>
      <c r="AC42" s="1181"/>
      <c r="AD42" s="1181"/>
      <c r="AE42" s="1181"/>
      <c r="AF42" s="1182"/>
      <c r="AG42" s="1180" t="str">
        <f>INDEX(PT_DIFFERENTIATION_NTAR,MATCH(A42,PT_DIFFERENTIATION_NTAR_ID,0))</f>
        <v/>
      </c>
      <c r="AH42" s="1181"/>
      <c r="AI42" s="1181"/>
      <c r="AJ42" s="1181"/>
      <c r="AK42" s="1181"/>
      <c r="AL42" s="1181"/>
      <c r="AM42" s="1181"/>
      <c r="AN42" s="1181"/>
      <c r="AO42" s="1181"/>
      <c r="AP42" s="1181"/>
      <c r="AQ42" s="1181"/>
      <c r="AR42" s="1182"/>
      <c r="AS42"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V42" s="582" t="str">
        <f t="shared" ref="AV42:AV54" si="1">IF(T42="","",T42)</f>
        <v>Наименование тарифа</v>
      </c>
      <c r="AY42" s="538">
        <v>23</v>
      </c>
    </row>
    <row r="43" spans="1:51" ht="24" customHeight="1">
      <c r="A43" s="857" t="s">
        <v>262</v>
      </c>
      <c r="B43" s="857" t="s">
        <v>263</v>
      </c>
      <c r="E43" s="1195"/>
      <c r="F43" s="1194">
        <v>1</v>
      </c>
      <c r="Q43" s="836"/>
      <c r="R43" s="837"/>
      <c r="S43" s="832" t="str">
        <f>INDEX(PT_DIFFERENTIATION_NUM_TER,MATCH(B43,PT_DIFFERENTIATION_TER_ID,0))</f>
        <v>.</v>
      </c>
      <c r="T43" s="838" t="s">
        <v>408</v>
      </c>
      <c r="U43" s="833"/>
      <c r="V43" s="1180"/>
      <c r="W43" s="1181"/>
      <c r="X43" s="1181"/>
      <c r="Y43" s="1181"/>
      <c r="Z43" s="1181"/>
      <c r="AA43" s="1181"/>
      <c r="AB43" s="1181"/>
      <c r="AC43" s="1181"/>
      <c r="AD43" s="1181"/>
      <c r="AE43" s="1181"/>
      <c r="AF43" s="1182"/>
      <c r="AG43" s="1180" t="str">
        <f>INDEX(PT_DIFFERENTIATION_TER,MATCH(B43,PT_DIFFERENTIATION_TER_ID,0))</f>
        <v/>
      </c>
      <c r="AH43" s="1181"/>
      <c r="AI43" s="1181"/>
      <c r="AJ43" s="1181"/>
      <c r="AK43" s="1181"/>
      <c r="AL43" s="1181"/>
      <c r="AM43" s="1181"/>
      <c r="AN43" s="1181"/>
      <c r="AO43" s="1181"/>
      <c r="AP43" s="1181"/>
      <c r="AQ43" s="1181"/>
      <c r="AR43" s="1182"/>
      <c r="AS43" s="835" t="s">
        <v>409</v>
      </c>
      <c r="AV43" s="582" t="str">
        <f t="shared" si="1"/>
        <v>Территория действия тарифа</v>
      </c>
      <c r="AY43" s="538">
        <v>23</v>
      </c>
    </row>
    <row r="44" spans="1:51" ht="24" customHeight="1">
      <c r="A44" s="857" t="s">
        <v>262</v>
      </c>
      <c r="B44" s="857" t="s">
        <v>263</v>
      </c>
      <c r="C44" s="857" t="s">
        <v>264</v>
      </c>
      <c r="E44" s="1195"/>
      <c r="F44" s="1195"/>
      <c r="G44" s="1194">
        <v>1</v>
      </c>
      <c r="Q44" s="836"/>
      <c r="R44" s="837"/>
      <c r="S44" s="832" t="str">
        <f>INDEX(PT_DIFFERENTIATION_NUM_CS,MATCH(C44,PT_DIFFERENTIATION_CS_ID,0))</f>
        <v>..</v>
      </c>
      <c r="T44" s="839" t="s">
        <v>541</v>
      </c>
      <c r="U44" s="833"/>
      <c r="V44" s="1180"/>
      <c r="W44" s="1181"/>
      <c r="X44" s="1181"/>
      <c r="Y44" s="1181"/>
      <c r="Z44" s="1181"/>
      <c r="AA44" s="1181"/>
      <c r="AB44" s="1181"/>
      <c r="AC44" s="1181"/>
      <c r="AD44" s="1181"/>
      <c r="AE44" s="1181"/>
      <c r="AF44" s="1182"/>
      <c r="AG44" s="1180" t="str">
        <f>INDEX(PT_DIFFERENTIATION_CS,MATCH(C44,PT_DIFFERENTIATION_CS_ID,0))</f>
        <v/>
      </c>
      <c r="AH44" s="1181"/>
      <c r="AI44" s="1181"/>
      <c r="AJ44" s="1181"/>
      <c r="AK44" s="1181"/>
      <c r="AL44" s="1181"/>
      <c r="AM44" s="1181"/>
      <c r="AN44" s="1181"/>
      <c r="AO44" s="1181"/>
      <c r="AP44" s="1181"/>
      <c r="AQ44" s="1181"/>
      <c r="AR44" s="1182"/>
      <c r="AS44" s="835" t="s">
        <v>542</v>
      </c>
      <c r="AV44" s="582" t="str">
        <f t="shared" si="1"/>
        <v>Наименование централизованной системы горячего водоснабжения</v>
      </c>
      <c r="AY44" s="538">
        <v>23</v>
      </c>
    </row>
    <row r="45" spans="1:51" ht="24" customHeight="1">
      <c r="A45" s="857" t="s">
        <v>262</v>
      </c>
      <c r="B45" s="857" t="s">
        <v>263</v>
      </c>
      <c r="C45" s="857" t="s">
        <v>264</v>
      </c>
      <c r="D45" s="857" t="s">
        <v>553</v>
      </c>
      <c r="E45" s="1195"/>
      <c r="F45" s="1195"/>
      <c r="G45" s="1195"/>
      <c r="H45" s="1195"/>
      <c r="I45" s="1192" t="str">
        <f>S44&amp;".1"</f>
        <v>...1</v>
      </c>
      <c r="P45" s="1193">
        <v>1</v>
      </c>
      <c r="R45" s="842"/>
      <c r="S45" s="832" t="str">
        <f>$I45</f>
        <v>...1</v>
      </c>
      <c r="T45" s="843" t="s">
        <v>494</v>
      </c>
      <c r="U45" s="833"/>
      <c r="V45" s="1260"/>
      <c r="W45" s="1261"/>
      <c r="X45" s="1261"/>
      <c r="Y45" s="1261"/>
      <c r="Z45" s="1261"/>
      <c r="AA45" s="1261"/>
      <c r="AB45" s="1261"/>
      <c r="AC45" s="1261"/>
      <c r="AD45" s="1261"/>
      <c r="AE45" s="1261"/>
      <c r="AF45" s="1262"/>
      <c r="AG45" s="1263"/>
      <c r="AH45" s="1264"/>
      <c r="AI45" s="1264"/>
      <c r="AJ45" s="1264"/>
      <c r="AK45" s="1264"/>
      <c r="AL45" s="1264"/>
      <c r="AM45" s="1264"/>
      <c r="AN45" s="1264"/>
      <c r="AO45" s="1264"/>
      <c r="AP45" s="1264"/>
      <c r="AQ45" s="1264"/>
      <c r="AR45" s="1265"/>
      <c r="AS45" s="835" t="s">
        <v>495</v>
      </c>
      <c r="AV45" s="582" t="str">
        <f t="shared" si="1"/>
        <v>Наименование признака дифференциации</v>
      </c>
      <c r="AY45" s="538">
        <v>23</v>
      </c>
    </row>
    <row r="46" spans="1:51" ht="24" customHeight="1">
      <c r="A46" s="857" t="s">
        <v>262</v>
      </c>
      <c r="B46" s="857" t="s">
        <v>263</v>
      </c>
      <c r="C46" s="857" t="s">
        <v>264</v>
      </c>
      <c r="D46" s="857" t="s">
        <v>553</v>
      </c>
      <c r="E46" s="1195"/>
      <c r="F46" s="1195"/>
      <c r="G46" s="1195"/>
      <c r="H46" s="1195"/>
      <c r="I46" s="1214"/>
      <c r="J46" s="1192" t="str">
        <f>I45&amp;".1"</f>
        <v>...1.1</v>
      </c>
      <c r="L46" s="841" t="s">
        <v>417</v>
      </c>
      <c r="P46" s="1031"/>
      <c r="Q46" s="1193">
        <v>1</v>
      </c>
      <c r="R46" s="844"/>
      <c r="S46" s="832" t="str">
        <f>$J46</f>
        <v>...1.1</v>
      </c>
      <c r="T46" s="845" t="s">
        <v>418</v>
      </c>
      <c r="U46" s="833"/>
      <c r="V46" s="1183"/>
      <c r="W46" s="1184"/>
      <c r="X46" s="1184"/>
      <c r="Y46" s="1184"/>
      <c r="Z46" s="1184"/>
      <c r="AA46" s="1184"/>
      <c r="AB46" s="1184"/>
      <c r="AC46" s="1184"/>
      <c r="AD46" s="1184"/>
      <c r="AE46" s="1184"/>
      <c r="AF46" s="1185"/>
      <c r="AG46" s="1183"/>
      <c r="AH46" s="1184"/>
      <c r="AI46" s="1184"/>
      <c r="AJ46" s="1184"/>
      <c r="AK46" s="1184"/>
      <c r="AL46" s="1184"/>
      <c r="AM46" s="1184"/>
      <c r="AN46" s="1184"/>
      <c r="AO46" s="1184"/>
      <c r="AP46" s="1184"/>
      <c r="AQ46" s="1184"/>
      <c r="AR46" s="1185"/>
      <c r="AS46" s="874" t="s">
        <v>496</v>
      </c>
      <c r="AV46" s="582" t="str">
        <f t="shared" si="1"/>
        <v>Группа потребителей</v>
      </c>
      <c r="AY46" s="538">
        <v>23</v>
      </c>
    </row>
    <row r="47" spans="1:51" ht="24" customHeight="1">
      <c r="A47" s="857" t="s">
        <v>262</v>
      </c>
      <c r="B47" s="857" t="s">
        <v>263</v>
      </c>
      <c r="C47" s="857" t="s">
        <v>264</v>
      </c>
      <c r="D47" s="857" t="s">
        <v>553</v>
      </c>
      <c r="E47" s="1195"/>
      <c r="F47" s="1195"/>
      <c r="G47" s="1195"/>
      <c r="H47" s="1195"/>
      <c r="I47" s="1214"/>
      <c r="J47" s="1214"/>
      <c r="K47" s="1192" t="str">
        <f>J46&amp;".1"</f>
        <v>...1.1.1</v>
      </c>
      <c r="P47" s="1031"/>
      <c r="Q47" s="1031"/>
      <c r="R47" s="844">
        <v>1</v>
      </c>
      <c r="S47" s="832" t="str">
        <f>$K47</f>
        <v>...1.1.1</v>
      </c>
      <c r="T47" s="397"/>
      <c r="U47" s="833"/>
      <c r="V47" s="311"/>
      <c r="W47" s="311"/>
      <c r="X47" s="311"/>
      <c r="Y47" s="311"/>
      <c r="Z47" s="311"/>
      <c r="AA47" s="311"/>
      <c r="AB47" s="311"/>
      <c r="AC47" s="1199"/>
      <c r="AD47" s="1200" t="s">
        <v>61</v>
      </c>
      <c r="AE47" s="1199"/>
      <c r="AF47" s="1200" t="s">
        <v>61</v>
      </c>
      <c r="AG47" s="311"/>
      <c r="AH47" s="311"/>
      <c r="AI47" s="311"/>
      <c r="AJ47" s="311"/>
      <c r="AK47" s="311"/>
      <c r="AL47" s="311"/>
      <c r="AM47" s="311"/>
      <c r="AN47" s="1197"/>
      <c r="AO47" s="1058" t="s">
        <v>61</v>
      </c>
      <c r="AP47" s="1215"/>
      <c r="AQ47" s="1058" t="s">
        <v>19</v>
      </c>
      <c r="AR47" s="398"/>
      <c r="AS47" s="1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77" t="e">
        <f ca="1">STRCHECKDATE(V48:AR48)</f>
        <v>#NAME?</v>
      </c>
      <c r="AV47" s="582" t="str">
        <f t="shared" si="1"/>
        <v/>
      </c>
      <c r="AY47" s="538">
        <v>23</v>
      </c>
    </row>
    <row r="48" spans="1:51" ht="0" hidden="1" customHeight="1">
      <c r="A48" s="857" t="s">
        <v>262</v>
      </c>
      <c r="B48" s="857" t="s">
        <v>263</v>
      </c>
      <c r="C48" s="857" t="s">
        <v>264</v>
      </c>
      <c r="D48" s="857" t="s">
        <v>553</v>
      </c>
      <c r="E48" s="1195"/>
      <c r="F48" s="1195"/>
      <c r="G48" s="1195"/>
      <c r="H48" s="1195"/>
      <c r="I48" s="1214"/>
      <c r="J48" s="1214"/>
      <c r="K48" s="1192"/>
      <c r="P48" s="1031"/>
      <c r="Q48" s="1031"/>
      <c r="R48" s="844"/>
      <c r="S48" s="127"/>
      <c r="T48" s="833"/>
      <c r="U48" s="833"/>
      <c r="V48" s="275"/>
      <c r="W48" s="275"/>
      <c r="X48" s="275"/>
      <c r="Y48" s="275"/>
      <c r="Z48" s="275"/>
      <c r="AA48" s="275"/>
      <c r="AB48" s="275"/>
      <c r="AC48" s="1200"/>
      <c r="AD48" s="1200"/>
      <c r="AE48" s="1200"/>
      <c r="AF48" s="1200"/>
      <c r="AG48" s="312"/>
      <c r="AH48" s="312"/>
      <c r="AI48" s="312"/>
      <c r="AJ48" s="312"/>
      <c r="AK48" s="312"/>
      <c r="AL48" s="312"/>
      <c r="AM48" s="312"/>
      <c r="AN48" s="1198"/>
      <c r="AO48" s="1058"/>
      <c r="AP48" s="1216"/>
      <c r="AQ48" s="1058"/>
      <c r="AR48" s="387"/>
      <c r="AS48" s="1259"/>
      <c r="AV48" s="582" t="str">
        <f t="shared" si="1"/>
        <v/>
      </c>
      <c r="AY48" s="538">
        <v>0</v>
      </c>
    </row>
    <row r="49" spans="1:51" ht="21" customHeight="1">
      <c r="A49" s="857" t="s">
        <v>262</v>
      </c>
      <c r="B49" s="857" t="s">
        <v>263</v>
      </c>
      <c r="C49" s="857" t="s">
        <v>264</v>
      </c>
      <c r="D49" s="857" t="s">
        <v>553</v>
      </c>
      <c r="E49" s="1195"/>
      <c r="F49" s="1195"/>
      <c r="G49" s="1195"/>
      <c r="H49" s="1195"/>
      <c r="I49" s="1214"/>
      <c r="J49" s="1192"/>
      <c r="P49" s="1031"/>
      <c r="Q49" s="1031"/>
      <c r="R49" s="842"/>
      <c r="S49" s="315"/>
      <c r="T49" s="318" t="s">
        <v>497</v>
      </c>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835" t="s">
        <v>498</v>
      </c>
      <c r="AV49" s="582" t="str">
        <f t="shared" si="1"/>
        <v>Добавить значение признака дифференциации</v>
      </c>
      <c r="AY49" s="538">
        <v>20</v>
      </c>
    </row>
    <row r="50" spans="1:51" ht="21.95" customHeight="1">
      <c r="A50" s="857" t="s">
        <v>262</v>
      </c>
      <c r="B50" s="857" t="s">
        <v>263</v>
      </c>
      <c r="C50" s="857" t="s">
        <v>264</v>
      </c>
      <c r="D50" s="857" t="s">
        <v>553</v>
      </c>
      <c r="E50" s="1195"/>
      <c r="F50" s="1195"/>
      <c r="G50" s="1195"/>
      <c r="H50" s="1195"/>
      <c r="I50" s="1192"/>
      <c r="P50" s="1031"/>
      <c r="R50" s="842"/>
      <c r="S50" s="315"/>
      <c r="T50" s="321" t="s">
        <v>423</v>
      </c>
      <c r="U50" s="52"/>
      <c r="V50" s="52"/>
      <c r="W50" s="52"/>
      <c r="X50" s="52"/>
      <c r="Y50" s="52"/>
      <c r="Z50" s="52"/>
      <c r="AA50" s="52"/>
      <c r="AB50" s="52"/>
      <c r="AC50" s="52"/>
      <c r="AD50" s="52"/>
      <c r="AE50" s="52"/>
      <c r="AF50" s="319"/>
      <c r="AG50" s="52"/>
      <c r="AH50" s="52"/>
      <c r="AI50" s="52"/>
      <c r="AJ50" s="52"/>
      <c r="AK50" s="52"/>
      <c r="AL50" s="52"/>
      <c r="AM50" s="52"/>
      <c r="AN50" s="52"/>
      <c r="AO50" s="52"/>
      <c r="AP50" s="52"/>
      <c r="AQ50" s="319"/>
      <c r="AR50" s="52"/>
      <c r="AS50" s="399"/>
      <c r="AV50" s="582" t="str">
        <f t="shared" si="1"/>
        <v>Добавить группу потребителей</v>
      </c>
      <c r="AY50" s="538">
        <v>21</v>
      </c>
    </row>
    <row r="51" spans="1:51" ht="21.95" customHeight="1">
      <c r="A51" s="857" t="s">
        <v>262</v>
      </c>
      <c r="B51" s="857" t="s">
        <v>263</v>
      </c>
      <c r="C51" s="857" t="s">
        <v>264</v>
      </c>
      <c r="D51" s="857" t="s">
        <v>553</v>
      </c>
      <c r="E51" s="1195"/>
      <c r="F51" s="1195"/>
      <c r="G51" s="1195"/>
      <c r="H51" s="1194"/>
      <c r="R51" s="310"/>
      <c r="S51" s="315"/>
      <c r="T51" s="376" t="s">
        <v>499</v>
      </c>
      <c r="U51" s="52"/>
      <c r="V51" s="52"/>
      <c r="W51" s="52"/>
      <c r="X51" s="52"/>
      <c r="Y51" s="52"/>
      <c r="Z51" s="52"/>
      <c r="AA51" s="52"/>
      <c r="AB51" s="52"/>
      <c r="AC51" s="52"/>
      <c r="AD51" s="52"/>
      <c r="AE51" s="52"/>
      <c r="AF51" s="319"/>
      <c r="AG51" s="52"/>
      <c r="AH51" s="52"/>
      <c r="AI51" s="52"/>
      <c r="AJ51" s="52"/>
      <c r="AK51" s="52"/>
      <c r="AL51" s="52"/>
      <c r="AM51" s="52"/>
      <c r="AN51" s="52"/>
      <c r="AO51" s="52"/>
      <c r="AP51" s="52"/>
      <c r="AQ51" s="319"/>
      <c r="AR51" s="52"/>
      <c r="AS51" s="320"/>
      <c r="AV51" s="582" t="str">
        <f t="shared" si="1"/>
        <v>Добавить наименование признака дифференциации</v>
      </c>
      <c r="AY51" s="538">
        <v>21</v>
      </c>
    </row>
    <row r="52" spans="1:51" ht="0" hidden="1" customHeight="1">
      <c r="A52" s="574" t="s">
        <v>262</v>
      </c>
      <c r="B52" s="574" t="s">
        <v>263</v>
      </c>
      <c r="E52" s="1195"/>
      <c r="F52" s="1194"/>
      <c r="T52" s="326" t="s">
        <v>426</v>
      </c>
      <c r="AV52" s="582" t="str">
        <f t="shared" si="1"/>
        <v>Добавить централизованную систему для дифференциации</v>
      </c>
      <c r="AY52" s="577">
        <v>0</v>
      </c>
    </row>
    <row r="53" spans="1:51" ht="0" hidden="1" customHeight="1">
      <c r="A53" s="574" t="s">
        <v>262</v>
      </c>
      <c r="E53" s="1194"/>
      <c r="T53" s="326" t="s">
        <v>427</v>
      </c>
      <c r="AV53" s="582" t="str">
        <f t="shared" si="1"/>
        <v>Добавить территорию для дифференциации</v>
      </c>
      <c r="AY53" s="577">
        <v>0</v>
      </c>
    </row>
    <row r="54" spans="1:51" ht="0" hidden="1" customHeight="1">
      <c r="T54" s="326" t="s">
        <v>459</v>
      </c>
      <c r="AV54" s="582" t="str">
        <f t="shared" si="1"/>
        <v>Добавить наименование тарифа</v>
      </c>
      <c r="AY54" s="577">
        <v>0</v>
      </c>
    </row>
    <row r="55" spans="1:51" ht="11.45" customHeight="1">
      <c r="AY55" s="538">
        <v>11</v>
      </c>
    </row>
    <row r="56" spans="1:51" ht="14.65" customHeight="1">
      <c r="T56" s="1031"/>
      <c r="U56" s="1031"/>
      <c r="V56" s="1031"/>
      <c r="W56" s="1031"/>
      <c r="X56" s="1031"/>
      <c r="Y56" s="1031"/>
      <c r="Z56" s="1031"/>
      <c r="AA56" s="1031"/>
      <c r="AB56" s="1031"/>
      <c r="AC56" s="1031"/>
      <c r="AD56" s="1031"/>
      <c r="AE56" s="1031"/>
      <c r="AF56" s="1031"/>
      <c r="AG56" s="1031"/>
      <c r="AH56" s="1031"/>
      <c r="AI56" s="1031"/>
      <c r="AJ56" s="1031"/>
      <c r="AK56" s="1031"/>
      <c r="AL56" s="1031"/>
      <c r="AM56" s="1031"/>
      <c r="AN56" s="1031"/>
      <c r="AO56" s="1031"/>
      <c r="AP56" s="1031"/>
      <c r="AQ56" s="1031"/>
      <c r="AR56" s="1031"/>
      <c r="AS56" s="1031"/>
      <c r="AY56" s="538">
        <v>14</v>
      </c>
    </row>
    <row r="57" spans="1:51" ht="14.65" customHeight="1">
      <c r="AY57" s="538">
        <v>14</v>
      </c>
    </row>
    <row r="58" spans="1:51" ht="14.65" customHeight="1">
      <c r="T58" s="1031"/>
      <c r="U58" s="1031"/>
      <c r="V58" s="1031"/>
      <c r="W58" s="1031"/>
      <c r="X58" s="1031"/>
      <c r="Y58" s="1031"/>
      <c r="Z58" s="1031"/>
      <c r="AA58" s="1031"/>
      <c r="AB58" s="1031"/>
      <c r="AC58" s="1031"/>
      <c r="AD58" s="1031"/>
      <c r="AE58" s="1031"/>
      <c r="AF58" s="1031"/>
      <c r="AG58" s="1031"/>
      <c r="AH58" s="1031"/>
      <c r="AI58" s="1031"/>
      <c r="AJ58" s="1031"/>
      <c r="AK58" s="1031"/>
      <c r="AL58" s="1031"/>
      <c r="AM58" s="1031"/>
      <c r="AN58" s="1031"/>
      <c r="AO58" s="1031"/>
      <c r="AP58" s="1031"/>
      <c r="AQ58" s="1031"/>
      <c r="AR58" s="1031"/>
      <c r="AS58" s="1031"/>
      <c r="AY58" s="538">
        <v>14</v>
      </c>
    </row>
    <row r="59" spans="1:51" ht="22.5" hidden="1" customHeight="1">
      <c r="A59" s="555" t="s">
        <v>81</v>
      </c>
      <c r="B59" s="555">
        <v>0</v>
      </c>
      <c r="C59" s="555">
        <v>0</v>
      </c>
      <c r="D59" s="555">
        <v>0</v>
      </c>
      <c r="E59" s="555">
        <v>0</v>
      </c>
      <c r="F59" s="555">
        <v>0</v>
      </c>
      <c r="G59" s="555">
        <v>0</v>
      </c>
      <c r="H59" s="555">
        <v>0</v>
      </c>
      <c r="I59" s="555">
        <v>0</v>
      </c>
      <c r="J59" s="555">
        <v>0</v>
      </c>
      <c r="K59" s="555">
        <v>0</v>
      </c>
      <c r="L59" s="667">
        <v>0</v>
      </c>
      <c r="M59" s="12">
        <v>0</v>
      </c>
      <c r="N59" s="12">
        <v>0</v>
      </c>
      <c r="O59" s="12">
        <v>0</v>
      </c>
      <c r="P59" s="300">
        <v>3</v>
      </c>
      <c r="Q59" s="821">
        <v>3</v>
      </c>
      <c r="R59" s="821">
        <v>3</v>
      </c>
      <c r="S59" s="553">
        <v>12</v>
      </c>
      <c r="T59" s="538">
        <v>35</v>
      </c>
      <c r="U59" s="538">
        <v>0</v>
      </c>
      <c r="V59" s="538">
        <v>0</v>
      </c>
      <c r="W59" s="538">
        <v>0</v>
      </c>
      <c r="X59" s="538">
        <v>0</v>
      </c>
      <c r="Y59" s="538">
        <v>0</v>
      </c>
      <c r="Z59" s="538">
        <v>0</v>
      </c>
      <c r="AA59" s="538">
        <v>0</v>
      </c>
      <c r="AB59" s="538">
        <v>0</v>
      </c>
      <c r="AC59" s="538">
        <v>0</v>
      </c>
      <c r="AD59" s="538">
        <v>0</v>
      </c>
      <c r="AE59" s="538">
        <v>0</v>
      </c>
      <c r="AF59" s="538">
        <v>0</v>
      </c>
      <c r="AG59" s="538">
        <v>19</v>
      </c>
      <c r="AH59" s="538">
        <v>19</v>
      </c>
      <c r="AI59" s="538">
        <v>19</v>
      </c>
      <c r="AJ59" s="538">
        <v>19</v>
      </c>
      <c r="AK59" s="538">
        <v>19</v>
      </c>
      <c r="AL59" s="538">
        <v>19</v>
      </c>
      <c r="AM59" s="538">
        <v>19</v>
      </c>
      <c r="AN59" s="538">
        <v>11</v>
      </c>
      <c r="AO59" s="538">
        <v>3</v>
      </c>
      <c r="AP59" s="538">
        <v>11</v>
      </c>
      <c r="AQ59" s="538">
        <v>0</v>
      </c>
      <c r="AR59" s="538">
        <v>4</v>
      </c>
      <c r="AS59" s="538">
        <v>115</v>
      </c>
      <c r="AT59" s="577">
        <v>10</v>
      </c>
      <c r="AU59" s="577">
        <v>10</v>
      </c>
      <c r="AV59" s="577">
        <v>10</v>
      </c>
      <c r="AW59" s="577">
        <v>10</v>
      </c>
      <c r="AX59" s="577">
        <v>10</v>
      </c>
      <c r="AY59" s="538">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4.140625" style="1029" hidden="1" customWidth="1"/>
    <col min="10" max="10" width="9.85546875" style="1029" hidden="1" customWidth="1"/>
    <col min="11" max="11" width="14.7109375" style="1029" hidden="1" customWidth="1"/>
    <col min="12" max="12" width="19.140625" style="1029" hidden="1" customWidth="1"/>
    <col min="13" max="14" width="12.28515625" style="1029" hidden="1" customWidth="1"/>
    <col min="15" max="15" width="23.42578125" style="1029" hidden="1" customWidth="1"/>
    <col min="16" max="18" width="3" style="1029" customWidth="1"/>
    <col min="19" max="19" width="12" style="1029" customWidth="1"/>
    <col min="20" max="20" width="35" style="1029" customWidth="1"/>
    <col min="21" max="21" width="0.140625" style="1029" customWidth="1"/>
    <col min="22" max="28" width="19.7109375" style="1029" hidden="1" customWidth="1"/>
    <col min="29" max="29" width="11.7109375" style="1029" hidden="1" customWidth="1"/>
    <col min="30" max="30" width="3.7109375" style="1029" hidden="1" customWidth="1"/>
    <col min="31" max="31" width="11.7109375" style="1029" hidden="1" customWidth="1"/>
    <col min="32" max="32" width="8.5703125" style="1029" hidden="1" customWidth="1"/>
    <col min="33" max="33" width="19.7109375" style="1029" customWidth="1"/>
    <col min="34" max="39" width="19" style="1029" customWidth="1"/>
    <col min="40" max="40" width="11" style="1029" customWidth="1"/>
    <col min="41" max="41" width="3.7109375" style="1029" customWidth="1"/>
    <col min="42" max="42" width="11" style="1029" customWidth="1"/>
    <col min="43" max="43" width="8.5703125" style="1029" hidden="1" customWidth="1"/>
    <col min="44" max="44" width="4" style="1029" customWidth="1"/>
    <col min="45" max="45" width="115" style="1029" customWidth="1"/>
    <col min="46" max="50" width="10" style="1029" customWidth="1"/>
    <col min="51" max="51" width="10.5703125" style="1029" hidden="1"/>
  </cols>
  <sheetData>
    <row r="1" spans="5:51" ht="22.5" hidden="1" customHeight="1">
      <c r="AY1" s="538" t="s">
        <v>14</v>
      </c>
    </row>
    <row r="2" spans="5:51" ht="23.25" hidden="1" customHeight="1">
      <c r="E2" s="1194">
        <v>1</v>
      </c>
      <c r="R2" s="310"/>
      <c r="S2" s="832" t="e">
        <f>INDEX(PT_DIFFERENTIATION_NUM_NTAR,MATCH(A2,PT_DIFFERENTIATION_NTAR_ID,0))</f>
        <v>#N/A</v>
      </c>
      <c r="T2" s="795" t="s">
        <v>136</v>
      </c>
      <c r="U2" s="833"/>
      <c r="V2" s="1180"/>
      <c r="W2" s="1181"/>
      <c r="X2" s="1181"/>
      <c r="Y2" s="1181"/>
      <c r="Z2" s="1181"/>
      <c r="AA2" s="1181"/>
      <c r="AB2" s="1181"/>
      <c r="AC2" s="1181"/>
      <c r="AD2" s="1181"/>
      <c r="AE2" s="1181"/>
      <c r="AF2" s="1182"/>
      <c r="AG2" s="1180" t="e">
        <f>INDEX(PT_DIFFERENTIATION_NTAR,MATCH(A2,PT_DIFFERENTIATION_NTAR_ID,0))</f>
        <v>#N/A</v>
      </c>
      <c r="AH2" s="1181"/>
      <c r="AI2" s="1181"/>
      <c r="AJ2" s="1181"/>
      <c r="AK2" s="1181"/>
      <c r="AL2" s="1181"/>
      <c r="AM2" s="1181"/>
      <c r="AN2" s="1181"/>
      <c r="AO2" s="1181"/>
      <c r="AP2" s="1181"/>
      <c r="AQ2" s="1181"/>
      <c r="AR2" s="1182"/>
      <c r="AS2"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V2" s="582" t="str">
        <f t="shared" ref="AV2:AV13" si="0">IF(T2="","",T2)</f>
        <v>Наименование тарифа</v>
      </c>
      <c r="AY2" s="538">
        <v>0</v>
      </c>
    </row>
    <row r="3" spans="5:51" ht="23.25" hidden="1" customHeight="1">
      <c r="E3" s="1195"/>
      <c r="F3" s="1194">
        <v>1</v>
      </c>
      <c r="Q3" s="836"/>
      <c r="R3" s="837"/>
      <c r="S3" s="832" t="e">
        <f>INDEX(PT_DIFFERENTIATION_NUM_TER,MATCH(B3,PT_DIFFERENTIATION_TER_ID,0))</f>
        <v>#N/A</v>
      </c>
      <c r="T3" s="838" t="s">
        <v>408</v>
      </c>
      <c r="U3" s="833"/>
      <c r="V3" s="1180"/>
      <c r="W3" s="1181"/>
      <c r="X3" s="1181"/>
      <c r="Y3" s="1181"/>
      <c r="Z3" s="1181"/>
      <c r="AA3" s="1181"/>
      <c r="AB3" s="1181"/>
      <c r="AC3" s="1181"/>
      <c r="AD3" s="1181"/>
      <c r="AE3" s="1181"/>
      <c r="AF3" s="1182"/>
      <c r="AG3" s="1180" t="e">
        <f>INDEX(PT_DIFFERENTIATION_TER,MATCH(B3,PT_DIFFERENTIATION_TER_ID,0))</f>
        <v>#N/A</v>
      </c>
      <c r="AH3" s="1181"/>
      <c r="AI3" s="1181"/>
      <c r="AJ3" s="1181"/>
      <c r="AK3" s="1181"/>
      <c r="AL3" s="1181"/>
      <c r="AM3" s="1181"/>
      <c r="AN3" s="1181"/>
      <c r="AO3" s="1181"/>
      <c r="AP3" s="1181"/>
      <c r="AQ3" s="1181"/>
      <c r="AR3" s="1182"/>
      <c r="AS3" s="835" t="s">
        <v>409</v>
      </c>
      <c r="AV3" s="582" t="str">
        <f t="shared" si="0"/>
        <v>Территория действия тарифа</v>
      </c>
      <c r="AY3" s="538">
        <v>0</v>
      </c>
    </row>
    <row r="4" spans="5:51" ht="23.25" hidden="1" customHeight="1">
      <c r="E4" s="1195"/>
      <c r="F4" s="1195"/>
      <c r="G4" s="1194">
        <v>1</v>
      </c>
      <c r="Q4" s="836"/>
      <c r="R4" s="837"/>
      <c r="S4" s="832" t="e">
        <f>INDEX(PT_DIFFERENTIATION_NUM_CS,MATCH(C4,PT_DIFFERENTIATION_CS_ID,0))</f>
        <v>#N/A</v>
      </c>
      <c r="T4" s="839" t="s">
        <v>541</v>
      </c>
      <c r="U4" s="833"/>
      <c r="V4" s="1180"/>
      <c r="W4" s="1181"/>
      <c r="X4" s="1181"/>
      <c r="Y4" s="1181"/>
      <c r="Z4" s="1181"/>
      <c r="AA4" s="1181"/>
      <c r="AB4" s="1181"/>
      <c r="AC4" s="1181"/>
      <c r="AD4" s="1181"/>
      <c r="AE4" s="1181"/>
      <c r="AF4" s="1182"/>
      <c r="AG4" s="1180" t="e">
        <f>INDEX(PT_DIFFERENTIATION_CS,MATCH(C4,PT_DIFFERENTIATION_CS_ID,0))</f>
        <v>#N/A</v>
      </c>
      <c r="AH4" s="1181"/>
      <c r="AI4" s="1181"/>
      <c r="AJ4" s="1181"/>
      <c r="AK4" s="1181"/>
      <c r="AL4" s="1181"/>
      <c r="AM4" s="1181"/>
      <c r="AN4" s="1181"/>
      <c r="AO4" s="1181"/>
      <c r="AP4" s="1181"/>
      <c r="AQ4" s="1181"/>
      <c r="AR4" s="1182"/>
      <c r="AS4" s="835" t="s">
        <v>542</v>
      </c>
      <c r="AV4" s="582" t="str">
        <f t="shared" si="0"/>
        <v>Наименование централизованной системы горячего водоснабжения</v>
      </c>
      <c r="AY4" s="538">
        <v>0</v>
      </c>
    </row>
    <row r="5" spans="5:51" ht="23.25" hidden="1" customHeight="1">
      <c r="E5" s="1195"/>
      <c r="F5" s="1195"/>
      <c r="G5" s="1195"/>
      <c r="H5" s="1195"/>
      <c r="I5" s="1192" t="e">
        <f>S4&amp;".1"</f>
        <v>#N/A</v>
      </c>
      <c r="P5" s="1193">
        <v>1</v>
      </c>
      <c r="R5" s="842"/>
      <c r="S5" s="832" t="e">
        <f>$I5</f>
        <v>#N/A</v>
      </c>
      <c r="T5" s="843" t="s">
        <v>494</v>
      </c>
      <c r="U5" s="833"/>
      <c r="V5" s="1260"/>
      <c r="W5" s="1261"/>
      <c r="X5" s="1261"/>
      <c r="Y5" s="1261"/>
      <c r="Z5" s="1261"/>
      <c r="AA5" s="1261"/>
      <c r="AB5" s="1261"/>
      <c r="AC5" s="1261"/>
      <c r="AD5" s="1261"/>
      <c r="AE5" s="1261"/>
      <c r="AF5" s="1262"/>
      <c r="AG5" s="1263"/>
      <c r="AH5" s="1264"/>
      <c r="AI5" s="1264"/>
      <c r="AJ5" s="1264"/>
      <c r="AK5" s="1264"/>
      <c r="AL5" s="1264"/>
      <c r="AM5" s="1264"/>
      <c r="AN5" s="1264"/>
      <c r="AO5" s="1264"/>
      <c r="AP5" s="1264"/>
      <c r="AQ5" s="1264"/>
      <c r="AR5" s="1265"/>
      <c r="AS5" s="835" t="s">
        <v>495</v>
      </c>
      <c r="AV5" s="582" t="str">
        <f t="shared" si="0"/>
        <v>Наименование признака дифференциации</v>
      </c>
      <c r="AY5" s="538">
        <v>0</v>
      </c>
    </row>
    <row r="6" spans="5:51" ht="23.25" hidden="1" customHeight="1">
      <c r="E6" s="1195"/>
      <c r="F6" s="1195"/>
      <c r="G6" s="1195"/>
      <c r="H6" s="1195"/>
      <c r="I6" s="1214"/>
      <c r="J6" s="1192" t="e">
        <f>I5&amp;".1"</f>
        <v>#N/A</v>
      </c>
      <c r="L6" s="841" t="s">
        <v>417</v>
      </c>
      <c r="P6" s="1031"/>
      <c r="Q6" s="1193">
        <v>1</v>
      </c>
      <c r="R6" s="844"/>
      <c r="S6" s="832" t="e">
        <f>$J6</f>
        <v>#N/A</v>
      </c>
      <c r="T6" s="845" t="s">
        <v>418</v>
      </c>
      <c r="U6" s="833"/>
      <c r="V6" s="1183"/>
      <c r="W6" s="1184"/>
      <c r="X6" s="1184"/>
      <c r="Y6" s="1184"/>
      <c r="Z6" s="1184"/>
      <c r="AA6" s="1184"/>
      <c r="AB6" s="1184"/>
      <c r="AC6" s="1184"/>
      <c r="AD6" s="1184"/>
      <c r="AE6" s="1184"/>
      <c r="AF6" s="1185"/>
      <c r="AG6" s="1183"/>
      <c r="AH6" s="1184"/>
      <c r="AI6" s="1184"/>
      <c r="AJ6" s="1184"/>
      <c r="AK6" s="1184"/>
      <c r="AL6" s="1184"/>
      <c r="AM6" s="1184"/>
      <c r="AN6" s="1184"/>
      <c r="AO6" s="1184"/>
      <c r="AP6" s="1184"/>
      <c r="AQ6" s="1184"/>
      <c r="AR6" s="1185"/>
      <c r="AS6" s="874" t="s">
        <v>496</v>
      </c>
      <c r="AV6" s="582" t="str">
        <f t="shared" si="0"/>
        <v>Группа потребителей</v>
      </c>
      <c r="AY6" s="538">
        <v>0</v>
      </c>
    </row>
    <row r="7" spans="5:51" ht="23.25" hidden="1" customHeight="1">
      <c r="E7" s="1195"/>
      <c r="F7" s="1195"/>
      <c r="G7" s="1195"/>
      <c r="H7" s="1195"/>
      <c r="I7" s="1214"/>
      <c r="J7" s="1214"/>
      <c r="K7" s="1192" t="e">
        <f>J6&amp;".1"</f>
        <v>#N/A</v>
      </c>
      <c r="P7" s="1031"/>
      <c r="Q7" s="1031"/>
      <c r="R7" s="844">
        <v>1</v>
      </c>
      <c r="S7" s="832" t="e">
        <f>$K7</f>
        <v>#N/A</v>
      </c>
      <c r="T7" s="397"/>
      <c r="U7" s="833"/>
      <c r="V7" s="311"/>
      <c r="W7" s="311"/>
      <c r="X7" s="311"/>
      <c r="Y7" s="311"/>
      <c r="Z7" s="311"/>
      <c r="AA7" s="311"/>
      <c r="AB7" s="313"/>
      <c r="AC7" s="1197"/>
      <c r="AD7" s="1058" t="s">
        <v>61</v>
      </c>
      <c r="AE7" s="1197"/>
      <c r="AF7" s="1058" t="s">
        <v>61</v>
      </c>
      <c r="AG7" s="311"/>
      <c r="AH7" s="311"/>
      <c r="AI7" s="311"/>
      <c r="AJ7" s="311"/>
      <c r="AK7" s="311"/>
      <c r="AL7" s="311"/>
      <c r="AM7" s="313"/>
      <c r="AN7" s="1197"/>
      <c r="AO7" s="1058" t="s">
        <v>61</v>
      </c>
      <c r="AP7" s="1215"/>
      <c r="AQ7" s="1058" t="s">
        <v>61</v>
      </c>
      <c r="AR7" s="398"/>
      <c r="AS7" s="1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77" t="e">
        <f ca="1">STRCHECKDATE(V8:AR8)</f>
        <v>#NAME?</v>
      </c>
      <c r="AV7" s="582" t="str">
        <f t="shared" si="0"/>
        <v/>
      </c>
      <c r="AY7" s="538">
        <v>0</v>
      </c>
    </row>
    <row r="8" spans="5:51" ht="14.25" hidden="1" customHeight="1">
      <c r="E8" s="1195"/>
      <c r="F8" s="1195"/>
      <c r="G8" s="1195"/>
      <c r="H8" s="1195"/>
      <c r="I8" s="1214"/>
      <c r="J8" s="1214"/>
      <c r="K8" s="1192"/>
      <c r="P8" s="1031"/>
      <c r="Q8" s="1031"/>
      <c r="R8" s="844"/>
      <c r="S8" s="127"/>
      <c r="T8" s="833"/>
      <c r="U8" s="833"/>
      <c r="V8" s="312"/>
      <c r="W8" s="312"/>
      <c r="X8" s="312"/>
      <c r="Y8" s="312"/>
      <c r="Z8" s="312"/>
      <c r="AA8" s="312"/>
      <c r="AB8" s="314" t="str">
        <f>AC7&amp;"-"&amp;AE7</f>
        <v>-</v>
      </c>
      <c r="AC8" s="1198"/>
      <c r="AD8" s="1058"/>
      <c r="AE8" s="1198"/>
      <c r="AF8" s="1058"/>
      <c r="AG8" s="312"/>
      <c r="AH8" s="312"/>
      <c r="AI8" s="312"/>
      <c r="AJ8" s="312"/>
      <c r="AK8" s="312"/>
      <c r="AL8" s="312"/>
      <c r="AM8" s="314" t="str">
        <f>AN7&amp;"-"&amp;AP7</f>
        <v>-</v>
      </c>
      <c r="AN8" s="1198"/>
      <c r="AO8" s="1058"/>
      <c r="AP8" s="1216"/>
      <c r="AQ8" s="1058"/>
      <c r="AR8" s="387"/>
      <c r="AS8" s="1259"/>
      <c r="AV8" s="582" t="str">
        <f t="shared" si="0"/>
        <v/>
      </c>
      <c r="AY8" s="538">
        <v>0</v>
      </c>
    </row>
    <row r="9" spans="5:51" ht="21" hidden="1" customHeight="1">
      <c r="E9" s="1195"/>
      <c r="F9" s="1195"/>
      <c r="G9" s="1195"/>
      <c r="H9" s="1195"/>
      <c r="I9" s="1214"/>
      <c r="J9" s="1192"/>
      <c r="P9" s="1031"/>
      <c r="Q9" s="1031"/>
      <c r="R9" s="842"/>
      <c r="S9" s="315"/>
      <c r="T9" s="318" t="s">
        <v>497</v>
      </c>
      <c r="U9" s="52"/>
      <c r="V9" s="52"/>
      <c r="W9" s="52"/>
      <c r="X9" s="52"/>
      <c r="Y9" s="52"/>
      <c r="Z9" s="52"/>
      <c r="AA9" s="52"/>
      <c r="AB9" s="52"/>
      <c r="AC9" s="52"/>
      <c r="AD9" s="52"/>
      <c r="AE9" s="52"/>
      <c r="AF9" s="52"/>
      <c r="AG9" s="52"/>
      <c r="AH9" s="52"/>
      <c r="AI9" s="52"/>
      <c r="AJ9" s="52"/>
      <c r="AK9" s="52"/>
      <c r="AL9" s="52"/>
      <c r="AM9" s="52"/>
      <c r="AN9" s="52"/>
      <c r="AO9" s="52"/>
      <c r="AP9" s="52"/>
      <c r="AQ9" s="52"/>
      <c r="AR9" s="52"/>
      <c r="AS9" s="835" t="s">
        <v>498</v>
      </c>
      <c r="AV9" s="582" t="str">
        <f t="shared" si="0"/>
        <v>Добавить значение признака дифференциации</v>
      </c>
      <c r="AY9" s="538">
        <v>0</v>
      </c>
    </row>
    <row r="10" spans="5:51" ht="21" hidden="1" customHeight="1">
      <c r="E10" s="1195"/>
      <c r="F10" s="1195"/>
      <c r="G10" s="1195"/>
      <c r="H10" s="1195"/>
      <c r="I10" s="1192"/>
      <c r="P10" s="1031"/>
      <c r="R10" s="842"/>
      <c r="S10" s="315"/>
      <c r="T10" s="321" t="s">
        <v>423</v>
      </c>
      <c r="U10" s="52"/>
      <c r="V10" s="52"/>
      <c r="W10" s="52"/>
      <c r="X10" s="52"/>
      <c r="Y10" s="52"/>
      <c r="Z10" s="52"/>
      <c r="AA10" s="52"/>
      <c r="AB10" s="52"/>
      <c r="AC10" s="52"/>
      <c r="AD10" s="52"/>
      <c r="AE10" s="52"/>
      <c r="AF10" s="319"/>
      <c r="AG10" s="52"/>
      <c r="AH10" s="52"/>
      <c r="AI10" s="52"/>
      <c r="AJ10" s="52"/>
      <c r="AK10" s="52"/>
      <c r="AL10" s="52"/>
      <c r="AM10" s="52"/>
      <c r="AN10" s="52"/>
      <c r="AO10" s="52"/>
      <c r="AP10" s="52"/>
      <c r="AQ10" s="319"/>
      <c r="AR10" s="52"/>
      <c r="AS10" s="399"/>
      <c r="AV10" s="582" t="str">
        <f t="shared" si="0"/>
        <v>Добавить группу потребителей</v>
      </c>
      <c r="AY10" s="538">
        <v>0</v>
      </c>
    </row>
    <row r="11" spans="5:51" ht="21" hidden="1" customHeight="1">
      <c r="E11" s="1195"/>
      <c r="F11" s="1195"/>
      <c r="G11" s="1195"/>
      <c r="H11" s="1194"/>
      <c r="R11" s="310"/>
      <c r="S11" s="315"/>
      <c r="T11" s="376" t="s">
        <v>499</v>
      </c>
      <c r="U11" s="52"/>
      <c r="V11" s="52"/>
      <c r="W11" s="52"/>
      <c r="X11" s="52"/>
      <c r="Y11" s="52"/>
      <c r="Z11" s="52"/>
      <c r="AA11" s="52"/>
      <c r="AB11" s="52"/>
      <c r="AC11" s="52"/>
      <c r="AD11" s="52"/>
      <c r="AE11" s="52"/>
      <c r="AF11" s="319"/>
      <c r="AG11" s="52"/>
      <c r="AH11" s="52"/>
      <c r="AI11" s="52"/>
      <c r="AJ11" s="52"/>
      <c r="AK11" s="52"/>
      <c r="AL11" s="52"/>
      <c r="AM11" s="52"/>
      <c r="AN11" s="52"/>
      <c r="AO11" s="52"/>
      <c r="AP11" s="52"/>
      <c r="AQ11" s="319"/>
      <c r="AR11" s="52"/>
      <c r="AS11" s="320"/>
      <c r="AV11" s="582" t="str">
        <f t="shared" si="0"/>
        <v>Добавить наименование признака дифференциации</v>
      </c>
      <c r="AY11" s="538">
        <v>0</v>
      </c>
    </row>
    <row r="12" spans="5:51" ht="14.25" hidden="1" customHeight="1">
      <c r="E12" s="1195"/>
      <c r="F12" s="1194"/>
      <c r="T12" s="326" t="s">
        <v>426</v>
      </c>
      <c r="AV12" s="582" t="str">
        <f t="shared" si="0"/>
        <v>Добавить централизованную систему для дифференциации</v>
      </c>
      <c r="AY12" s="577">
        <v>0</v>
      </c>
    </row>
    <row r="13" spans="5:51" ht="14.25" hidden="1" customHeight="1">
      <c r="E13" s="1194"/>
      <c r="T13" s="326" t="s">
        <v>427</v>
      </c>
      <c r="AV13" s="582" t="str">
        <f t="shared" si="0"/>
        <v>Добавить территорию для дифференциации</v>
      </c>
      <c r="AY13" s="577">
        <v>0</v>
      </c>
    </row>
    <row r="14" spans="5:51" ht="14.25" hidden="1" customHeight="1">
      <c r="AY14" s="538">
        <v>0</v>
      </c>
    </row>
    <row r="15" spans="5:51" ht="14.25" hidden="1" customHeight="1">
      <c r="AG15" s="275"/>
      <c r="AH15" s="275"/>
      <c r="AI15" s="275"/>
      <c r="AJ15" s="275"/>
      <c r="AK15" s="275"/>
      <c r="AL15" s="275"/>
      <c r="AM15" s="327"/>
      <c r="AN15" s="1199"/>
      <c r="AO15" s="1200" t="s">
        <v>61</v>
      </c>
      <c r="AP15" s="1199"/>
      <c r="AQ15" s="1200" t="s">
        <v>61</v>
      </c>
      <c r="AY15" s="538">
        <v>0</v>
      </c>
    </row>
    <row r="16" spans="5:51" ht="14.25" hidden="1" customHeight="1">
      <c r="AG16" s="275"/>
      <c r="AH16" s="275"/>
      <c r="AI16" s="275"/>
      <c r="AJ16" s="275"/>
      <c r="AK16" s="275"/>
      <c r="AL16" s="275"/>
      <c r="AM16" s="314" t="str">
        <f>AN15&amp;"-"&amp;AP15</f>
        <v>-</v>
      </c>
      <c r="AN16" s="1200"/>
      <c r="AO16" s="1200"/>
      <c r="AP16" s="1200"/>
      <c r="AQ16" s="1200"/>
      <c r="AY16" s="538">
        <v>0</v>
      </c>
    </row>
    <row r="17" spans="15:51" ht="14.25" hidden="1" customHeight="1">
      <c r="AY17" s="538">
        <v>0</v>
      </c>
    </row>
    <row r="18" spans="15:51" ht="22.5" hidden="1" customHeight="1">
      <c r="O18" s="328" t="s">
        <v>428</v>
      </c>
      <c r="AC18" s="328"/>
      <c r="AE18" s="328"/>
      <c r="AN18" s="328"/>
      <c r="AP18" s="328"/>
      <c r="AY18" s="555">
        <v>0</v>
      </c>
    </row>
    <row r="19" spans="15:51" ht="14.25" hidden="1" customHeight="1">
      <c r="AY19" s="555">
        <v>0</v>
      </c>
    </row>
    <row r="20" spans="15:51" ht="12" hidden="1" customHeight="1">
      <c r="O20" s="841" t="s">
        <v>429</v>
      </c>
      <c r="T20" s="555" t="s">
        <v>430</v>
      </c>
      <c r="AD20" s="598" t="s">
        <v>431</v>
      </c>
      <c r="AF20" s="598" t="s">
        <v>432</v>
      </c>
      <c r="AG20" s="555" t="s">
        <v>430</v>
      </c>
      <c r="AO20" s="598" t="s">
        <v>433</v>
      </c>
      <c r="AQ20" s="598" t="s">
        <v>432</v>
      </c>
      <c r="AY20" s="555">
        <v>0</v>
      </c>
    </row>
    <row r="21" spans="15:51" ht="14.25" hidden="1" customHeight="1">
      <c r="AY21" s="538">
        <v>0</v>
      </c>
    </row>
    <row r="22" spans="15:51" ht="14.25" hidden="1" customHeight="1">
      <c r="AY22" s="538">
        <v>0</v>
      </c>
    </row>
    <row r="23" spans="15:51" ht="14.65" customHeight="1">
      <c r="Q23" s="756"/>
      <c r="R23" s="756"/>
      <c r="S23" s="847"/>
      <c r="T23" s="556"/>
      <c r="U23" s="556"/>
      <c r="AY23" s="538">
        <v>14</v>
      </c>
    </row>
    <row r="24" spans="15:51" ht="26.25" customHeight="1">
      <c r="Q24" s="756"/>
      <c r="R24" s="756"/>
      <c r="S24" s="117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178"/>
      <c r="U24" s="1178"/>
      <c r="V24" s="1178"/>
      <c r="W24" s="1178"/>
      <c r="X24" s="1178"/>
      <c r="Y24" s="1178"/>
      <c r="Z24" s="1178"/>
      <c r="AA24" s="1178"/>
      <c r="AB24" s="1178"/>
      <c r="AC24" s="1178"/>
      <c r="AD24" s="1178"/>
      <c r="AE24" s="1178"/>
      <c r="AF24" s="1178"/>
      <c r="AG24" s="1178"/>
      <c r="AH24" s="1178"/>
      <c r="AI24" s="1178"/>
      <c r="AJ24" s="1178"/>
      <c r="AK24" s="1178"/>
      <c r="AL24" s="1178"/>
      <c r="AM24" s="1178"/>
      <c r="AN24" s="1178"/>
      <c r="AO24" s="1178"/>
      <c r="AP24" s="1178"/>
      <c r="AY24" s="538">
        <v>25</v>
      </c>
    </row>
    <row r="25" spans="15:51" ht="14.65" customHeight="1">
      <c r="Q25" s="756"/>
      <c r="R25" s="756"/>
      <c r="S25" s="1127" t="str">
        <f>IF(org=0,"Не определено",org)</f>
        <v>АО "НИЖЕГОРОДСКИЙ ВОДОКАНАЛ"</v>
      </c>
      <c r="T25" s="1127"/>
      <c r="U25" s="1127"/>
      <c r="V25" s="1127"/>
      <c r="W25" s="1127"/>
      <c r="X25" s="1127"/>
      <c r="Y25" s="1127"/>
      <c r="Z25" s="1127"/>
      <c r="AA25" s="1127"/>
      <c r="AB25" s="1127"/>
      <c r="AC25" s="1127"/>
      <c r="AD25" s="1127"/>
      <c r="AE25" s="1127"/>
      <c r="AF25" s="1127"/>
      <c r="AG25" s="1127"/>
      <c r="AH25" s="1127"/>
      <c r="AI25" s="1127"/>
      <c r="AJ25" s="1127"/>
      <c r="AK25" s="1127"/>
      <c r="AL25" s="1127"/>
      <c r="AM25" s="1127"/>
      <c r="AN25" s="1127"/>
      <c r="AO25" s="1127"/>
      <c r="AP25" s="1127"/>
      <c r="AY25" s="538">
        <v>14</v>
      </c>
    </row>
    <row r="26" spans="15:51" ht="14.25" hidden="1" customHeight="1">
      <c r="Q26" s="756"/>
      <c r="R26" s="756"/>
      <c r="S26" s="847"/>
      <c r="T26" s="556"/>
      <c r="U26" s="556"/>
      <c r="V26" s="826"/>
      <c r="W26" s="826"/>
      <c r="X26" s="826"/>
      <c r="Y26" s="826"/>
      <c r="Z26" s="826"/>
      <c r="AA26" s="826"/>
      <c r="AB26" s="826"/>
      <c r="AC26" s="826"/>
      <c r="AD26" s="826"/>
      <c r="AE26" s="826"/>
      <c r="AF26" s="826"/>
      <c r="AG26" s="826"/>
      <c r="AH26" s="826"/>
      <c r="AI26" s="826"/>
      <c r="AJ26" s="826"/>
      <c r="AK26" s="826"/>
      <c r="AL26" s="826"/>
      <c r="AM26" s="826"/>
      <c r="AN26" s="826"/>
      <c r="AO26" s="826"/>
      <c r="AP26" s="826"/>
      <c r="AQ26" s="826"/>
      <c r="AY26" s="538">
        <v>0</v>
      </c>
    </row>
    <row r="27" spans="15:51" ht="25.5" hidden="1" customHeight="1">
      <c r="S27" s="1186" t="s">
        <v>41</v>
      </c>
      <c r="T27" s="1186"/>
      <c r="U27" s="849"/>
      <c r="V27" s="1187" t="str">
        <f>IF(TITLE_NAME_OR_PR_CHANGE="",IF(TITLE_NAME_OR_PR="","",TITLE_NAME_OR_PR),TITLE_NAME_OR_PR_CHANGE)</f>
        <v/>
      </c>
      <c r="W27" s="1187"/>
      <c r="X27" s="1187"/>
      <c r="Y27" s="1187"/>
      <c r="Z27" s="1187"/>
      <c r="AA27" s="1187"/>
      <c r="AB27" s="1187"/>
      <c r="AC27" s="1187"/>
      <c r="AD27" s="1187"/>
      <c r="AE27" s="1187"/>
      <c r="AG27" s="1187" t="str">
        <f>IF(TITLE_NAME_OR_PR_CHANGE="",IF(TITLE_NAME_OR_PR="","",TITLE_NAME_OR_PR),TITLE_NAME_OR_PR_CHANGE)</f>
        <v/>
      </c>
      <c r="AH27" s="1187"/>
      <c r="AI27" s="1187"/>
      <c r="AJ27" s="1187"/>
      <c r="AK27" s="1187"/>
      <c r="AL27" s="1187"/>
      <c r="AM27" s="1187"/>
      <c r="AN27" s="1187"/>
      <c r="AO27" s="1187"/>
      <c r="AP27" s="1187"/>
      <c r="AY27" s="592">
        <v>0</v>
      </c>
    </row>
    <row r="28" spans="15:51" ht="18.75" hidden="1" customHeight="1">
      <c r="S28" s="1186" t="s">
        <v>434</v>
      </c>
      <c r="T28" s="1186"/>
      <c r="U28" s="849"/>
      <c r="V28" s="1196" t="str">
        <f>IF(TITLE_DATE_PR_CHANGE="",IF(TITLE_DATE_PR="","",TITLE_DATE_PR),TITLE_DATE_PR_CHANGE)</f>
        <v/>
      </c>
      <c r="W28" s="1196"/>
      <c r="X28" s="1196"/>
      <c r="Y28" s="1196"/>
      <c r="Z28" s="1196"/>
      <c r="AA28" s="1196"/>
      <c r="AB28" s="1196"/>
      <c r="AC28" s="1196"/>
      <c r="AD28" s="1196"/>
      <c r="AE28" s="1196"/>
      <c r="AG28" s="1196" t="str">
        <f>IF(TITLE_DATE_PR_CHANGE="",IF(TITLE_DATE_PR="","",TITLE_DATE_PR),TITLE_DATE_PR_CHANGE)</f>
        <v/>
      </c>
      <c r="AH28" s="1196"/>
      <c r="AI28" s="1196"/>
      <c r="AJ28" s="1196"/>
      <c r="AK28" s="1196"/>
      <c r="AL28" s="1196"/>
      <c r="AM28" s="1196"/>
      <c r="AN28" s="1196"/>
      <c r="AO28" s="1196"/>
      <c r="AP28" s="1196"/>
      <c r="AY28" s="592">
        <v>0</v>
      </c>
    </row>
    <row r="29" spans="15:51" ht="18.75" hidden="1" customHeight="1">
      <c r="S29" s="1186" t="s">
        <v>435</v>
      </c>
      <c r="T29" s="1186"/>
      <c r="U29" s="849"/>
      <c r="V29" s="1187" t="str">
        <f>IF(TITLE_NUMBER_PR_CHANGE="",IF(TITLE_NUMBER_PR="","",TITLE_NUMBER_PR),TITLE_NUMBER_PR_CHANGE)</f>
        <v/>
      </c>
      <c r="W29" s="1187"/>
      <c r="X29" s="1187"/>
      <c r="Y29" s="1187"/>
      <c r="Z29" s="1187"/>
      <c r="AA29" s="1187"/>
      <c r="AB29" s="1187"/>
      <c r="AC29" s="1187"/>
      <c r="AD29" s="1187"/>
      <c r="AE29" s="1187"/>
      <c r="AG29" s="1187" t="str">
        <f>IF(TITLE_NUMBER_PR_CHANGE="",IF(TITLE_NUMBER_PR="","",TITLE_NUMBER_PR),TITLE_NUMBER_PR_CHANGE)</f>
        <v/>
      </c>
      <c r="AH29" s="1187"/>
      <c r="AI29" s="1187"/>
      <c r="AJ29" s="1187"/>
      <c r="AK29" s="1187"/>
      <c r="AL29" s="1187"/>
      <c r="AM29" s="1187"/>
      <c r="AN29" s="1187"/>
      <c r="AO29" s="1187"/>
      <c r="AP29" s="1187"/>
      <c r="AY29" s="592">
        <v>0</v>
      </c>
    </row>
    <row r="30" spans="15:51" ht="18.75" hidden="1" customHeight="1">
      <c r="S30" s="1186" t="s">
        <v>42</v>
      </c>
      <c r="T30" s="1186"/>
      <c r="U30" s="849"/>
      <c r="V30" s="1187" t="str">
        <f>IF(TITLE_IST_PUB_CHANGE="",IF(TITLE_IST_PUB="","",TITLE_IST_PUB),TITLE_IST_PUB_CHANGE)</f>
        <v/>
      </c>
      <c r="W30" s="1187"/>
      <c r="X30" s="1187"/>
      <c r="Y30" s="1187"/>
      <c r="Z30" s="1187"/>
      <c r="AA30" s="1187"/>
      <c r="AB30" s="1187"/>
      <c r="AC30" s="1187"/>
      <c r="AD30" s="1187"/>
      <c r="AE30" s="1187"/>
      <c r="AG30" s="1187" t="str">
        <f>IF(TITLE_IST_PUB_CHANGE="",IF(TITLE_IST_PUB="","",TITLE_IST_PUB),TITLE_IST_PUB_CHANGE)</f>
        <v/>
      </c>
      <c r="AH30" s="1187"/>
      <c r="AI30" s="1187"/>
      <c r="AJ30" s="1187"/>
      <c r="AK30" s="1187"/>
      <c r="AL30" s="1187"/>
      <c r="AM30" s="1187"/>
      <c r="AN30" s="1187"/>
      <c r="AO30" s="1187"/>
      <c r="AP30" s="1187"/>
      <c r="AY30" s="592">
        <v>0</v>
      </c>
    </row>
    <row r="31" spans="15:51" ht="14.25" hidden="1" customHeight="1">
      <c r="Q31" s="756"/>
      <c r="R31" s="756"/>
      <c r="S31" s="847"/>
      <c r="T31" s="556"/>
      <c r="U31" s="556"/>
      <c r="V31" s="826"/>
      <c r="W31" s="826"/>
      <c r="X31" s="826"/>
      <c r="Y31" s="826"/>
      <c r="Z31" s="826"/>
      <c r="AA31" s="826"/>
      <c r="AB31" s="826"/>
      <c r="AC31" s="826"/>
      <c r="AD31" s="826"/>
      <c r="AE31" s="826"/>
      <c r="AF31" s="826"/>
      <c r="AG31" s="826"/>
      <c r="AH31" s="826"/>
      <c r="AI31" s="826"/>
      <c r="AJ31" s="826"/>
      <c r="AK31" s="826"/>
      <c r="AL31" s="826"/>
      <c r="AM31" s="826"/>
      <c r="AN31" s="826"/>
      <c r="AO31" s="826"/>
      <c r="AP31" s="826"/>
      <c r="AQ31" s="826"/>
      <c r="AY31" s="538">
        <v>0</v>
      </c>
    </row>
    <row r="32" spans="15:51" ht="18.75" hidden="1" customHeight="1">
      <c r="S32" s="1186" t="s">
        <v>436</v>
      </c>
      <c r="T32" s="1186"/>
      <c r="U32" s="849"/>
      <c r="V32" s="1196" t="str">
        <f>IF(TITLE_DATE_PR_CHANGE="",IF(TITLE_DATE_PR="","",TITLE_DATE_PR),TITLE_DATE_PR_CHANGE)</f>
        <v/>
      </c>
      <c r="W32" s="1196"/>
      <c r="X32" s="1196"/>
      <c r="Y32" s="1196"/>
      <c r="Z32" s="1196"/>
      <c r="AA32" s="1196"/>
      <c r="AB32" s="1196"/>
      <c r="AC32" s="1196"/>
      <c r="AD32" s="1196"/>
      <c r="AE32" s="1196"/>
      <c r="AG32" s="1196" t="str">
        <f>IF(TITLE_DATE_PR_CHANGE="",IF(TITLE_DATE_PR="","",TITLE_DATE_PR),TITLE_DATE_PR_CHANGE)</f>
        <v/>
      </c>
      <c r="AH32" s="1196"/>
      <c r="AI32" s="1196"/>
      <c r="AJ32" s="1196"/>
      <c r="AK32" s="1196"/>
      <c r="AL32" s="1196"/>
      <c r="AM32" s="1196"/>
      <c r="AN32" s="1196"/>
      <c r="AO32" s="1196"/>
      <c r="AP32" s="1196"/>
      <c r="AY32" s="592">
        <v>0</v>
      </c>
    </row>
    <row r="33" spans="1:51" ht="18.75" hidden="1" customHeight="1">
      <c r="S33" s="1186" t="s">
        <v>437</v>
      </c>
      <c r="T33" s="1186"/>
      <c r="U33" s="849"/>
      <c r="V33" s="1187" t="str">
        <f>IF(TITLE_NUMBER_PR_CHANGE="",IF(TITLE_NUMBER_PR="","",TITLE_NUMBER_PR),TITLE_NUMBER_PR_CHANGE)</f>
        <v/>
      </c>
      <c r="W33" s="1187"/>
      <c r="X33" s="1187"/>
      <c r="Y33" s="1187"/>
      <c r="Z33" s="1187"/>
      <c r="AA33" s="1187"/>
      <c r="AB33" s="1187"/>
      <c r="AC33" s="1187"/>
      <c r="AD33" s="1187"/>
      <c r="AE33" s="1187"/>
      <c r="AG33" s="1187" t="str">
        <f>IF(TITLE_NUMBER_PR_CHANGE="",IF(TITLE_NUMBER_PR="","",TITLE_NUMBER_PR),TITLE_NUMBER_PR_CHANGE)</f>
        <v/>
      </c>
      <c r="AH33" s="1187"/>
      <c r="AI33" s="1187"/>
      <c r="AJ33" s="1187"/>
      <c r="AK33" s="1187"/>
      <c r="AL33" s="1187"/>
      <c r="AM33" s="1187"/>
      <c r="AN33" s="1187"/>
      <c r="AO33" s="1187"/>
      <c r="AP33" s="1187"/>
      <c r="AY33" s="592">
        <v>0</v>
      </c>
    </row>
    <row r="34" spans="1:51" ht="1.1499999999999999" customHeight="1">
      <c r="AF34" s="577" t="s">
        <v>438</v>
      </c>
      <c r="AQ34" s="577" t="s">
        <v>438</v>
      </c>
      <c r="AY34" s="592">
        <v>1</v>
      </c>
    </row>
    <row r="35" spans="1:51" ht="14.65" customHeight="1">
      <c r="Q35" s="756"/>
      <c r="R35" s="756"/>
      <c r="S35" s="847"/>
      <c r="T35" s="556"/>
      <c r="U35" s="850"/>
      <c r="V35" s="1188"/>
      <c r="W35" s="1188"/>
      <c r="X35" s="1188"/>
      <c r="Y35" s="1188"/>
      <c r="Z35" s="1188"/>
      <c r="AA35" s="1188"/>
      <c r="AB35" s="1188"/>
      <c r="AC35" s="1188"/>
      <c r="AD35" s="1188"/>
      <c r="AE35" s="1188"/>
      <c r="AF35" s="1188"/>
      <c r="AG35" s="1188"/>
      <c r="AH35" s="1188"/>
      <c r="AI35" s="1188"/>
      <c r="AJ35" s="1188"/>
      <c r="AK35" s="1188"/>
      <c r="AL35" s="1188"/>
      <c r="AM35" s="1188"/>
      <c r="AN35" s="1188"/>
      <c r="AO35" s="1188"/>
      <c r="AP35" s="1188"/>
      <c r="AQ35" s="1188"/>
      <c r="AY35" s="538">
        <v>14</v>
      </c>
    </row>
    <row r="36" spans="1:51" ht="14.65" customHeight="1">
      <c r="Q36" s="756"/>
      <c r="R36" s="756"/>
      <c r="S36" s="1066" t="s">
        <v>311</v>
      </c>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c r="AR36" s="1066"/>
      <c r="AS36" s="1066" t="s">
        <v>312</v>
      </c>
      <c r="AY36" s="538">
        <v>14</v>
      </c>
    </row>
    <row r="37" spans="1:51" ht="14.65" customHeight="1">
      <c r="Q37" s="756"/>
      <c r="R37" s="756"/>
      <c r="S37" s="1202" t="s">
        <v>87</v>
      </c>
      <c r="T37" s="1154" t="s">
        <v>439</v>
      </c>
      <c r="U37" s="817"/>
      <c r="V37" s="1203" t="s">
        <v>440</v>
      </c>
      <c r="W37" s="1204"/>
      <c r="X37" s="1204"/>
      <c r="Y37" s="1204"/>
      <c r="Z37" s="1204"/>
      <c r="AA37" s="1204"/>
      <c r="AB37" s="1204"/>
      <c r="AC37" s="1204"/>
      <c r="AD37" s="1204"/>
      <c r="AE37" s="1205"/>
      <c r="AF37" s="1206" t="s">
        <v>441</v>
      </c>
      <c r="AG37" s="1203" t="s">
        <v>440</v>
      </c>
      <c r="AH37" s="1204"/>
      <c r="AI37" s="1204"/>
      <c r="AJ37" s="1204"/>
      <c r="AK37" s="1204"/>
      <c r="AL37" s="1204"/>
      <c r="AM37" s="1204"/>
      <c r="AN37" s="1204"/>
      <c r="AO37" s="1204"/>
      <c r="AP37" s="1205"/>
      <c r="AQ37" s="1206" t="s">
        <v>442</v>
      </c>
      <c r="AR37" s="1209" t="s">
        <v>443</v>
      </c>
      <c r="AS37" s="1066"/>
      <c r="AY37" s="538">
        <v>14</v>
      </c>
    </row>
    <row r="38" spans="1:51" ht="19.899999999999999" customHeight="1">
      <c r="Q38" s="756"/>
      <c r="R38" s="756"/>
      <c r="S38" s="1202"/>
      <c r="T38" s="1154"/>
      <c r="U38" s="822"/>
      <c r="V38" s="1066" t="s">
        <v>543</v>
      </c>
      <c r="W38" s="1150" t="s">
        <v>544</v>
      </c>
      <c r="X38" s="1150"/>
      <c r="Y38" s="1150"/>
      <c r="Z38" s="1150" t="s">
        <v>545</v>
      </c>
      <c r="AA38" s="1150"/>
      <c r="AB38" s="1150"/>
      <c r="AC38" s="1141" t="s">
        <v>447</v>
      </c>
      <c r="AD38" s="1233"/>
      <c r="AE38" s="1142"/>
      <c r="AF38" s="1207"/>
      <c r="AG38" s="1066" t="s">
        <v>543</v>
      </c>
      <c r="AH38" s="1150" t="s">
        <v>544</v>
      </c>
      <c r="AI38" s="1150"/>
      <c r="AJ38" s="1150"/>
      <c r="AK38" s="1150" t="s">
        <v>545</v>
      </c>
      <c r="AL38" s="1150"/>
      <c r="AM38" s="1150"/>
      <c r="AN38" s="1141" t="s">
        <v>447</v>
      </c>
      <c r="AO38" s="1233"/>
      <c r="AP38" s="1142"/>
      <c r="AQ38" s="1207"/>
      <c r="AR38" s="1210"/>
      <c r="AS38" s="1066"/>
      <c r="AY38" s="538">
        <v>19</v>
      </c>
    </row>
    <row r="39" spans="1:51" ht="19.899999999999999" customHeight="1">
      <c r="Q39" s="756"/>
      <c r="R39" s="756"/>
      <c r="S39" s="1202"/>
      <c r="T39" s="1154"/>
      <c r="U39" s="822"/>
      <c r="V39" s="1066"/>
      <c r="W39" s="1150" t="s">
        <v>546</v>
      </c>
      <c r="X39" s="1150" t="s">
        <v>547</v>
      </c>
      <c r="Y39" s="1150"/>
      <c r="Z39" s="1150" t="s">
        <v>548</v>
      </c>
      <c r="AA39" s="1150" t="s">
        <v>547</v>
      </c>
      <c r="AB39" s="1150"/>
      <c r="AC39" s="1146"/>
      <c r="AD39" s="1234"/>
      <c r="AE39" s="1147"/>
      <c r="AF39" s="1207"/>
      <c r="AG39" s="1066"/>
      <c r="AH39" s="1150" t="s">
        <v>546</v>
      </c>
      <c r="AI39" s="1150" t="s">
        <v>547</v>
      </c>
      <c r="AJ39" s="1150"/>
      <c r="AK39" s="1150" t="s">
        <v>548</v>
      </c>
      <c r="AL39" s="1150" t="s">
        <v>547</v>
      </c>
      <c r="AM39" s="1150"/>
      <c r="AN39" s="1146"/>
      <c r="AO39" s="1234"/>
      <c r="AP39" s="1147"/>
      <c r="AQ39" s="1207"/>
      <c r="AR39" s="1210"/>
      <c r="AS39" s="1066"/>
      <c r="AY39" s="538">
        <v>19</v>
      </c>
    </row>
    <row r="40" spans="1:51" ht="61.9" customHeight="1">
      <c r="B40" s="598" t="s">
        <v>148</v>
      </c>
      <c r="C40" s="598" t="s">
        <v>149</v>
      </c>
      <c r="D40" s="598" t="s">
        <v>150</v>
      </c>
      <c r="E40" s="841" t="s">
        <v>448</v>
      </c>
      <c r="F40" s="841" t="s">
        <v>449</v>
      </c>
      <c r="G40" s="841" t="s">
        <v>450</v>
      </c>
      <c r="I40" s="841" t="s">
        <v>501</v>
      </c>
      <c r="J40" s="841" t="s">
        <v>453</v>
      </c>
      <c r="K40" s="841" t="s">
        <v>502</v>
      </c>
      <c r="L40" s="841" t="s">
        <v>429</v>
      </c>
      <c r="Q40" s="756"/>
      <c r="R40" s="756"/>
      <c r="S40" s="1202"/>
      <c r="T40" s="1154"/>
      <c r="U40" s="852"/>
      <c r="V40" s="1066"/>
      <c r="W40" s="1150"/>
      <c r="X40" s="92" t="s">
        <v>549</v>
      </c>
      <c r="Y40" s="92" t="s">
        <v>550</v>
      </c>
      <c r="Z40" s="1150"/>
      <c r="AA40" s="92" t="s">
        <v>551</v>
      </c>
      <c r="AB40" s="92" t="s">
        <v>552</v>
      </c>
      <c r="AC40" s="602" t="s">
        <v>457</v>
      </c>
      <c r="AD40" s="1162" t="s">
        <v>458</v>
      </c>
      <c r="AE40" s="1164"/>
      <c r="AF40" s="1208"/>
      <c r="AG40" s="1066"/>
      <c r="AH40" s="1150"/>
      <c r="AI40" s="92" t="s">
        <v>549</v>
      </c>
      <c r="AJ40" s="92" t="s">
        <v>550</v>
      </c>
      <c r="AK40" s="1150"/>
      <c r="AL40" s="92" t="s">
        <v>551</v>
      </c>
      <c r="AM40" s="92" t="s">
        <v>552</v>
      </c>
      <c r="AN40" s="602" t="s">
        <v>457</v>
      </c>
      <c r="AO40" s="1162" t="s">
        <v>458</v>
      </c>
      <c r="AP40" s="1164"/>
      <c r="AQ40" s="1208"/>
      <c r="AR40" s="1211"/>
      <c r="AS40" s="1066"/>
      <c r="AY40" s="538">
        <v>59</v>
      </c>
    </row>
    <row r="41" spans="1:51" ht="11.25" hidden="1" customHeight="1">
      <c r="Q41" s="853"/>
      <c r="R41" s="854">
        <v>1</v>
      </c>
      <c r="S41" s="329" t="s">
        <v>114</v>
      </c>
      <c r="T41" s="330" t="s">
        <v>102</v>
      </c>
      <c r="U41" s="855" t="str">
        <f ca="1">OFFSET(U41,0,-1)</f>
        <v>2</v>
      </c>
      <c r="V41" s="856">
        <f ca="1">OFFSET(V41,0,-1)+1</f>
        <v>3</v>
      </c>
      <c r="W41" s="856"/>
      <c r="X41" s="856"/>
      <c r="Y41" s="856"/>
      <c r="Z41" s="856"/>
      <c r="AA41" s="856"/>
      <c r="AB41" s="856">
        <f ca="1">OFFSET(AB41,0,-1)+1</f>
        <v>1</v>
      </c>
      <c r="AC41" s="856">
        <f ca="1">OFFSET(AC41,0,-1)+1</f>
        <v>2</v>
      </c>
      <c r="AD41" s="1201">
        <f ca="1">OFFSET(AD41,0,-1)+1</f>
        <v>3</v>
      </c>
      <c r="AE41" s="1201"/>
      <c r="AF41" s="856">
        <f ca="1">OFFSET(AF41,0,-2)+1</f>
        <v>4</v>
      </c>
      <c r="AG41" s="856">
        <f ca="1">OFFSET(AG41,0,-1)+1</f>
        <v>5</v>
      </c>
      <c r="AH41" s="856"/>
      <c r="AI41" s="856"/>
      <c r="AJ41" s="856"/>
      <c r="AK41" s="856"/>
      <c r="AL41" s="856"/>
      <c r="AM41" s="856">
        <f ca="1">OFFSET(AM41,0,-1)+1</f>
        <v>1</v>
      </c>
      <c r="AN41" s="856">
        <f ca="1">OFFSET(AN41,0,-1)+1</f>
        <v>2</v>
      </c>
      <c r="AO41" s="1201">
        <f ca="1">OFFSET(AO41,0,-1)+1</f>
        <v>3</v>
      </c>
      <c r="AP41" s="1201"/>
      <c r="AQ41" s="856">
        <f ca="1">OFFSET(AQ41,0,-2)+1</f>
        <v>4</v>
      </c>
      <c r="AR41" s="855">
        <f ca="1">OFFSET(AR41,0,-1)</f>
        <v>4</v>
      </c>
      <c r="AS41" s="856">
        <f ca="1">OFFSET(AS41,0,-1)+1</f>
        <v>5</v>
      </c>
      <c r="AY41" s="681">
        <v>0</v>
      </c>
    </row>
    <row r="42" spans="1:51" ht="24" customHeight="1">
      <c r="A42" s="857" t="s">
        <v>267</v>
      </c>
      <c r="E42" s="1194">
        <v>1</v>
      </c>
      <c r="R42" s="310"/>
      <c r="S42" s="832">
        <f>INDEX(PT_DIFFERENTIATION_NUM_NTAR,MATCH(A42,PT_DIFFERENTIATION_NTAR_ID,0))</f>
        <v>0</v>
      </c>
      <c r="T42" s="795" t="s">
        <v>136</v>
      </c>
      <c r="U42" s="833"/>
      <c r="V42" s="1180"/>
      <c r="W42" s="1181"/>
      <c r="X42" s="1181"/>
      <c r="Y42" s="1181"/>
      <c r="Z42" s="1181"/>
      <c r="AA42" s="1181"/>
      <c r="AB42" s="1181"/>
      <c r="AC42" s="1181"/>
      <c r="AD42" s="1181"/>
      <c r="AE42" s="1181"/>
      <c r="AF42" s="1182"/>
      <c r="AG42" s="1180" t="str">
        <f>INDEX(PT_DIFFERENTIATION_NTAR,MATCH(A42,PT_DIFFERENTIATION_NTAR_ID,0))</f>
        <v/>
      </c>
      <c r="AH42" s="1181"/>
      <c r="AI42" s="1181"/>
      <c r="AJ42" s="1181"/>
      <c r="AK42" s="1181"/>
      <c r="AL42" s="1181"/>
      <c r="AM42" s="1181"/>
      <c r="AN42" s="1181"/>
      <c r="AO42" s="1181"/>
      <c r="AP42" s="1181"/>
      <c r="AQ42" s="1181"/>
      <c r="AR42" s="1182"/>
      <c r="AS42"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V42" s="582" t="str">
        <f t="shared" ref="AV42:AV54" si="1">IF(T42="","",T42)</f>
        <v>Наименование тарифа</v>
      </c>
      <c r="AY42" s="538">
        <v>23</v>
      </c>
    </row>
    <row r="43" spans="1:51" ht="24" customHeight="1">
      <c r="A43" s="857" t="s">
        <v>267</v>
      </c>
      <c r="B43" s="857" t="s">
        <v>268</v>
      </c>
      <c r="E43" s="1195"/>
      <c r="F43" s="1194">
        <v>1</v>
      </c>
      <c r="Q43" s="836"/>
      <c r="R43" s="837"/>
      <c r="S43" s="832" t="str">
        <f>INDEX(PT_DIFFERENTIATION_NUM_TER,MATCH(B43,PT_DIFFERENTIATION_TER_ID,0))</f>
        <v>.</v>
      </c>
      <c r="T43" s="838" t="s">
        <v>408</v>
      </c>
      <c r="U43" s="833"/>
      <c r="V43" s="1180"/>
      <c r="W43" s="1181"/>
      <c r="X43" s="1181"/>
      <c r="Y43" s="1181"/>
      <c r="Z43" s="1181"/>
      <c r="AA43" s="1181"/>
      <c r="AB43" s="1181"/>
      <c r="AC43" s="1181"/>
      <c r="AD43" s="1181"/>
      <c r="AE43" s="1181"/>
      <c r="AF43" s="1182"/>
      <c r="AG43" s="1180" t="str">
        <f>INDEX(PT_DIFFERENTIATION_TER,MATCH(B43,PT_DIFFERENTIATION_TER_ID,0))</f>
        <v/>
      </c>
      <c r="AH43" s="1181"/>
      <c r="AI43" s="1181"/>
      <c r="AJ43" s="1181"/>
      <c r="AK43" s="1181"/>
      <c r="AL43" s="1181"/>
      <c r="AM43" s="1181"/>
      <c r="AN43" s="1181"/>
      <c r="AO43" s="1181"/>
      <c r="AP43" s="1181"/>
      <c r="AQ43" s="1181"/>
      <c r="AR43" s="1182"/>
      <c r="AS43" s="835" t="s">
        <v>409</v>
      </c>
      <c r="AV43" s="582" t="str">
        <f t="shared" si="1"/>
        <v>Территория действия тарифа</v>
      </c>
      <c r="AY43" s="538">
        <v>23</v>
      </c>
    </row>
    <row r="44" spans="1:51" ht="24" customHeight="1">
      <c r="A44" s="857" t="s">
        <v>267</v>
      </c>
      <c r="B44" s="857" t="s">
        <v>268</v>
      </c>
      <c r="C44" s="857" t="s">
        <v>269</v>
      </c>
      <c r="E44" s="1195"/>
      <c r="F44" s="1195"/>
      <c r="G44" s="1194">
        <v>1</v>
      </c>
      <c r="Q44" s="836"/>
      <c r="R44" s="837"/>
      <c r="S44" s="832" t="str">
        <f>INDEX(PT_DIFFERENTIATION_NUM_CS,MATCH(C44,PT_DIFFERENTIATION_CS_ID,0))</f>
        <v>..</v>
      </c>
      <c r="T44" s="839" t="s">
        <v>541</v>
      </c>
      <c r="U44" s="833"/>
      <c r="V44" s="1180"/>
      <c r="W44" s="1181"/>
      <c r="X44" s="1181"/>
      <c r="Y44" s="1181"/>
      <c r="Z44" s="1181"/>
      <c r="AA44" s="1181"/>
      <c r="AB44" s="1181"/>
      <c r="AC44" s="1181"/>
      <c r="AD44" s="1181"/>
      <c r="AE44" s="1181"/>
      <c r="AF44" s="1182"/>
      <c r="AG44" s="1180" t="str">
        <f>INDEX(PT_DIFFERENTIATION_CS,MATCH(C44,PT_DIFFERENTIATION_CS_ID,0))</f>
        <v/>
      </c>
      <c r="AH44" s="1181"/>
      <c r="AI44" s="1181"/>
      <c r="AJ44" s="1181"/>
      <c r="AK44" s="1181"/>
      <c r="AL44" s="1181"/>
      <c r="AM44" s="1181"/>
      <c r="AN44" s="1181"/>
      <c r="AO44" s="1181"/>
      <c r="AP44" s="1181"/>
      <c r="AQ44" s="1181"/>
      <c r="AR44" s="1182"/>
      <c r="AS44" s="835" t="s">
        <v>542</v>
      </c>
      <c r="AV44" s="582" t="str">
        <f t="shared" si="1"/>
        <v>Наименование централизованной системы горячего водоснабжения</v>
      </c>
      <c r="AY44" s="538">
        <v>23</v>
      </c>
    </row>
    <row r="45" spans="1:51" ht="24" customHeight="1">
      <c r="A45" s="857" t="s">
        <v>267</v>
      </c>
      <c r="B45" s="857" t="s">
        <v>268</v>
      </c>
      <c r="C45" s="857" t="s">
        <v>269</v>
      </c>
      <c r="D45" s="857" t="s">
        <v>554</v>
      </c>
      <c r="E45" s="1195"/>
      <c r="F45" s="1195"/>
      <c r="G45" s="1195"/>
      <c r="H45" s="1195"/>
      <c r="I45" s="1192" t="str">
        <f>S44&amp;".1"</f>
        <v>...1</v>
      </c>
      <c r="P45" s="1193">
        <v>1</v>
      </c>
      <c r="R45" s="842"/>
      <c r="S45" s="832" t="str">
        <f>$I45</f>
        <v>...1</v>
      </c>
      <c r="T45" s="843" t="s">
        <v>494</v>
      </c>
      <c r="U45" s="833"/>
      <c r="V45" s="1260"/>
      <c r="W45" s="1261"/>
      <c r="X45" s="1261"/>
      <c r="Y45" s="1261"/>
      <c r="Z45" s="1261"/>
      <c r="AA45" s="1261"/>
      <c r="AB45" s="1261"/>
      <c r="AC45" s="1261"/>
      <c r="AD45" s="1261"/>
      <c r="AE45" s="1261"/>
      <c r="AF45" s="1262"/>
      <c r="AG45" s="1263"/>
      <c r="AH45" s="1264"/>
      <c r="AI45" s="1264"/>
      <c r="AJ45" s="1264"/>
      <c r="AK45" s="1264"/>
      <c r="AL45" s="1264"/>
      <c r="AM45" s="1264"/>
      <c r="AN45" s="1264"/>
      <c r="AO45" s="1264"/>
      <c r="AP45" s="1264"/>
      <c r="AQ45" s="1264"/>
      <c r="AR45" s="1265"/>
      <c r="AS45" s="835" t="s">
        <v>495</v>
      </c>
      <c r="AV45" s="582" t="str">
        <f t="shared" si="1"/>
        <v>Наименование признака дифференциации</v>
      </c>
      <c r="AY45" s="538">
        <v>23</v>
      </c>
    </row>
    <row r="46" spans="1:51" ht="24" customHeight="1">
      <c r="A46" s="857" t="s">
        <v>267</v>
      </c>
      <c r="B46" s="857" t="s">
        <v>268</v>
      </c>
      <c r="C46" s="857" t="s">
        <v>269</v>
      </c>
      <c r="D46" s="857" t="s">
        <v>554</v>
      </c>
      <c r="E46" s="1195"/>
      <c r="F46" s="1195"/>
      <c r="G46" s="1195"/>
      <c r="H46" s="1195"/>
      <c r="I46" s="1214"/>
      <c r="J46" s="1192" t="str">
        <f>I45&amp;".1"</f>
        <v>...1.1</v>
      </c>
      <c r="L46" s="841" t="s">
        <v>417</v>
      </c>
      <c r="P46" s="1031"/>
      <c r="Q46" s="1193">
        <v>1</v>
      </c>
      <c r="R46" s="844"/>
      <c r="S46" s="832" t="str">
        <f>$J46</f>
        <v>...1.1</v>
      </c>
      <c r="T46" s="845" t="s">
        <v>418</v>
      </c>
      <c r="U46" s="833"/>
      <c r="V46" s="1183"/>
      <c r="W46" s="1184"/>
      <c r="X46" s="1184"/>
      <c r="Y46" s="1184"/>
      <c r="Z46" s="1184"/>
      <c r="AA46" s="1184"/>
      <c r="AB46" s="1184"/>
      <c r="AC46" s="1184"/>
      <c r="AD46" s="1184"/>
      <c r="AE46" s="1184"/>
      <c r="AF46" s="1185"/>
      <c r="AG46" s="1183"/>
      <c r="AH46" s="1184"/>
      <c r="AI46" s="1184"/>
      <c r="AJ46" s="1184"/>
      <c r="AK46" s="1184"/>
      <c r="AL46" s="1184"/>
      <c r="AM46" s="1184"/>
      <c r="AN46" s="1184"/>
      <c r="AO46" s="1184"/>
      <c r="AP46" s="1184"/>
      <c r="AQ46" s="1184"/>
      <c r="AR46" s="1185"/>
      <c r="AS46" s="874" t="s">
        <v>496</v>
      </c>
      <c r="AV46" s="582" t="str">
        <f t="shared" si="1"/>
        <v>Группа потребителей</v>
      </c>
      <c r="AY46" s="538">
        <v>23</v>
      </c>
    </row>
    <row r="47" spans="1:51" ht="24" customHeight="1">
      <c r="A47" s="857" t="s">
        <v>267</v>
      </c>
      <c r="B47" s="857" t="s">
        <v>268</v>
      </c>
      <c r="C47" s="857" t="s">
        <v>269</v>
      </c>
      <c r="D47" s="857" t="s">
        <v>554</v>
      </c>
      <c r="E47" s="1195"/>
      <c r="F47" s="1195"/>
      <c r="G47" s="1195"/>
      <c r="H47" s="1195"/>
      <c r="I47" s="1214"/>
      <c r="J47" s="1214"/>
      <c r="K47" s="1192" t="str">
        <f>J46&amp;".1"</f>
        <v>...1.1.1</v>
      </c>
      <c r="P47" s="1031"/>
      <c r="Q47" s="1031"/>
      <c r="R47" s="844">
        <v>1</v>
      </c>
      <c r="S47" s="832" t="str">
        <f>$K47</f>
        <v>...1.1.1</v>
      </c>
      <c r="T47" s="397"/>
      <c r="U47" s="833"/>
      <c r="V47" s="275"/>
      <c r="W47" s="275"/>
      <c r="X47" s="275"/>
      <c r="Y47" s="275"/>
      <c r="Z47" s="275"/>
      <c r="AA47" s="275"/>
      <c r="AB47" s="327"/>
      <c r="AC47" s="1199"/>
      <c r="AD47" s="1200" t="s">
        <v>61</v>
      </c>
      <c r="AE47" s="1199"/>
      <c r="AF47" s="1200" t="s">
        <v>61</v>
      </c>
      <c r="AG47" s="311"/>
      <c r="AH47" s="311"/>
      <c r="AI47" s="311"/>
      <c r="AJ47" s="311"/>
      <c r="AK47" s="311"/>
      <c r="AL47" s="311"/>
      <c r="AM47" s="313"/>
      <c r="AN47" s="1197"/>
      <c r="AO47" s="1058" t="s">
        <v>61</v>
      </c>
      <c r="AP47" s="1215"/>
      <c r="AQ47" s="1058" t="s">
        <v>19</v>
      </c>
      <c r="AR47" s="398"/>
      <c r="AS47" s="1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77" t="e">
        <f ca="1">STRCHECKDATE(V48:AR48)</f>
        <v>#NAME?</v>
      </c>
      <c r="AV47" s="582" t="str">
        <f t="shared" si="1"/>
        <v/>
      </c>
      <c r="AY47" s="538">
        <v>23</v>
      </c>
    </row>
    <row r="48" spans="1:51" ht="0" hidden="1" customHeight="1">
      <c r="A48" s="857" t="s">
        <v>267</v>
      </c>
      <c r="B48" s="857" t="s">
        <v>268</v>
      </c>
      <c r="C48" s="857" t="s">
        <v>269</v>
      </c>
      <c r="D48" s="857" t="s">
        <v>554</v>
      </c>
      <c r="E48" s="1195"/>
      <c r="F48" s="1195"/>
      <c r="G48" s="1195"/>
      <c r="H48" s="1195"/>
      <c r="I48" s="1214"/>
      <c r="J48" s="1214"/>
      <c r="K48" s="1192"/>
      <c r="P48" s="1031"/>
      <c r="Q48" s="1031"/>
      <c r="R48" s="844"/>
      <c r="S48" s="127"/>
      <c r="T48" s="833"/>
      <c r="U48" s="833"/>
      <c r="V48" s="275"/>
      <c r="W48" s="275"/>
      <c r="X48" s="275"/>
      <c r="Y48" s="275"/>
      <c r="Z48" s="275"/>
      <c r="AA48" s="275"/>
      <c r="AB48" s="314" t="str">
        <f>AC47&amp;"-"&amp;AE47</f>
        <v>-</v>
      </c>
      <c r="AC48" s="1200"/>
      <c r="AD48" s="1200"/>
      <c r="AE48" s="1200"/>
      <c r="AF48" s="1200"/>
      <c r="AG48" s="312"/>
      <c r="AH48" s="312"/>
      <c r="AI48" s="312"/>
      <c r="AJ48" s="312"/>
      <c r="AK48" s="312"/>
      <c r="AL48" s="312"/>
      <c r="AM48" s="314" t="str">
        <f>AN47&amp;"-"&amp;AP47</f>
        <v>-</v>
      </c>
      <c r="AN48" s="1198"/>
      <c r="AO48" s="1058"/>
      <c r="AP48" s="1216"/>
      <c r="AQ48" s="1058"/>
      <c r="AR48" s="387"/>
      <c r="AS48" s="1259"/>
      <c r="AV48" s="582" t="str">
        <f t="shared" si="1"/>
        <v/>
      </c>
      <c r="AY48" s="538">
        <v>0</v>
      </c>
    </row>
    <row r="49" spans="1:51" ht="21" customHeight="1">
      <c r="A49" s="857" t="s">
        <v>267</v>
      </c>
      <c r="B49" s="857" t="s">
        <v>268</v>
      </c>
      <c r="C49" s="857" t="s">
        <v>269</v>
      </c>
      <c r="D49" s="857" t="s">
        <v>554</v>
      </c>
      <c r="E49" s="1195"/>
      <c r="F49" s="1195"/>
      <c r="G49" s="1195"/>
      <c r="H49" s="1195"/>
      <c r="I49" s="1214"/>
      <c r="J49" s="1192"/>
      <c r="P49" s="1031"/>
      <c r="Q49" s="1031"/>
      <c r="R49" s="842"/>
      <c r="S49" s="315"/>
      <c r="T49" s="318" t="s">
        <v>497</v>
      </c>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835" t="s">
        <v>498</v>
      </c>
      <c r="AV49" s="582" t="str">
        <f t="shared" si="1"/>
        <v>Добавить значение признака дифференциации</v>
      </c>
      <c r="AY49" s="538">
        <v>20</v>
      </c>
    </row>
    <row r="50" spans="1:51" ht="21.95" customHeight="1">
      <c r="A50" s="857" t="s">
        <v>267</v>
      </c>
      <c r="B50" s="857" t="s">
        <v>268</v>
      </c>
      <c r="C50" s="857" t="s">
        <v>269</v>
      </c>
      <c r="D50" s="857" t="s">
        <v>554</v>
      </c>
      <c r="E50" s="1195"/>
      <c r="F50" s="1195"/>
      <c r="G50" s="1195"/>
      <c r="H50" s="1195"/>
      <c r="I50" s="1192"/>
      <c r="P50" s="1031"/>
      <c r="R50" s="842"/>
      <c r="S50" s="315"/>
      <c r="T50" s="321" t="s">
        <v>423</v>
      </c>
      <c r="U50" s="52"/>
      <c r="V50" s="52"/>
      <c r="W50" s="52"/>
      <c r="X50" s="52"/>
      <c r="Y50" s="52"/>
      <c r="Z50" s="52"/>
      <c r="AA50" s="52"/>
      <c r="AB50" s="52"/>
      <c r="AC50" s="52"/>
      <c r="AD50" s="52"/>
      <c r="AE50" s="52"/>
      <c r="AF50" s="319"/>
      <c r="AG50" s="52"/>
      <c r="AH50" s="52"/>
      <c r="AI50" s="52"/>
      <c r="AJ50" s="52"/>
      <c r="AK50" s="52"/>
      <c r="AL50" s="52"/>
      <c r="AM50" s="52"/>
      <c r="AN50" s="52"/>
      <c r="AO50" s="52"/>
      <c r="AP50" s="52"/>
      <c r="AQ50" s="319"/>
      <c r="AR50" s="52"/>
      <c r="AS50" s="399"/>
      <c r="AV50" s="582" t="str">
        <f t="shared" si="1"/>
        <v>Добавить группу потребителей</v>
      </c>
      <c r="AY50" s="538">
        <v>21</v>
      </c>
    </row>
    <row r="51" spans="1:51" ht="21.95" customHeight="1">
      <c r="A51" s="857" t="s">
        <v>267</v>
      </c>
      <c r="B51" s="857" t="s">
        <v>268</v>
      </c>
      <c r="C51" s="857" t="s">
        <v>269</v>
      </c>
      <c r="D51" s="857" t="s">
        <v>554</v>
      </c>
      <c r="E51" s="1195"/>
      <c r="F51" s="1195"/>
      <c r="G51" s="1195"/>
      <c r="H51" s="1194"/>
      <c r="R51" s="310"/>
      <c r="S51" s="315"/>
      <c r="T51" s="376" t="s">
        <v>499</v>
      </c>
      <c r="U51" s="52"/>
      <c r="V51" s="52"/>
      <c r="W51" s="52"/>
      <c r="X51" s="52"/>
      <c r="Y51" s="52"/>
      <c r="Z51" s="52"/>
      <c r="AA51" s="52"/>
      <c r="AB51" s="52"/>
      <c r="AC51" s="52"/>
      <c r="AD51" s="52"/>
      <c r="AE51" s="52"/>
      <c r="AF51" s="319"/>
      <c r="AG51" s="52"/>
      <c r="AH51" s="52"/>
      <c r="AI51" s="52"/>
      <c r="AJ51" s="52"/>
      <c r="AK51" s="52"/>
      <c r="AL51" s="52"/>
      <c r="AM51" s="52"/>
      <c r="AN51" s="52"/>
      <c r="AO51" s="52"/>
      <c r="AP51" s="52"/>
      <c r="AQ51" s="319"/>
      <c r="AR51" s="52"/>
      <c r="AS51" s="320"/>
      <c r="AV51" s="582" t="str">
        <f t="shared" si="1"/>
        <v>Добавить наименование признака дифференциации</v>
      </c>
      <c r="AY51" s="538">
        <v>21</v>
      </c>
    </row>
    <row r="52" spans="1:51" ht="0" hidden="1" customHeight="1">
      <c r="A52" s="574" t="s">
        <v>267</v>
      </c>
      <c r="B52" s="574" t="s">
        <v>268</v>
      </c>
      <c r="E52" s="1195"/>
      <c r="F52" s="1194"/>
      <c r="T52" s="326" t="s">
        <v>426</v>
      </c>
      <c r="AV52" s="582" t="str">
        <f t="shared" si="1"/>
        <v>Добавить централизованную систему для дифференциации</v>
      </c>
      <c r="AY52" s="577">
        <v>0</v>
      </c>
    </row>
    <row r="53" spans="1:51" ht="0" hidden="1" customHeight="1">
      <c r="A53" s="574" t="s">
        <v>267</v>
      </c>
      <c r="E53" s="1194"/>
      <c r="T53" s="326" t="s">
        <v>427</v>
      </c>
      <c r="AV53" s="582" t="str">
        <f t="shared" si="1"/>
        <v>Добавить территорию для дифференциации</v>
      </c>
      <c r="AY53" s="577">
        <v>0</v>
      </c>
    </row>
    <row r="54" spans="1:51" ht="0" hidden="1" customHeight="1">
      <c r="T54" s="326" t="s">
        <v>459</v>
      </c>
      <c r="AV54" s="582" t="str">
        <f t="shared" si="1"/>
        <v>Добавить наименование тарифа</v>
      </c>
      <c r="AY54" s="577">
        <v>0</v>
      </c>
    </row>
    <row r="55" spans="1:51" ht="11.45" customHeight="1">
      <c r="AY55" s="538">
        <v>11</v>
      </c>
    </row>
    <row r="56" spans="1:51" ht="14.65" customHeight="1">
      <c r="T56" s="1031"/>
      <c r="U56" s="1031"/>
      <c r="V56" s="1031"/>
      <c r="W56" s="1031"/>
      <c r="X56" s="1031"/>
      <c r="Y56" s="1031"/>
      <c r="Z56" s="1031"/>
      <c r="AA56" s="1031"/>
      <c r="AB56" s="1031"/>
      <c r="AC56" s="1031"/>
      <c r="AD56" s="1031"/>
      <c r="AE56" s="1031"/>
      <c r="AF56" s="1031"/>
      <c r="AG56" s="1031"/>
      <c r="AH56" s="1031"/>
      <c r="AI56" s="1031"/>
      <c r="AJ56" s="1031"/>
      <c r="AK56" s="1031"/>
      <c r="AL56" s="1031"/>
      <c r="AM56" s="1031"/>
      <c r="AN56" s="1031"/>
      <c r="AO56" s="1031"/>
      <c r="AP56" s="1031"/>
      <c r="AQ56" s="1031"/>
      <c r="AR56" s="1031"/>
      <c r="AS56" s="1031"/>
      <c r="AY56" s="538">
        <v>14</v>
      </c>
    </row>
    <row r="57" spans="1:51" ht="14.65" customHeight="1">
      <c r="AY57" s="538">
        <v>14</v>
      </c>
    </row>
    <row r="58" spans="1:51" ht="14.65" customHeight="1">
      <c r="T58" s="1031"/>
      <c r="U58" s="1031"/>
      <c r="V58" s="1031"/>
      <c r="W58" s="1031"/>
      <c r="X58" s="1031"/>
      <c r="Y58" s="1031"/>
      <c r="Z58" s="1031"/>
      <c r="AA58" s="1031"/>
      <c r="AB58" s="1031"/>
      <c r="AC58" s="1031"/>
      <c r="AD58" s="1031"/>
      <c r="AE58" s="1031"/>
      <c r="AF58" s="1031"/>
      <c r="AG58" s="1031"/>
      <c r="AH58" s="1031"/>
      <c r="AI58" s="1031"/>
      <c r="AJ58" s="1031"/>
      <c r="AK58" s="1031"/>
      <c r="AL58" s="1031"/>
      <c r="AM58" s="1031"/>
      <c r="AN58" s="1031"/>
      <c r="AO58" s="1031"/>
      <c r="AP58" s="1031"/>
      <c r="AQ58" s="1031"/>
      <c r="AR58" s="1031"/>
      <c r="AS58" s="1031"/>
      <c r="AY58" s="538">
        <v>14</v>
      </c>
    </row>
    <row r="59" spans="1:51" ht="22.5" hidden="1" customHeight="1">
      <c r="A59" s="555" t="s">
        <v>81</v>
      </c>
      <c r="B59" s="555">
        <v>0</v>
      </c>
      <c r="C59" s="555">
        <v>0</v>
      </c>
      <c r="D59" s="555">
        <v>0</v>
      </c>
      <c r="E59" s="555">
        <v>0</v>
      </c>
      <c r="F59" s="555">
        <v>0</v>
      </c>
      <c r="G59" s="555">
        <v>0</v>
      </c>
      <c r="H59" s="555">
        <v>0</v>
      </c>
      <c r="I59" s="555">
        <v>0</v>
      </c>
      <c r="J59" s="555">
        <v>0</v>
      </c>
      <c r="K59" s="555">
        <v>0</v>
      </c>
      <c r="L59" s="667">
        <v>0</v>
      </c>
      <c r="M59" s="12">
        <v>0</v>
      </c>
      <c r="N59" s="12">
        <v>0</v>
      </c>
      <c r="O59" s="12">
        <v>0</v>
      </c>
      <c r="P59" s="300">
        <v>3</v>
      </c>
      <c r="Q59" s="821">
        <v>3</v>
      </c>
      <c r="R59" s="821">
        <v>3</v>
      </c>
      <c r="S59" s="553">
        <v>12</v>
      </c>
      <c r="T59" s="538">
        <v>35</v>
      </c>
      <c r="U59" s="538">
        <v>0</v>
      </c>
      <c r="V59" s="538">
        <v>0</v>
      </c>
      <c r="W59" s="538">
        <v>0</v>
      </c>
      <c r="X59" s="538">
        <v>0</v>
      </c>
      <c r="Y59" s="538">
        <v>0</v>
      </c>
      <c r="Z59" s="538">
        <v>0</v>
      </c>
      <c r="AA59" s="538">
        <v>0</v>
      </c>
      <c r="AB59" s="538">
        <v>0</v>
      </c>
      <c r="AC59" s="538">
        <v>0</v>
      </c>
      <c r="AD59" s="538">
        <v>0</v>
      </c>
      <c r="AE59" s="538">
        <v>0</v>
      </c>
      <c r="AF59" s="538">
        <v>0</v>
      </c>
      <c r="AG59" s="538">
        <v>19</v>
      </c>
      <c r="AH59" s="538">
        <v>19</v>
      </c>
      <c r="AI59" s="538">
        <v>19</v>
      </c>
      <c r="AJ59" s="538">
        <v>19</v>
      </c>
      <c r="AK59" s="538">
        <v>19</v>
      </c>
      <c r="AL59" s="538">
        <v>19</v>
      </c>
      <c r="AM59" s="538">
        <v>19</v>
      </c>
      <c r="AN59" s="538">
        <v>11</v>
      </c>
      <c r="AO59" s="538">
        <v>3</v>
      </c>
      <c r="AP59" s="538">
        <v>11</v>
      </c>
      <c r="AQ59" s="538">
        <v>0</v>
      </c>
      <c r="AR59" s="538">
        <v>4</v>
      </c>
      <c r="AS59" s="538">
        <v>115</v>
      </c>
      <c r="AT59" s="577">
        <v>10</v>
      </c>
      <c r="AU59" s="577">
        <v>10</v>
      </c>
      <c r="AV59" s="577">
        <v>10</v>
      </c>
      <c r="AW59" s="577">
        <v>10</v>
      </c>
      <c r="AX59" s="577">
        <v>10</v>
      </c>
      <c r="AY59" s="538">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029" hidden="1" customWidth="1"/>
    <col min="2" max="2" width="11" style="1029" hidden="1" customWidth="1"/>
    <col min="3" max="3" width="10.5703125" style="1029" hidden="1"/>
    <col min="4" max="4" width="12.85546875" style="1029" hidden="1" customWidth="1"/>
    <col min="5" max="5" width="10" style="1029" hidden="1" customWidth="1"/>
    <col min="6" max="6" width="8.7109375" style="1029" hidden="1" customWidth="1"/>
    <col min="7" max="7" width="7.5703125" style="1029" hidden="1" customWidth="1"/>
    <col min="8" max="8" width="11.42578125" style="1029" hidden="1" customWidth="1"/>
    <col min="9" max="9" width="12" style="1029" hidden="1" customWidth="1"/>
    <col min="10" max="10" width="9.85546875" style="1029" hidden="1" customWidth="1"/>
    <col min="11" max="11" width="11.42578125" style="1029" hidden="1" customWidth="1"/>
    <col min="12" max="12" width="19.140625" style="1029" hidden="1" customWidth="1"/>
    <col min="13" max="14" width="12.28515625" style="1029" hidden="1" customWidth="1"/>
    <col min="15" max="15" width="23.42578125" style="1029" hidden="1" customWidth="1"/>
    <col min="16" max="17" width="3.7109375" style="1029" hidden="1" customWidth="1"/>
    <col min="18" max="18" width="3" style="1029" customWidth="1"/>
    <col min="19" max="19" width="12" style="1029" customWidth="1"/>
    <col min="20" max="20" width="31" style="1029" customWidth="1"/>
    <col min="21" max="21" width="0.140625" style="1029" customWidth="1"/>
    <col min="22" max="25" width="21.7109375" style="1029" hidden="1" customWidth="1"/>
    <col min="26" max="26" width="11.7109375" style="1029" hidden="1" customWidth="1"/>
    <col min="27" max="27" width="3.7109375" style="1029" hidden="1" customWidth="1"/>
    <col min="28" max="28" width="11.7109375" style="1029" hidden="1" customWidth="1"/>
    <col min="29" max="29" width="8.5703125" style="1029" hidden="1" customWidth="1"/>
    <col min="30" max="30" width="3.7109375" style="1029" customWidth="1"/>
    <col min="31" max="32" width="3" style="1029" customWidth="1"/>
    <col min="33" max="33" width="24" style="1029" customWidth="1"/>
    <col min="34" max="34" width="3.7109375" style="1029" customWidth="1"/>
    <col min="35" max="36" width="3" style="1029" customWidth="1"/>
    <col min="37" max="37" width="24" style="1029" customWidth="1"/>
    <col min="38" max="38" width="3.7109375" style="1029" customWidth="1"/>
    <col min="39" max="40" width="3" style="1029" customWidth="1"/>
    <col min="41" max="41" width="18" style="1029" customWidth="1"/>
    <col min="42" max="42" width="3.7109375" style="1029" customWidth="1"/>
    <col min="43" max="44" width="3" style="1029" customWidth="1"/>
    <col min="45" max="45" width="18" style="1029" customWidth="1"/>
    <col min="46" max="49" width="21" style="1029" customWidth="1"/>
    <col min="50" max="50" width="11" style="1029" customWidth="1"/>
    <col min="51" max="51" width="3.7109375" style="1029" customWidth="1"/>
    <col min="52" max="52" width="11" style="1029" customWidth="1"/>
    <col min="53" max="53" width="8.5703125" style="1029" hidden="1" customWidth="1"/>
    <col min="54" max="54" width="4" style="1029" customWidth="1"/>
    <col min="55" max="55" width="115" style="1029" customWidth="1"/>
    <col min="56" max="60" width="10" style="1029" customWidth="1"/>
    <col min="61" max="61" width="10.5703125" style="1029" hidden="1"/>
  </cols>
  <sheetData>
    <row r="1" spans="5:61" ht="22.5" hidden="1" customHeight="1">
      <c r="BI1" s="538" t="s">
        <v>14</v>
      </c>
    </row>
    <row r="2" spans="5:61" ht="21" hidden="1" customHeight="1">
      <c r="E2" s="1194">
        <v>1</v>
      </c>
      <c r="R2" s="310"/>
      <c r="S2" s="832" t="e">
        <f>INDEX(PT_DIFFERENTIATION_NUM_NTAR,MATCH(A2,PT_DIFFERENTIATION_NTAR_ID,0))</f>
        <v>#N/A</v>
      </c>
      <c r="T2" s="795" t="s">
        <v>136</v>
      </c>
      <c r="U2" s="833"/>
      <c r="V2" s="1181"/>
      <c r="W2" s="1181"/>
      <c r="X2" s="1181"/>
      <c r="Y2" s="1181"/>
      <c r="Z2" s="1181"/>
      <c r="AA2" s="1181"/>
      <c r="AB2" s="1181"/>
      <c r="AC2" s="1182"/>
      <c r="AD2" s="1180" t="e">
        <f>INDEX(PT_DIFFERENTIATION_NTAR,MATCH(A2,PT_DIFFERENTIATION_NTAR_ID,0))</f>
        <v>#N/A</v>
      </c>
      <c r="AE2" s="1181"/>
      <c r="AF2" s="1181"/>
      <c r="AG2" s="1181"/>
      <c r="AH2" s="1181"/>
      <c r="AI2" s="1181"/>
      <c r="AJ2" s="1181"/>
      <c r="AK2" s="1181"/>
      <c r="AL2" s="1181"/>
      <c r="AM2" s="1181"/>
      <c r="AN2" s="1181"/>
      <c r="AO2" s="1181"/>
      <c r="AP2" s="1181"/>
      <c r="AQ2" s="1181"/>
      <c r="AR2" s="1181"/>
      <c r="AS2" s="1181"/>
      <c r="AT2" s="1181"/>
      <c r="AU2" s="1181"/>
      <c r="AV2" s="1181"/>
      <c r="AW2" s="1181"/>
      <c r="AX2" s="1181"/>
      <c r="AY2" s="1181"/>
      <c r="AZ2" s="1181"/>
      <c r="BA2" s="1181"/>
      <c r="BB2" s="1182"/>
      <c r="BC2"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2" s="582" t="str">
        <f t="shared" ref="BF2:BF8" si="0">IF(T2="","",T2)</f>
        <v>Наименование тарифа</v>
      </c>
      <c r="BI2" s="538">
        <v>0</v>
      </c>
    </row>
    <row r="3" spans="5:61" ht="21" hidden="1" customHeight="1">
      <c r="E3" s="1195"/>
      <c r="F3" s="1194">
        <v>1</v>
      </c>
      <c r="Q3" s="879"/>
      <c r="R3" s="837"/>
      <c r="S3" s="832" t="e">
        <f>INDEX(PT_DIFFERENTIATION_NUM_TER,MATCH(B3,PT_DIFFERENTIATION_TER_ID,0))</f>
        <v>#N/A</v>
      </c>
      <c r="T3" s="838" t="s">
        <v>408</v>
      </c>
      <c r="U3" s="833"/>
      <c r="V3" s="1181"/>
      <c r="W3" s="1181"/>
      <c r="X3" s="1181"/>
      <c r="Y3" s="1181"/>
      <c r="Z3" s="1181"/>
      <c r="AA3" s="1181"/>
      <c r="AB3" s="1181"/>
      <c r="AC3" s="1182"/>
      <c r="AD3" s="1180" t="e">
        <f>INDEX(PT_DIFFERENTIATION_TER,MATCH(B3,PT_DIFFERENTIATION_TER_ID,0))</f>
        <v>#N/A</v>
      </c>
      <c r="AE3" s="1181"/>
      <c r="AF3" s="1181"/>
      <c r="AG3" s="1181"/>
      <c r="AH3" s="1181"/>
      <c r="AI3" s="1181"/>
      <c r="AJ3" s="1181"/>
      <c r="AK3" s="1181"/>
      <c r="AL3" s="1181"/>
      <c r="AM3" s="1181"/>
      <c r="AN3" s="1181"/>
      <c r="AO3" s="1181"/>
      <c r="AP3" s="1181"/>
      <c r="AQ3" s="1181"/>
      <c r="AR3" s="1181"/>
      <c r="AS3" s="1181"/>
      <c r="AT3" s="1181"/>
      <c r="AU3" s="1181"/>
      <c r="AV3" s="1181"/>
      <c r="AW3" s="1181"/>
      <c r="AX3" s="1181"/>
      <c r="AY3" s="1181"/>
      <c r="AZ3" s="1181"/>
      <c r="BA3" s="1181"/>
      <c r="BB3" s="1182"/>
      <c r="BC3" s="835" t="s">
        <v>409</v>
      </c>
      <c r="BF3" s="582" t="str">
        <f t="shared" si="0"/>
        <v>Территория действия тарифа</v>
      </c>
      <c r="BI3" s="538">
        <v>0</v>
      </c>
    </row>
    <row r="4" spans="5:61" ht="33.75" hidden="1" customHeight="1">
      <c r="E4" s="1195"/>
      <c r="F4" s="1195"/>
      <c r="G4" s="1194">
        <v>1</v>
      </c>
      <c r="Q4" s="879"/>
      <c r="R4" s="837"/>
      <c r="S4" s="832" t="e">
        <f>INDEX(PT_DIFFERENTIATION_NUM_CS,MATCH(C4,PT_DIFFERENTIATION_CS_ID,0))</f>
        <v>#N/A</v>
      </c>
      <c r="T4" s="839" t="s">
        <v>541</v>
      </c>
      <c r="U4" s="833"/>
      <c r="V4" s="1181"/>
      <c r="W4" s="1181"/>
      <c r="X4" s="1181"/>
      <c r="Y4" s="1181"/>
      <c r="Z4" s="1181"/>
      <c r="AA4" s="1181"/>
      <c r="AB4" s="1181"/>
      <c r="AC4" s="1182"/>
      <c r="AD4" s="1180" t="e">
        <f>INDEX(PT_DIFFERENTIATION_CS,MATCH(C4,PT_DIFFERENTIATION_CS_ID,0))</f>
        <v>#N/A</v>
      </c>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1"/>
      <c r="BB4" s="1182"/>
      <c r="BC4" s="835" t="s">
        <v>542</v>
      </c>
      <c r="BF4" s="582" t="str">
        <f t="shared" si="0"/>
        <v>Наименование централизованной системы горячего водоснабжения</v>
      </c>
      <c r="BI4" s="538">
        <v>0</v>
      </c>
    </row>
    <row r="5" spans="5:61" ht="14.25" hidden="1" customHeight="1">
      <c r="E5" s="1195"/>
      <c r="F5" s="1195"/>
      <c r="G5" s="1195"/>
      <c r="H5" s="1194">
        <v>1</v>
      </c>
      <c r="Q5" s="908"/>
      <c r="R5" s="844"/>
      <c r="S5" s="635"/>
      <c r="T5" s="909"/>
      <c r="U5" s="860"/>
      <c r="V5" s="1223"/>
      <c r="W5" s="1223"/>
      <c r="X5" s="1223"/>
      <c r="Y5" s="1223"/>
      <c r="Z5" s="1223"/>
      <c r="AA5" s="1223"/>
      <c r="AB5" s="1223"/>
      <c r="AC5" s="1224"/>
      <c r="AD5" s="1222"/>
      <c r="AE5" s="1223"/>
      <c r="AF5" s="1223"/>
      <c r="AG5" s="1223"/>
      <c r="AH5" s="1223"/>
      <c r="AI5" s="1223"/>
      <c r="AJ5" s="1223"/>
      <c r="AK5" s="1223"/>
      <c r="AL5" s="1223"/>
      <c r="AM5" s="1223"/>
      <c r="AN5" s="1223"/>
      <c r="AO5" s="1223"/>
      <c r="AP5" s="1223"/>
      <c r="AQ5" s="1223"/>
      <c r="AR5" s="1223"/>
      <c r="AS5" s="1223"/>
      <c r="AT5" s="1223"/>
      <c r="AU5" s="1223"/>
      <c r="AV5" s="1223"/>
      <c r="AW5" s="1223"/>
      <c r="AX5" s="1223"/>
      <c r="AY5" s="1223"/>
      <c r="AZ5" s="1223"/>
      <c r="BA5" s="1223"/>
      <c r="BB5" s="1224"/>
      <c r="BC5" s="862" t="s">
        <v>413</v>
      </c>
      <c r="BF5" s="582" t="str">
        <f t="shared" si="0"/>
        <v/>
      </c>
      <c r="BI5" s="577">
        <v>0</v>
      </c>
    </row>
    <row r="6" spans="5:61" ht="14.25" hidden="1" customHeight="1">
      <c r="E6" s="1195"/>
      <c r="F6" s="1195"/>
      <c r="G6" s="1195"/>
      <c r="H6" s="1195"/>
      <c r="I6" s="1192" t="str">
        <f>S5&amp;".1"</f>
        <v>.1</v>
      </c>
      <c r="L6" s="863" t="s">
        <v>414</v>
      </c>
      <c r="P6" s="1193">
        <v>1</v>
      </c>
      <c r="R6" s="842"/>
      <c r="S6" s="635"/>
      <c r="T6" s="859"/>
      <c r="U6" s="860"/>
      <c r="V6" s="1223"/>
      <c r="W6" s="1223"/>
      <c r="X6" s="1223"/>
      <c r="Y6" s="1223"/>
      <c r="Z6" s="1223"/>
      <c r="AA6" s="1223"/>
      <c r="AB6" s="1223"/>
      <c r="AC6" s="1224"/>
      <c r="AD6" s="1222"/>
      <c r="AE6" s="1223"/>
      <c r="AF6" s="1223"/>
      <c r="AG6" s="1223"/>
      <c r="AH6" s="1223"/>
      <c r="AI6" s="1223"/>
      <c r="AJ6" s="1223"/>
      <c r="AK6" s="1223"/>
      <c r="AL6" s="1223"/>
      <c r="AM6" s="1223"/>
      <c r="AN6" s="1223"/>
      <c r="AO6" s="1223"/>
      <c r="AP6" s="1223"/>
      <c r="AQ6" s="1223"/>
      <c r="AR6" s="1223"/>
      <c r="AS6" s="1223"/>
      <c r="AT6" s="1223"/>
      <c r="AU6" s="1223"/>
      <c r="AV6" s="1223"/>
      <c r="AW6" s="1223"/>
      <c r="AX6" s="1223"/>
      <c r="AY6" s="1223"/>
      <c r="AZ6" s="1223"/>
      <c r="BA6" s="1223"/>
      <c r="BB6" s="1224"/>
      <c r="BC6" s="862"/>
      <c r="BF6" s="582" t="str">
        <f t="shared" si="0"/>
        <v/>
      </c>
      <c r="BI6" s="577">
        <v>0</v>
      </c>
    </row>
    <row r="7" spans="5:61" ht="14.25" hidden="1" customHeight="1">
      <c r="E7" s="1195"/>
      <c r="F7" s="1195"/>
      <c r="G7" s="1195"/>
      <c r="H7" s="1195"/>
      <c r="I7" s="1214"/>
      <c r="J7" s="1192" t="str">
        <f>S5&amp;".1"</f>
        <v>.1</v>
      </c>
      <c r="P7" s="1031"/>
      <c r="Q7" s="1193">
        <v>1</v>
      </c>
      <c r="R7" s="844"/>
      <c r="S7" s="635"/>
      <c r="T7" s="880"/>
      <c r="U7" s="860"/>
      <c r="V7" s="1223"/>
      <c r="W7" s="1223"/>
      <c r="X7" s="1223"/>
      <c r="Y7" s="1223"/>
      <c r="Z7" s="1223"/>
      <c r="AA7" s="1223"/>
      <c r="AB7" s="1223"/>
      <c r="AC7" s="1224"/>
      <c r="AD7" s="1222"/>
      <c r="AE7" s="1223"/>
      <c r="AF7" s="1223"/>
      <c r="AG7" s="1223"/>
      <c r="AH7" s="1223"/>
      <c r="AI7" s="1223"/>
      <c r="AJ7" s="1223"/>
      <c r="AK7" s="1223"/>
      <c r="AL7" s="1223"/>
      <c r="AM7" s="1223"/>
      <c r="AN7" s="1223"/>
      <c r="AO7" s="1223"/>
      <c r="AP7" s="1223"/>
      <c r="AQ7" s="1223"/>
      <c r="AR7" s="1223"/>
      <c r="AS7" s="1223"/>
      <c r="AT7" s="1223"/>
      <c r="AU7" s="1223"/>
      <c r="AV7" s="1223"/>
      <c r="AW7" s="1223"/>
      <c r="AX7" s="1223"/>
      <c r="AY7" s="1223"/>
      <c r="AZ7" s="1223"/>
      <c r="BA7" s="1223"/>
      <c r="BB7" s="1224"/>
      <c r="BC7" s="862"/>
      <c r="BF7" s="582" t="str">
        <f t="shared" si="0"/>
        <v/>
      </c>
      <c r="BI7" s="577">
        <v>0</v>
      </c>
    </row>
    <row r="8" spans="5:61" ht="11.25" hidden="1" customHeight="1">
      <c r="E8" s="1195"/>
      <c r="F8" s="1195"/>
      <c r="G8" s="1195"/>
      <c r="H8" s="1195"/>
      <c r="I8" s="1214"/>
      <c r="J8" s="1214"/>
      <c r="K8" s="1192" t="e">
        <f>S4&amp;".1"</f>
        <v>#N/A</v>
      </c>
      <c r="P8" s="1031"/>
      <c r="Q8" s="1031"/>
      <c r="R8" s="1257">
        <v>1</v>
      </c>
      <c r="S8" s="1251" t="e">
        <f>$K8</f>
        <v>#N/A</v>
      </c>
      <c r="T8" s="1270"/>
      <c r="U8" s="833"/>
      <c r="V8" s="311"/>
      <c r="W8" s="313"/>
      <c r="X8" s="311"/>
      <c r="Y8" s="313"/>
      <c r="Z8" s="203"/>
      <c r="AA8" s="56" t="s">
        <v>61</v>
      </c>
      <c r="AB8" s="203"/>
      <c r="AC8" s="56" t="s">
        <v>61</v>
      </c>
      <c r="AD8" s="1134" t="s">
        <v>61</v>
      </c>
      <c r="AE8" s="1236"/>
      <c r="AF8" s="1150">
        <v>1</v>
      </c>
      <c r="AG8" s="1273"/>
      <c r="AH8" s="1058" t="s">
        <v>61</v>
      </c>
      <c r="AI8" s="1236"/>
      <c r="AJ8" s="1150">
        <v>1</v>
      </c>
      <c r="AK8" s="1237" t="s">
        <v>22</v>
      </c>
      <c r="AL8" s="1058" t="s">
        <v>61</v>
      </c>
      <c r="AM8" s="1141"/>
      <c r="AN8" s="1150">
        <v>1</v>
      </c>
      <c r="AO8" s="1267"/>
      <c r="AP8" s="1268" t="s">
        <v>61</v>
      </c>
      <c r="AQ8" s="882"/>
      <c r="AR8" s="92">
        <v>1</v>
      </c>
      <c r="AS8" s="14" t="s">
        <v>22</v>
      </c>
      <c r="AT8" s="311"/>
      <c r="AU8" s="313"/>
      <c r="AV8" s="311"/>
      <c r="AW8" s="313"/>
      <c r="AX8" s="203"/>
      <c r="AY8" s="56" t="s">
        <v>61</v>
      </c>
      <c r="AZ8" s="203"/>
      <c r="BA8" s="56" t="s">
        <v>61</v>
      </c>
      <c r="BB8" s="331"/>
      <c r="BC8" s="1189" t="s">
        <v>512</v>
      </c>
      <c r="BF8" s="582" t="str">
        <f t="shared" si="0"/>
        <v/>
      </c>
      <c r="BI8" s="538">
        <v>0</v>
      </c>
    </row>
    <row r="9" spans="5:61" ht="11.25" hidden="1" customHeight="1">
      <c r="E9" s="1195"/>
      <c r="F9" s="1195"/>
      <c r="G9" s="1195"/>
      <c r="H9" s="1195"/>
      <c r="I9" s="1214"/>
      <c r="J9" s="1214"/>
      <c r="K9" s="1192"/>
      <c r="P9" s="1031"/>
      <c r="Q9" s="1031"/>
      <c r="R9" s="1257"/>
      <c r="S9" s="1252"/>
      <c r="T9" s="1271"/>
      <c r="U9" s="833"/>
      <c r="V9" s="344"/>
      <c r="W9" s="351"/>
      <c r="X9" s="344"/>
      <c r="Y9" s="351"/>
      <c r="Z9" s="344"/>
      <c r="AA9" s="344"/>
      <c r="AB9" s="344"/>
      <c r="AC9" s="344"/>
      <c r="AD9" s="1135"/>
      <c r="AE9" s="1236"/>
      <c r="AF9" s="1150"/>
      <c r="AG9" s="1273"/>
      <c r="AH9" s="1058"/>
      <c r="AI9" s="1236"/>
      <c r="AJ9" s="1150"/>
      <c r="AK9" s="1237"/>
      <c r="AL9" s="1058"/>
      <c r="AM9" s="1146"/>
      <c r="AN9" s="1150"/>
      <c r="AO9" s="1267"/>
      <c r="AP9" s="1269"/>
      <c r="AQ9" s="264"/>
      <c r="AR9" s="49"/>
      <c r="AS9" s="49" t="s">
        <v>513</v>
      </c>
      <c r="AT9" s="344"/>
      <c r="AU9" s="351"/>
      <c r="AV9" s="344"/>
      <c r="AW9" s="351"/>
      <c r="AX9" s="344"/>
      <c r="AY9" s="344"/>
      <c r="AZ9" s="344"/>
      <c r="BA9" s="344"/>
      <c r="BB9" s="350"/>
      <c r="BC9" s="1190"/>
      <c r="BI9" s="538">
        <v>0</v>
      </c>
    </row>
    <row r="10" spans="5:61" ht="11.25" hidden="1" customHeight="1">
      <c r="E10" s="1195"/>
      <c r="F10" s="1195"/>
      <c r="G10" s="1195"/>
      <c r="H10" s="1195"/>
      <c r="I10" s="1214"/>
      <c r="J10" s="1214"/>
      <c r="K10" s="1192"/>
      <c r="P10" s="1031"/>
      <c r="Q10" s="1031"/>
      <c r="R10" s="1257"/>
      <c r="S10" s="1252"/>
      <c r="T10" s="1271"/>
      <c r="U10" s="833"/>
      <c r="V10" s="344"/>
      <c r="W10" s="351"/>
      <c r="X10" s="344"/>
      <c r="Y10" s="351"/>
      <c r="Z10" s="344"/>
      <c r="AA10" s="344"/>
      <c r="AB10" s="344"/>
      <c r="AC10" s="344"/>
      <c r="AD10" s="1135"/>
      <c r="AE10" s="1236"/>
      <c r="AF10" s="1150"/>
      <c r="AG10" s="1273"/>
      <c r="AH10" s="1058"/>
      <c r="AI10" s="1236"/>
      <c r="AJ10" s="1150"/>
      <c r="AK10" s="1237"/>
      <c r="AL10" s="1058"/>
      <c r="AM10" s="264"/>
      <c r="AN10" s="303"/>
      <c r="AO10" s="303" t="s">
        <v>514</v>
      </c>
      <c r="AP10" s="49"/>
      <c r="AQ10" s="49"/>
      <c r="AR10" s="49"/>
      <c r="AS10" s="344"/>
      <c r="AT10" s="344"/>
      <c r="AU10" s="351"/>
      <c r="AV10" s="344"/>
      <c r="AW10" s="351"/>
      <c r="AX10" s="344"/>
      <c r="AY10" s="344"/>
      <c r="AZ10" s="344"/>
      <c r="BA10" s="344"/>
      <c r="BB10" s="350"/>
      <c r="BC10" s="1190"/>
      <c r="BI10" s="538">
        <v>0</v>
      </c>
    </row>
    <row r="11" spans="5:61" ht="11.25" hidden="1" customHeight="1">
      <c r="E11" s="1195"/>
      <c r="F11" s="1195"/>
      <c r="G11" s="1195"/>
      <c r="H11" s="1195"/>
      <c r="I11" s="1214"/>
      <c r="J11" s="1214"/>
      <c r="K11" s="1192"/>
      <c r="P11" s="1031"/>
      <c r="Q11" s="1031"/>
      <c r="R11" s="1257"/>
      <c r="S11" s="1252"/>
      <c r="T11" s="1271"/>
      <c r="U11" s="833"/>
      <c r="V11" s="344"/>
      <c r="W11" s="351"/>
      <c r="X11" s="344"/>
      <c r="Y11" s="351"/>
      <c r="Z11" s="344"/>
      <c r="AA11" s="344"/>
      <c r="AB11" s="344"/>
      <c r="AC11" s="344"/>
      <c r="AD11" s="1135"/>
      <c r="AE11" s="1236"/>
      <c r="AF11" s="1150"/>
      <c r="AG11" s="1273"/>
      <c r="AH11" s="1058"/>
      <c r="AI11" s="353"/>
      <c r="AJ11" s="44"/>
      <c r="AK11" s="120" t="s">
        <v>515</v>
      </c>
      <c r="AL11" s="344"/>
      <c r="AM11" s="344"/>
      <c r="AN11" s="344"/>
      <c r="AO11" s="344"/>
      <c r="AP11" s="344"/>
      <c r="AQ11" s="344"/>
      <c r="AR11" s="344"/>
      <c r="AS11" s="344"/>
      <c r="AT11" s="344"/>
      <c r="AU11" s="351"/>
      <c r="AV11" s="344"/>
      <c r="AW11" s="351"/>
      <c r="AX11" s="344"/>
      <c r="AY11" s="344"/>
      <c r="AZ11" s="344"/>
      <c r="BA11" s="344"/>
      <c r="BB11" s="350"/>
      <c r="BC11" s="1190"/>
      <c r="BI11" s="538">
        <v>0</v>
      </c>
    </row>
    <row r="12" spans="5:61" ht="11.25" hidden="1" customHeight="1">
      <c r="E12" s="1195"/>
      <c r="F12" s="1195"/>
      <c r="G12" s="1195"/>
      <c r="H12" s="1195"/>
      <c r="I12" s="1214"/>
      <c r="J12" s="1214"/>
      <c r="K12" s="1192"/>
      <c r="P12" s="1031"/>
      <c r="Q12" s="1031"/>
      <c r="R12" s="1257"/>
      <c r="S12" s="1253"/>
      <c r="T12" s="1272"/>
      <c r="U12" s="833"/>
      <c r="V12" s="344"/>
      <c r="W12" s="345" t="str">
        <f>Z8&amp;"-"&amp;AB8</f>
        <v>-</v>
      </c>
      <c r="X12" s="344"/>
      <c r="Y12" s="345" t="str">
        <f>AB8&amp;"-"&amp;AD8</f>
        <v>-да</v>
      </c>
      <c r="Z12" s="344"/>
      <c r="AA12" s="344"/>
      <c r="AB12" s="344"/>
      <c r="AC12" s="344"/>
      <c r="AD12" s="1072"/>
      <c r="AE12" s="355"/>
      <c r="AF12" s="356"/>
      <c r="AG12" s="49" t="s">
        <v>516</v>
      </c>
      <c r="AH12" s="344"/>
      <c r="AI12" s="344"/>
      <c r="AJ12" s="344"/>
      <c r="AK12" s="344"/>
      <c r="AL12" s="344"/>
      <c r="AM12" s="344"/>
      <c r="AN12" s="344"/>
      <c r="AO12" s="344"/>
      <c r="AP12" s="344"/>
      <c r="AQ12" s="344"/>
      <c r="AR12" s="344"/>
      <c r="AS12" s="344"/>
      <c r="AT12" s="344"/>
      <c r="AU12" s="345" t="str">
        <f>AX8&amp;"-"&amp;AZ8</f>
        <v>-</v>
      </c>
      <c r="AV12" s="344"/>
      <c r="AW12" s="345" t="str">
        <f>AZ8&amp;"-"&amp;BB8</f>
        <v>-</v>
      </c>
      <c r="AX12" s="344"/>
      <c r="AY12" s="344"/>
      <c r="AZ12" s="344"/>
      <c r="BA12" s="344"/>
      <c r="BB12" s="354" t="str">
        <f>BE8&amp;"-"&amp;BG8</f>
        <v>-</v>
      </c>
      <c r="BC12" s="1190"/>
      <c r="BF12" s="582" t="str">
        <f t="shared" ref="BF12:BF18" si="1">IF(T12="","",T12)</f>
        <v/>
      </c>
      <c r="BI12" s="538">
        <v>0</v>
      </c>
    </row>
    <row r="13" spans="5:61" ht="11.25" hidden="1" customHeight="1">
      <c r="E13" s="1195"/>
      <c r="F13" s="1195"/>
      <c r="G13" s="1195"/>
      <c r="H13" s="1195"/>
      <c r="I13" s="1214"/>
      <c r="J13" s="1192"/>
      <c r="P13" s="1031"/>
      <c r="Q13" s="1031"/>
      <c r="R13" s="842"/>
      <c r="S13" s="315"/>
      <c r="T13" s="318" t="s">
        <v>479</v>
      </c>
      <c r="U13" s="52"/>
      <c r="V13" s="52"/>
      <c r="W13" s="52"/>
      <c r="X13" s="52"/>
      <c r="Y13" s="52"/>
      <c r="Z13" s="52"/>
      <c r="AA13" s="52"/>
      <c r="AB13" s="52"/>
      <c r="AC13" s="52"/>
      <c r="AD13" s="361"/>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317"/>
      <c r="BC13" s="1191"/>
      <c r="BF13" s="582" t="str">
        <f t="shared" si="1"/>
        <v>Добавить строку</v>
      </c>
      <c r="BI13" s="538">
        <v>0</v>
      </c>
    </row>
    <row r="14" spans="5:61" ht="14.25" hidden="1" customHeight="1">
      <c r="E14" s="1195"/>
      <c r="F14" s="1195"/>
      <c r="G14" s="1195"/>
      <c r="H14" s="1195"/>
      <c r="I14" s="1192"/>
      <c r="P14" s="1031"/>
      <c r="R14" s="842"/>
      <c r="S14" s="334"/>
      <c r="T14" s="335"/>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c r="AT14" s="336"/>
      <c r="AU14" s="336"/>
      <c r="AV14" s="336"/>
      <c r="AW14" s="336"/>
      <c r="AX14" s="336"/>
      <c r="AY14" s="336"/>
      <c r="AZ14" s="336"/>
      <c r="BA14" s="336"/>
      <c r="BB14" s="336"/>
      <c r="BC14" s="337"/>
      <c r="BF14" s="582" t="str">
        <f t="shared" si="1"/>
        <v/>
      </c>
      <c r="BI14" s="577">
        <v>0</v>
      </c>
    </row>
    <row r="15" spans="5:61" ht="14.25" hidden="1" customHeight="1">
      <c r="E15" s="1195"/>
      <c r="F15" s="1195"/>
      <c r="G15" s="1195"/>
      <c r="H15" s="1194"/>
      <c r="R15" s="357"/>
      <c r="S15" s="334"/>
      <c r="T15" s="335"/>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7"/>
      <c r="BF15" s="582" t="str">
        <f t="shared" si="1"/>
        <v/>
      </c>
      <c r="BI15" s="577">
        <v>0</v>
      </c>
    </row>
    <row r="16" spans="5:61" ht="14.25" hidden="1" customHeight="1">
      <c r="E16" s="1195"/>
      <c r="F16" s="1195"/>
      <c r="G16" s="1194"/>
      <c r="BF16" s="582" t="str">
        <f t="shared" si="1"/>
        <v/>
      </c>
      <c r="BI16" s="577">
        <v>0</v>
      </c>
    </row>
    <row r="17" spans="5:61" ht="14.25" hidden="1" customHeight="1">
      <c r="E17" s="1195"/>
      <c r="F17" s="1194"/>
      <c r="T17" s="326" t="s">
        <v>426</v>
      </c>
      <c r="BF17" s="582" t="str">
        <f t="shared" si="1"/>
        <v>Добавить централизованную систему для дифференциации</v>
      </c>
      <c r="BI17" s="577">
        <v>0</v>
      </c>
    </row>
    <row r="18" spans="5:61" ht="14.25" hidden="1" customHeight="1">
      <c r="E18" s="1194"/>
      <c r="T18" s="326" t="s">
        <v>427</v>
      </c>
      <c r="BF18" s="582" t="str">
        <f t="shared" si="1"/>
        <v>Добавить территорию для дифференциации</v>
      </c>
      <c r="BI18" s="577">
        <v>0</v>
      </c>
    </row>
    <row r="19" spans="5:61" ht="14.25" hidden="1" customHeight="1">
      <c r="BI19" s="538">
        <v>0</v>
      </c>
    </row>
    <row r="20" spans="5:61" ht="14.25" hidden="1" customHeight="1">
      <c r="AD20" s="358" t="s">
        <v>19</v>
      </c>
      <c r="AF20" s="358">
        <v>1</v>
      </c>
      <c r="AH20" s="358" t="s">
        <v>19</v>
      </c>
      <c r="AJ20" s="358">
        <v>1</v>
      </c>
      <c r="AL20" s="358" t="s">
        <v>19</v>
      </c>
      <c r="AN20" s="358">
        <v>1</v>
      </c>
      <c r="AP20" s="358" t="s">
        <v>19</v>
      </c>
      <c r="AR20" s="358">
        <v>1</v>
      </c>
      <c r="AT20" s="312"/>
      <c r="AU20" s="333"/>
      <c r="AV20" s="312"/>
      <c r="AW20" s="333"/>
      <c r="AX20" s="360"/>
      <c r="AY20" s="285" t="s">
        <v>61</v>
      </c>
      <c r="AZ20" s="360"/>
      <c r="BA20" s="285" t="s">
        <v>61</v>
      </c>
      <c r="BI20" s="538">
        <v>0</v>
      </c>
    </row>
    <row r="21" spans="5:61" ht="14.25" hidden="1" customHeight="1">
      <c r="BI21" s="538">
        <v>0</v>
      </c>
    </row>
    <row r="22" spans="5:61" ht="14.25" hidden="1" customHeight="1">
      <c r="O22" s="328" t="s">
        <v>428</v>
      </c>
      <c r="Z22" s="348"/>
      <c r="AB22" s="348"/>
      <c r="AX22" s="348"/>
      <c r="AZ22" s="348"/>
      <c r="BI22" s="538">
        <v>0</v>
      </c>
    </row>
    <row r="23" spans="5:61" ht="14.25" hidden="1" customHeight="1">
      <c r="BI23" s="538">
        <v>0</v>
      </c>
    </row>
    <row r="24" spans="5:61" ht="14.25" hidden="1" customHeight="1">
      <c r="O24" s="884" t="s">
        <v>429</v>
      </c>
      <c r="AA24" s="884" t="s">
        <v>431</v>
      </c>
      <c r="AC24" s="884" t="s">
        <v>432</v>
      </c>
      <c r="AD24" s="884" t="s">
        <v>480</v>
      </c>
      <c r="AH24" s="884" t="s">
        <v>480</v>
      </c>
      <c r="AK24" s="884" t="s">
        <v>517</v>
      </c>
      <c r="AL24" s="884" t="s">
        <v>480</v>
      </c>
      <c r="AP24" s="884" t="s">
        <v>480</v>
      </c>
      <c r="AY24" s="884" t="s">
        <v>431</v>
      </c>
      <c r="BA24" s="884" t="s">
        <v>432</v>
      </c>
      <c r="BI24" s="884">
        <v>0</v>
      </c>
    </row>
    <row r="25" spans="5:61" ht="14.25" hidden="1" customHeight="1">
      <c r="BI25" s="538">
        <v>0</v>
      </c>
    </row>
    <row r="26" spans="5:61" ht="14.25" hidden="1" customHeight="1">
      <c r="BI26" s="538">
        <v>0</v>
      </c>
    </row>
    <row r="27" spans="5:61" ht="14.65" customHeight="1">
      <c r="Q27" s="885"/>
      <c r="R27" s="756"/>
      <c r="S27" s="847"/>
      <c r="T27" s="556"/>
      <c r="U27" s="556"/>
      <c r="BI27" s="538">
        <v>14</v>
      </c>
    </row>
    <row r="28" spans="5:61" ht="14.65" customHeight="1">
      <c r="Q28" s="885"/>
      <c r="R28" s="756"/>
      <c r="S28" s="117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178"/>
      <c r="U28" s="1178"/>
      <c r="V28" s="1178"/>
      <c r="W28" s="1178"/>
      <c r="X28" s="1178"/>
      <c r="Y28" s="1178"/>
      <c r="Z28" s="1178"/>
      <c r="AA28" s="1178"/>
      <c r="AB28" s="1178"/>
      <c r="AC28" s="1178"/>
      <c r="AD28" s="1178"/>
      <c r="AE28" s="1178"/>
      <c r="AF28" s="1178"/>
      <c r="AG28" s="1178"/>
      <c r="AH28" s="1178"/>
      <c r="AI28" s="1178"/>
      <c r="AJ28" s="1178"/>
      <c r="AK28" s="1178"/>
      <c r="AL28" s="1178"/>
      <c r="AM28" s="1178"/>
      <c r="AN28" s="1178"/>
      <c r="AO28" s="1178"/>
      <c r="AP28" s="1178"/>
      <c r="AQ28" s="1178"/>
      <c r="AR28" s="1178"/>
      <c r="AS28" s="1178"/>
      <c r="AT28" s="1178"/>
      <c r="AU28" s="1178"/>
      <c r="AV28" s="1178"/>
      <c r="AW28" s="1178"/>
      <c r="AX28" s="1178"/>
      <c r="AY28" s="1178"/>
      <c r="AZ28" s="1178"/>
      <c r="BI28" s="538">
        <v>14</v>
      </c>
    </row>
    <row r="29" spans="5:61" ht="14.65" customHeight="1">
      <c r="Q29" s="885"/>
      <c r="R29" s="756"/>
      <c r="S29" s="1127" t="str">
        <f>IF(org=0,"Не определено",org)</f>
        <v>АО "НИЖЕГОРОДСКИЙ ВОДОКАНАЛ"</v>
      </c>
      <c r="T29" s="1127"/>
      <c r="U29" s="1127"/>
      <c r="V29" s="1127"/>
      <c r="W29" s="1127"/>
      <c r="X29" s="1127"/>
      <c r="Y29" s="1127"/>
      <c r="Z29" s="1127"/>
      <c r="AA29" s="1127"/>
      <c r="AB29" s="1127"/>
      <c r="AC29" s="1127"/>
      <c r="AD29" s="1127"/>
      <c r="AE29" s="1127"/>
      <c r="AF29" s="1127"/>
      <c r="AG29" s="1127"/>
      <c r="AH29" s="1127"/>
      <c r="AI29" s="1127"/>
      <c r="AJ29" s="1127"/>
      <c r="AK29" s="1127"/>
      <c r="AL29" s="1127"/>
      <c r="AM29" s="1127"/>
      <c r="AN29" s="1127"/>
      <c r="AO29" s="1127"/>
      <c r="AP29" s="1127"/>
      <c r="AQ29" s="1127"/>
      <c r="AR29" s="1127"/>
      <c r="AS29" s="1127"/>
      <c r="AT29" s="1127"/>
      <c r="AU29" s="1127"/>
      <c r="AV29" s="1127"/>
      <c r="AW29" s="1127"/>
      <c r="AX29" s="1127"/>
      <c r="AY29" s="1127"/>
      <c r="AZ29" s="1127"/>
      <c r="BI29" s="538">
        <v>14</v>
      </c>
    </row>
    <row r="30" spans="5:61" ht="14.25" hidden="1" customHeight="1">
      <c r="Q30" s="885"/>
      <c r="R30" s="756"/>
      <c r="S30" s="847"/>
      <c r="T30" s="556"/>
      <c r="U30" s="556"/>
      <c r="V30" s="826"/>
      <c r="W30" s="826"/>
      <c r="X30" s="826"/>
      <c r="Y30" s="826"/>
      <c r="Z30" s="826"/>
      <c r="AA30" s="826"/>
      <c r="AB30" s="826"/>
      <c r="AC30" s="826"/>
      <c r="AD30" s="826"/>
      <c r="AE30" s="826"/>
      <c r="AF30" s="826"/>
      <c r="AG30" s="826"/>
      <c r="AH30" s="826"/>
      <c r="AI30" s="826"/>
      <c r="AJ30" s="826"/>
      <c r="AK30" s="826"/>
      <c r="AL30" s="826"/>
      <c r="AM30" s="826"/>
      <c r="AN30" s="826"/>
      <c r="AO30" s="826"/>
      <c r="AP30" s="826"/>
      <c r="AQ30" s="826"/>
      <c r="AR30" s="826"/>
      <c r="AS30" s="826"/>
      <c r="AT30" s="826"/>
      <c r="AU30" s="826"/>
      <c r="AV30" s="826"/>
      <c r="AW30" s="826"/>
      <c r="AX30" s="826"/>
      <c r="AY30" s="826"/>
      <c r="AZ30" s="826"/>
      <c r="BA30" s="826"/>
      <c r="BI30" s="538">
        <v>0</v>
      </c>
    </row>
    <row r="31" spans="5:61" ht="25.5" hidden="1" customHeight="1">
      <c r="S31" s="1186" t="s">
        <v>41</v>
      </c>
      <c r="T31" s="1186"/>
      <c r="U31" s="849"/>
      <c r="V31" s="1187" t="str">
        <f>IF(TITLE_NAME_OR_PR_CHANGE="",IF(TITLE_NAME_OR_PR="","",TITLE_NAME_OR_PR),TITLE_NAME_OR_PR_CHANGE)</f>
        <v/>
      </c>
      <c r="W31" s="1187"/>
      <c r="X31" s="1187"/>
      <c r="Y31" s="1187"/>
      <c r="Z31" s="1187"/>
      <c r="AA31" s="1187"/>
      <c r="AB31" s="1187"/>
      <c r="AD31" s="1187" t="str">
        <f>IF(TITLE_NAME_OR_PR_CHANGE="",IF(TITLE_NAME_OR_PR="","",TITLE_NAME_OR_PR),TITLE_NAME_OR_PR_CHANGE)</f>
        <v/>
      </c>
      <c r="AE31" s="1187"/>
      <c r="AF31" s="1187"/>
      <c r="AG31" s="1187"/>
      <c r="AH31" s="1187"/>
      <c r="AI31" s="1187"/>
      <c r="AJ31" s="1187"/>
      <c r="AK31" s="1187"/>
      <c r="AL31" s="1187"/>
      <c r="AM31" s="1187"/>
      <c r="AN31" s="1187"/>
      <c r="AO31" s="1187"/>
      <c r="AP31" s="1187"/>
      <c r="AQ31" s="1187"/>
      <c r="AR31" s="1187"/>
      <c r="AS31" s="1187"/>
      <c r="AT31" s="1187"/>
      <c r="AU31" s="1187"/>
      <c r="AV31" s="1187"/>
      <c r="AW31" s="1187"/>
      <c r="AX31" s="1187"/>
      <c r="AY31" s="1187"/>
      <c r="AZ31" s="1187"/>
      <c r="BI31" s="592">
        <v>0</v>
      </c>
    </row>
    <row r="32" spans="5:61" ht="18.75" hidden="1" customHeight="1">
      <c r="S32" s="1186" t="s">
        <v>434</v>
      </c>
      <c r="T32" s="1186"/>
      <c r="U32" s="849"/>
      <c r="V32" s="1196" t="str">
        <f>IF(TITLE_DATE_PR_CHANGE="",IF(TITLE_DATE_PR="","",TITLE_DATE_PR),TITLE_DATE_PR_CHANGE)</f>
        <v/>
      </c>
      <c r="W32" s="1196"/>
      <c r="X32" s="1196"/>
      <c r="Y32" s="1196"/>
      <c r="Z32" s="1196"/>
      <c r="AA32" s="1196"/>
      <c r="AB32" s="1196"/>
      <c r="AD32" s="1196" t="str">
        <f>IF(TITLE_DATE_PR_CHANGE="",IF(TITLE_DATE_PR="","",TITLE_DATE_PR),TITLE_DATE_PR_CHANGE)</f>
        <v/>
      </c>
      <c r="AE32" s="1196"/>
      <c r="AF32" s="1196"/>
      <c r="AG32" s="1196"/>
      <c r="AH32" s="1196"/>
      <c r="AI32" s="1196"/>
      <c r="AJ32" s="1196"/>
      <c r="AK32" s="1196"/>
      <c r="AL32" s="1196"/>
      <c r="AM32" s="1196"/>
      <c r="AN32" s="1196"/>
      <c r="AO32" s="1196"/>
      <c r="AP32" s="1196"/>
      <c r="AQ32" s="1196"/>
      <c r="AR32" s="1196"/>
      <c r="AS32" s="1196"/>
      <c r="AT32" s="1196"/>
      <c r="AU32" s="1196"/>
      <c r="AV32" s="1196"/>
      <c r="AW32" s="1196"/>
      <c r="AX32" s="1196"/>
      <c r="AY32" s="1196"/>
      <c r="AZ32" s="1196"/>
      <c r="BI32" s="592">
        <v>0</v>
      </c>
    </row>
    <row r="33" spans="1:61" ht="18.75" hidden="1" customHeight="1">
      <c r="S33" s="1186" t="s">
        <v>435</v>
      </c>
      <c r="T33" s="1186"/>
      <c r="U33" s="849"/>
      <c r="V33" s="1187" t="str">
        <f>IF(TITLE_NUMBER_PR_CHANGE="",IF(TITLE_NUMBER_PR="","",TITLE_NUMBER_PR),TITLE_NUMBER_PR_CHANGE)</f>
        <v/>
      </c>
      <c r="W33" s="1187"/>
      <c r="X33" s="1187"/>
      <c r="Y33" s="1187"/>
      <c r="Z33" s="1187"/>
      <c r="AA33" s="1187"/>
      <c r="AB33" s="1187"/>
      <c r="AD33" s="1187" t="str">
        <f>IF(TITLE_NUMBER_PR_CHANGE="",IF(TITLE_NUMBER_PR="","",TITLE_NUMBER_PR),TITLE_NUMBER_PR_CHANGE)</f>
        <v/>
      </c>
      <c r="AE33" s="1187"/>
      <c r="AF33" s="1187"/>
      <c r="AG33" s="1187"/>
      <c r="AH33" s="1187"/>
      <c r="AI33" s="1187"/>
      <c r="AJ33" s="1187"/>
      <c r="AK33" s="1187"/>
      <c r="AL33" s="1187"/>
      <c r="AM33" s="1187"/>
      <c r="AN33" s="1187"/>
      <c r="AO33" s="1187"/>
      <c r="AP33" s="1187"/>
      <c r="AQ33" s="1187"/>
      <c r="AR33" s="1187"/>
      <c r="AS33" s="1187"/>
      <c r="AT33" s="1187"/>
      <c r="AU33" s="1187"/>
      <c r="AV33" s="1187"/>
      <c r="AW33" s="1187"/>
      <c r="AX33" s="1187"/>
      <c r="AY33" s="1187"/>
      <c r="AZ33" s="1187"/>
      <c r="BI33" s="592">
        <v>0</v>
      </c>
    </row>
    <row r="34" spans="1:61" ht="18.75" hidden="1" customHeight="1">
      <c r="S34" s="1186" t="s">
        <v>42</v>
      </c>
      <c r="T34" s="1186"/>
      <c r="U34" s="849"/>
      <c r="V34" s="1187" t="str">
        <f>IF(TITLE_IST_PUB_CHANGE="",IF(TITLE_IST_PUB="","",TITLE_IST_PUB),TITLE_IST_PUB_CHANGE)</f>
        <v/>
      </c>
      <c r="W34" s="1187"/>
      <c r="X34" s="1187"/>
      <c r="Y34" s="1187"/>
      <c r="Z34" s="1187"/>
      <c r="AA34" s="1187"/>
      <c r="AB34" s="1187"/>
      <c r="AD34" s="1187" t="str">
        <f>IF(TITLE_IST_PUB_CHANGE="",IF(TITLE_IST_PUB="","",TITLE_IST_PUB),TITLE_IST_PUB_CHANGE)</f>
        <v/>
      </c>
      <c r="AE34" s="1187"/>
      <c r="AF34" s="1187"/>
      <c r="AG34" s="1187"/>
      <c r="AH34" s="1187"/>
      <c r="AI34" s="1187"/>
      <c r="AJ34" s="1187"/>
      <c r="AK34" s="1187"/>
      <c r="AL34" s="1187"/>
      <c r="AM34" s="1187"/>
      <c r="AN34" s="1187"/>
      <c r="AO34" s="1187"/>
      <c r="AP34" s="1187"/>
      <c r="AQ34" s="1187"/>
      <c r="AR34" s="1187"/>
      <c r="AS34" s="1187"/>
      <c r="AT34" s="1187"/>
      <c r="AU34" s="1187"/>
      <c r="AV34" s="1187"/>
      <c r="AW34" s="1187"/>
      <c r="AX34" s="1187"/>
      <c r="AY34" s="1187"/>
      <c r="AZ34" s="1187"/>
      <c r="BI34" s="592">
        <v>0</v>
      </c>
    </row>
    <row r="35" spans="1:61" ht="14.25" hidden="1" customHeight="1">
      <c r="Q35" s="885"/>
      <c r="R35" s="756"/>
      <c r="S35" s="847"/>
      <c r="T35" s="556"/>
      <c r="U35" s="556"/>
      <c r="V35" s="826"/>
      <c r="W35" s="826"/>
      <c r="X35" s="826"/>
      <c r="Y35" s="826"/>
      <c r="Z35" s="826"/>
      <c r="AA35" s="826"/>
      <c r="AB35" s="826"/>
      <c r="AC35" s="826"/>
      <c r="AD35" s="826"/>
      <c r="AE35" s="826"/>
      <c r="AF35" s="826"/>
      <c r="AG35" s="826"/>
      <c r="AH35" s="826"/>
      <c r="AI35" s="826"/>
      <c r="AJ35" s="826"/>
      <c r="AK35" s="826"/>
      <c r="AL35" s="826"/>
      <c r="AM35" s="826"/>
      <c r="AN35" s="826"/>
      <c r="AO35" s="826"/>
      <c r="AP35" s="826"/>
      <c r="AQ35" s="826"/>
      <c r="AR35" s="826"/>
      <c r="AS35" s="826"/>
      <c r="AT35" s="826"/>
      <c r="AU35" s="826"/>
      <c r="AV35" s="826"/>
      <c r="AW35" s="826"/>
      <c r="AX35" s="826"/>
      <c r="AY35" s="826"/>
      <c r="AZ35" s="826"/>
      <c r="BA35" s="826"/>
      <c r="BI35" s="538">
        <v>0</v>
      </c>
    </row>
    <row r="36" spans="1:61" ht="18.75" hidden="1" customHeight="1">
      <c r="S36" s="1186" t="s">
        <v>434</v>
      </c>
      <c r="T36" s="1186"/>
      <c r="U36" s="849"/>
      <c r="V36" s="1196" t="str">
        <f>IF(TITLE_DATE_PR_CHANGE="",IF(TITLE_DATE_PR="","",TITLE_DATE_PR),TITLE_DATE_PR_CHANGE)</f>
        <v/>
      </c>
      <c r="W36" s="1196"/>
      <c r="X36" s="1196"/>
      <c r="Y36" s="1196"/>
      <c r="Z36" s="1196"/>
      <c r="AA36" s="1196"/>
      <c r="AB36" s="1196"/>
      <c r="AD36" s="1196" t="str">
        <f>IF(TITLE_DATE_PR_CHANGE="",IF(TITLE_DATE_PR="","",TITLE_DATE_PR),TITLE_DATE_PR_CHANGE)</f>
        <v/>
      </c>
      <c r="AE36" s="1196"/>
      <c r="AF36" s="1196"/>
      <c r="AG36" s="1196"/>
      <c r="AH36" s="1196"/>
      <c r="AI36" s="1196"/>
      <c r="AJ36" s="1196"/>
      <c r="AK36" s="1196"/>
      <c r="AL36" s="1196"/>
      <c r="AM36" s="1196"/>
      <c r="AN36" s="1196"/>
      <c r="AO36" s="1196"/>
      <c r="AP36" s="1196"/>
      <c r="AQ36" s="1196"/>
      <c r="AR36" s="1196"/>
      <c r="AS36" s="1196"/>
      <c r="AT36" s="1196"/>
      <c r="AU36" s="1196"/>
      <c r="AV36" s="1196"/>
      <c r="AW36" s="1196"/>
      <c r="AX36" s="1196"/>
      <c r="AY36" s="1196"/>
      <c r="AZ36" s="1196"/>
      <c r="BI36" s="592">
        <v>0</v>
      </c>
    </row>
    <row r="37" spans="1:61" ht="18.75" hidden="1" customHeight="1">
      <c r="S37" s="1186" t="s">
        <v>435</v>
      </c>
      <c r="T37" s="1186"/>
      <c r="U37" s="849"/>
      <c r="V37" s="1187" t="str">
        <f>IF(TITLE_NUMBER_PR_CHANGE="",IF(TITLE_NUMBER_PR="","",TITLE_NUMBER_PR),TITLE_NUMBER_PR_CHANGE)</f>
        <v/>
      </c>
      <c r="W37" s="1187"/>
      <c r="X37" s="1187"/>
      <c r="Y37" s="1187"/>
      <c r="Z37" s="1187"/>
      <c r="AA37" s="1187"/>
      <c r="AB37" s="1187"/>
      <c r="AD37" s="1187" t="str">
        <f>IF(TITLE_NUMBER_PR_CHANGE="",IF(TITLE_NUMBER_PR="","",TITLE_NUMBER_PR),TITLE_NUMBER_PR_CHANGE)</f>
        <v/>
      </c>
      <c r="AE37" s="1187"/>
      <c r="AF37" s="1187"/>
      <c r="AG37" s="1187"/>
      <c r="AH37" s="1187"/>
      <c r="AI37" s="1187"/>
      <c r="AJ37" s="1187"/>
      <c r="AK37" s="1187"/>
      <c r="AL37" s="1187"/>
      <c r="AM37" s="1187"/>
      <c r="AN37" s="1187"/>
      <c r="AO37" s="1187"/>
      <c r="AP37" s="1187"/>
      <c r="AQ37" s="1187"/>
      <c r="AR37" s="1187"/>
      <c r="AS37" s="1187"/>
      <c r="AT37" s="1187"/>
      <c r="AU37" s="1187"/>
      <c r="AV37" s="1187"/>
      <c r="AW37" s="1187"/>
      <c r="AX37" s="1187"/>
      <c r="AY37" s="1187"/>
      <c r="AZ37" s="1187"/>
      <c r="BI37" s="592">
        <v>0</v>
      </c>
    </row>
    <row r="38" spans="1:61" ht="0" hidden="1" customHeight="1">
      <c r="AC38" s="577" t="s">
        <v>438</v>
      </c>
      <c r="BA38" s="577" t="s">
        <v>438</v>
      </c>
      <c r="BI38" s="592">
        <v>0</v>
      </c>
    </row>
    <row r="39" spans="1:61" ht="14.65" customHeight="1">
      <c r="Q39" s="885"/>
      <c r="R39" s="756"/>
      <c r="S39" s="847"/>
      <c r="T39" s="556"/>
      <c r="U39" s="850"/>
      <c r="V39" s="1188"/>
      <c r="W39" s="1188"/>
      <c r="X39" s="1188"/>
      <c r="Y39" s="1188"/>
      <c r="Z39" s="1188"/>
      <c r="AA39" s="1188"/>
      <c r="AB39" s="1188"/>
      <c r="AC39" s="1188"/>
      <c r="AD39" s="1188"/>
      <c r="AE39" s="1188"/>
      <c r="AF39" s="1188"/>
      <c r="AG39" s="1188"/>
      <c r="AH39" s="1188"/>
      <c r="AI39" s="1188"/>
      <c r="AJ39" s="1188"/>
      <c r="AK39" s="1188"/>
      <c r="AL39" s="1188"/>
      <c r="AM39" s="1188"/>
      <c r="AN39" s="1188"/>
      <c r="AO39" s="1188"/>
      <c r="AP39" s="1188"/>
      <c r="AQ39" s="1188"/>
      <c r="AR39" s="1188"/>
      <c r="AS39" s="1188"/>
      <c r="AT39" s="1188"/>
      <c r="AU39" s="1188"/>
      <c r="AV39" s="1188"/>
      <c r="AW39" s="1188"/>
      <c r="AX39" s="1188"/>
      <c r="AY39" s="1188"/>
      <c r="AZ39" s="1188"/>
      <c r="BA39" s="1188"/>
      <c r="BI39" s="538">
        <v>14</v>
      </c>
    </row>
    <row r="40" spans="1:61" ht="14.65" customHeight="1">
      <c r="Q40" s="885"/>
      <c r="R40" s="756"/>
      <c r="S40" s="1066" t="s">
        <v>311</v>
      </c>
      <c r="T40" s="1066"/>
      <c r="U40" s="1066"/>
      <c r="V40" s="1066"/>
      <c r="W40" s="1066"/>
      <c r="X40" s="1066"/>
      <c r="Y40" s="1066"/>
      <c r="Z40" s="1066"/>
      <c r="AA40" s="1066"/>
      <c r="AB40" s="1066"/>
      <c r="AC40" s="1066"/>
      <c r="AD40" s="1066"/>
      <c r="AE40" s="1066"/>
      <c r="AF40" s="1066"/>
      <c r="AG40" s="1066"/>
      <c r="AH40" s="1066"/>
      <c r="AI40" s="1066"/>
      <c r="AJ40" s="1066"/>
      <c r="AK40" s="1066"/>
      <c r="AL40" s="1066"/>
      <c r="AM40" s="1066"/>
      <c r="AN40" s="1066"/>
      <c r="AO40" s="1066"/>
      <c r="AP40" s="1066"/>
      <c r="AQ40" s="1066"/>
      <c r="AR40" s="1066"/>
      <c r="AS40" s="1066"/>
      <c r="AT40" s="1066"/>
      <c r="AU40" s="1066"/>
      <c r="AV40" s="1066"/>
      <c r="AW40" s="1066"/>
      <c r="AX40" s="1066"/>
      <c r="AY40" s="1066"/>
      <c r="AZ40" s="1066"/>
      <c r="BA40" s="1066"/>
      <c r="BB40" s="1066"/>
      <c r="BC40" s="1066" t="s">
        <v>312</v>
      </c>
      <c r="BI40" s="538">
        <v>14</v>
      </c>
    </row>
    <row r="41" spans="1:61" ht="14.65" customHeight="1">
      <c r="Q41" s="885"/>
      <c r="R41" s="756"/>
      <c r="S41" s="1202" t="s">
        <v>87</v>
      </c>
      <c r="T41" s="1154" t="s">
        <v>518</v>
      </c>
      <c r="U41" s="817"/>
      <c r="V41" s="1203" t="s">
        <v>440</v>
      </c>
      <c r="W41" s="1204"/>
      <c r="X41" s="1204"/>
      <c r="Y41" s="1204"/>
      <c r="Z41" s="1204"/>
      <c r="AA41" s="1204"/>
      <c r="AB41" s="1205"/>
      <c r="AC41" s="1206" t="s">
        <v>441</v>
      </c>
      <c r="AD41" s="1238" t="s">
        <v>519</v>
      </c>
      <c r="AE41" s="1219"/>
      <c r="AF41" s="1219"/>
      <c r="AG41" s="1239"/>
      <c r="AH41" s="1238" t="s">
        <v>520</v>
      </c>
      <c r="AI41" s="1219"/>
      <c r="AJ41" s="1219"/>
      <c r="AK41" s="1239"/>
      <c r="AL41" s="1238" t="s">
        <v>521</v>
      </c>
      <c r="AM41" s="1219"/>
      <c r="AN41" s="1219"/>
      <c r="AO41" s="1239"/>
      <c r="AP41" s="1238" t="s">
        <v>522</v>
      </c>
      <c r="AQ41" s="1219"/>
      <c r="AR41" s="1219"/>
      <c r="AS41" s="1239"/>
      <c r="AT41" s="1203" t="s">
        <v>440</v>
      </c>
      <c r="AU41" s="1204"/>
      <c r="AV41" s="1204"/>
      <c r="AW41" s="1204"/>
      <c r="AX41" s="1204"/>
      <c r="AY41" s="1204"/>
      <c r="AZ41" s="1205"/>
      <c r="BA41" s="1206" t="s">
        <v>441</v>
      </c>
      <c r="BB41" s="1209" t="s">
        <v>443</v>
      </c>
      <c r="BC41" s="1066"/>
      <c r="BI41" s="538">
        <v>14</v>
      </c>
    </row>
    <row r="42" spans="1:61" ht="35.65" customHeight="1">
      <c r="Q42" s="885"/>
      <c r="R42" s="756"/>
      <c r="S42" s="1202"/>
      <c r="T42" s="1154"/>
      <c r="U42" s="822"/>
      <c r="V42" s="1141" t="s">
        <v>523</v>
      </c>
      <c r="W42" s="1142"/>
      <c r="X42" s="1141" t="s">
        <v>524</v>
      </c>
      <c r="Y42" s="1142"/>
      <c r="Z42" s="1141" t="s">
        <v>525</v>
      </c>
      <c r="AA42" s="1233"/>
      <c r="AB42" s="1142"/>
      <c r="AC42" s="1207"/>
      <c r="AD42" s="1240"/>
      <c r="AE42" s="1241"/>
      <c r="AF42" s="1241"/>
      <c r="AG42" s="1242"/>
      <c r="AH42" s="1240"/>
      <c r="AI42" s="1241"/>
      <c r="AJ42" s="1241"/>
      <c r="AK42" s="1242"/>
      <c r="AL42" s="1240"/>
      <c r="AM42" s="1241"/>
      <c r="AN42" s="1241"/>
      <c r="AO42" s="1242"/>
      <c r="AP42" s="1240"/>
      <c r="AQ42" s="1241"/>
      <c r="AR42" s="1241"/>
      <c r="AS42" s="1242"/>
      <c r="AT42" s="1141" t="s">
        <v>523</v>
      </c>
      <c r="AU42" s="1142"/>
      <c r="AV42" s="1141" t="s">
        <v>524</v>
      </c>
      <c r="AW42" s="1142"/>
      <c r="AX42" s="1141" t="s">
        <v>525</v>
      </c>
      <c r="AY42" s="1233"/>
      <c r="AZ42" s="1142"/>
      <c r="BA42" s="1207"/>
      <c r="BB42" s="1210"/>
      <c r="BC42" s="1066"/>
      <c r="BI42" s="538">
        <v>34</v>
      </c>
    </row>
    <row r="43" spans="1:61" ht="14.65" customHeight="1">
      <c r="Q43" s="885"/>
      <c r="R43" s="756"/>
      <c r="S43" s="1202"/>
      <c r="T43" s="1154"/>
      <c r="U43" s="822"/>
      <c r="V43" s="1146"/>
      <c r="W43" s="1147"/>
      <c r="X43" s="1146"/>
      <c r="Y43" s="1147"/>
      <c r="Z43" s="1146"/>
      <c r="AA43" s="1234"/>
      <c r="AB43" s="1147"/>
      <c r="AC43" s="1207"/>
      <c r="AD43" s="1240"/>
      <c r="AE43" s="1241"/>
      <c r="AF43" s="1241"/>
      <c r="AG43" s="1242"/>
      <c r="AH43" s="1240"/>
      <c r="AI43" s="1241"/>
      <c r="AJ43" s="1241"/>
      <c r="AK43" s="1242"/>
      <c r="AL43" s="1240"/>
      <c r="AM43" s="1241"/>
      <c r="AN43" s="1241"/>
      <c r="AO43" s="1242"/>
      <c r="AP43" s="1240"/>
      <c r="AQ43" s="1241"/>
      <c r="AR43" s="1241"/>
      <c r="AS43" s="1242"/>
      <c r="AT43" s="1146"/>
      <c r="AU43" s="1147"/>
      <c r="AV43" s="1146"/>
      <c r="AW43" s="1147"/>
      <c r="AX43" s="1146"/>
      <c r="AY43" s="1234"/>
      <c r="AZ43" s="1147"/>
      <c r="BA43" s="1207"/>
      <c r="BB43" s="1210"/>
      <c r="BC43" s="1066"/>
      <c r="BI43" s="538">
        <v>14</v>
      </c>
    </row>
    <row r="44" spans="1:61" ht="14.65" customHeight="1">
      <c r="B44" s="598" t="s">
        <v>148</v>
      </c>
      <c r="C44" s="598" t="s">
        <v>149</v>
      </c>
      <c r="D44" s="598" t="s">
        <v>150</v>
      </c>
      <c r="E44" s="841" t="s">
        <v>448</v>
      </c>
      <c r="F44" s="841" t="s">
        <v>449</v>
      </c>
      <c r="G44" s="841" t="s">
        <v>450</v>
      </c>
      <c r="H44" s="841" t="s">
        <v>451</v>
      </c>
      <c r="I44" s="841" t="s">
        <v>452</v>
      </c>
      <c r="J44" s="841" t="s">
        <v>453</v>
      </c>
      <c r="K44" s="841" t="s">
        <v>454</v>
      </c>
      <c r="L44" s="841" t="s">
        <v>429</v>
      </c>
      <c r="Q44" s="885"/>
      <c r="R44" s="756"/>
      <c r="S44" s="1202"/>
      <c r="T44" s="1154"/>
      <c r="U44" s="852"/>
      <c r="V44" s="632" t="s">
        <v>489</v>
      </c>
      <c r="W44" s="632" t="s">
        <v>490</v>
      </c>
      <c r="X44" s="632" t="s">
        <v>489</v>
      </c>
      <c r="Y44" s="632" t="s">
        <v>490</v>
      </c>
      <c r="Z44" s="602" t="s">
        <v>457</v>
      </c>
      <c r="AA44" s="1162" t="s">
        <v>458</v>
      </c>
      <c r="AB44" s="1164"/>
      <c r="AC44" s="1208"/>
      <c r="AD44" s="1243"/>
      <c r="AE44" s="1244"/>
      <c r="AF44" s="1244"/>
      <c r="AG44" s="1245"/>
      <c r="AH44" s="1243"/>
      <c r="AI44" s="1244"/>
      <c r="AJ44" s="1244"/>
      <c r="AK44" s="1245"/>
      <c r="AL44" s="1243"/>
      <c r="AM44" s="1244"/>
      <c r="AN44" s="1244"/>
      <c r="AO44" s="1245"/>
      <c r="AP44" s="1243"/>
      <c r="AQ44" s="1244"/>
      <c r="AR44" s="1244"/>
      <c r="AS44" s="1245"/>
      <c r="AT44" s="632" t="s">
        <v>489</v>
      </c>
      <c r="AU44" s="632" t="s">
        <v>490</v>
      </c>
      <c r="AV44" s="632" t="s">
        <v>489</v>
      </c>
      <c r="AW44" s="632" t="s">
        <v>490</v>
      </c>
      <c r="AX44" s="602" t="s">
        <v>457</v>
      </c>
      <c r="AY44" s="1162" t="s">
        <v>458</v>
      </c>
      <c r="AZ44" s="1164"/>
      <c r="BA44" s="1208"/>
      <c r="BB44" s="1211"/>
      <c r="BC44" s="1066"/>
      <c r="BI44" s="538">
        <v>14</v>
      </c>
    </row>
    <row r="45" spans="1:61" ht="0" hidden="1" customHeight="1">
      <c r="Q45" s="854"/>
      <c r="R45" s="854">
        <v>1</v>
      </c>
      <c r="S45" s="329" t="s">
        <v>114</v>
      </c>
      <c r="T45" s="330" t="s">
        <v>102</v>
      </c>
      <c r="U45" s="855" t="str">
        <f ca="1">OFFSET(U45,0,-1)</f>
        <v>2</v>
      </c>
      <c r="V45" s="856">
        <f t="shared" ref="V45:AA45" ca="1" si="2">OFFSET(V45,0,-1)+1</f>
        <v>3</v>
      </c>
      <c r="W45" s="856">
        <f t="shared" ca="1" si="2"/>
        <v>4</v>
      </c>
      <c r="X45" s="856">
        <f t="shared" ca="1" si="2"/>
        <v>5</v>
      </c>
      <c r="Y45" s="856">
        <f t="shared" ca="1" si="2"/>
        <v>6</v>
      </c>
      <c r="Z45" s="856">
        <f t="shared" ca="1" si="2"/>
        <v>7</v>
      </c>
      <c r="AA45" s="1201">
        <f t="shared" ca="1" si="2"/>
        <v>8</v>
      </c>
      <c r="AB45" s="1201"/>
      <c r="AC45" s="856">
        <f ca="1">OFFSET(AC45,0,-2)+1</f>
        <v>9</v>
      </c>
      <c r="AD45" s="856">
        <f ca="1">OFFSET(AD45,0,-1)+1</f>
        <v>10</v>
      </c>
      <c r="AE45" s="856"/>
      <c r="AF45" s="856"/>
      <c r="AG45" s="856"/>
      <c r="AH45" s="856"/>
      <c r="AI45" s="856"/>
      <c r="AJ45" s="856"/>
      <c r="AK45" s="856"/>
      <c r="AL45" s="856"/>
      <c r="AM45" s="856"/>
      <c r="AN45" s="856"/>
      <c r="AO45" s="856"/>
      <c r="AP45" s="856"/>
      <c r="AQ45" s="856"/>
      <c r="AR45" s="856"/>
      <c r="AS45" s="856"/>
      <c r="AT45" s="856"/>
      <c r="AU45" s="856"/>
      <c r="AV45" s="856"/>
      <c r="AW45" s="856">
        <f ca="1">OFFSET(AW45,0,-1)+1</f>
        <v>1</v>
      </c>
      <c r="AX45" s="856">
        <f ca="1">OFFSET(AX45,0,-1)+1</f>
        <v>2</v>
      </c>
      <c r="AY45" s="1201">
        <f ca="1">OFFSET(AY45,0,-1)+1</f>
        <v>3</v>
      </c>
      <c r="AZ45" s="1201"/>
      <c r="BA45" s="856">
        <f ca="1">OFFSET(BA45,0,-2)+1</f>
        <v>4</v>
      </c>
      <c r="BB45" s="855">
        <f ca="1">OFFSET(BB45,0,-1)</f>
        <v>4</v>
      </c>
      <c r="BC45" s="856">
        <f ca="1">OFFSET(BC45,0,-1)+1</f>
        <v>5</v>
      </c>
      <c r="BI45" s="681">
        <v>0</v>
      </c>
    </row>
    <row r="46" spans="1:61" ht="21.95" customHeight="1">
      <c r="A46" s="857" t="s">
        <v>272</v>
      </c>
      <c r="E46" s="1194">
        <v>1</v>
      </c>
      <c r="R46" s="310"/>
      <c r="S46" s="832">
        <f>INDEX(PT_DIFFERENTIATION_NUM_NTAR,MATCH(A46,PT_DIFFERENTIATION_NTAR_ID,0))</f>
        <v>0</v>
      </c>
      <c r="T46" s="795" t="s">
        <v>136</v>
      </c>
      <c r="U46" s="833"/>
      <c r="V46" s="1181"/>
      <c r="W46" s="1181"/>
      <c r="X46" s="1181"/>
      <c r="Y46" s="1181"/>
      <c r="Z46" s="1181"/>
      <c r="AA46" s="1181"/>
      <c r="AB46" s="1181"/>
      <c r="AC46" s="1182"/>
      <c r="AD46" s="1180" t="str">
        <f>INDEX(PT_DIFFERENTIATION_NTAR,MATCH(A46,PT_DIFFERENTIATION_NTAR_ID,0))</f>
        <v/>
      </c>
      <c r="AE46" s="1181"/>
      <c r="AF46" s="1181"/>
      <c r="AG46" s="1181"/>
      <c r="AH46" s="1181"/>
      <c r="AI46" s="1181"/>
      <c r="AJ46" s="1181"/>
      <c r="AK46" s="1181"/>
      <c r="AL46" s="1181"/>
      <c r="AM46" s="1181"/>
      <c r="AN46" s="1181"/>
      <c r="AO46" s="1181"/>
      <c r="AP46" s="1181"/>
      <c r="AQ46" s="1181"/>
      <c r="AR46" s="1181"/>
      <c r="AS46" s="1181"/>
      <c r="AT46" s="1181"/>
      <c r="AU46" s="1181"/>
      <c r="AV46" s="1181"/>
      <c r="AW46" s="1181"/>
      <c r="AX46" s="1181"/>
      <c r="AY46" s="1181"/>
      <c r="AZ46" s="1181"/>
      <c r="BA46" s="1181"/>
      <c r="BB46" s="1182"/>
      <c r="BC46" s="8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46" s="582" t="str">
        <f t="shared" ref="BF46:BF52" si="3">IF(T46="","",T46)</f>
        <v>Наименование тарифа</v>
      </c>
      <c r="BI46" s="538">
        <v>21</v>
      </c>
    </row>
    <row r="47" spans="1:61" ht="21.95" customHeight="1">
      <c r="A47" s="857" t="s">
        <v>272</v>
      </c>
      <c r="B47" s="857" t="s">
        <v>273</v>
      </c>
      <c r="E47" s="1195"/>
      <c r="F47" s="1194">
        <v>1</v>
      </c>
      <c r="Q47" s="879"/>
      <c r="R47" s="837"/>
      <c r="S47" s="832" t="str">
        <f>INDEX(PT_DIFFERENTIATION_NUM_TER,MATCH(B47,PT_DIFFERENTIATION_TER_ID,0))</f>
        <v>.</v>
      </c>
      <c r="T47" s="838" t="s">
        <v>408</v>
      </c>
      <c r="U47" s="833"/>
      <c r="V47" s="1181"/>
      <c r="W47" s="1181"/>
      <c r="X47" s="1181"/>
      <c r="Y47" s="1181"/>
      <c r="Z47" s="1181"/>
      <c r="AA47" s="1181"/>
      <c r="AB47" s="1181"/>
      <c r="AC47" s="1182"/>
      <c r="AD47" s="1180" t="str">
        <f>INDEX(PT_DIFFERENTIATION_TER,MATCH(B47,PT_DIFFERENTIATION_TER_ID,0))</f>
        <v/>
      </c>
      <c r="AE47" s="1181"/>
      <c r="AF47" s="1181"/>
      <c r="AG47" s="1181"/>
      <c r="AH47" s="1181"/>
      <c r="AI47" s="1181"/>
      <c r="AJ47" s="1181"/>
      <c r="AK47" s="1181"/>
      <c r="AL47" s="1181"/>
      <c r="AM47" s="1181"/>
      <c r="AN47" s="1181"/>
      <c r="AO47" s="1181"/>
      <c r="AP47" s="1181"/>
      <c r="AQ47" s="1181"/>
      <c r="AR47" s="1181"/>
      <c r="AS47" s="1181"/>
      <c r="AT47" s="1181"/>
      <c r="AU47" s="1181"/>
      <c r="AV47" s="1181"/>
      <c r="AW47" s="1181"/>
      <c r="AX47" s="1181"/>
      <c r="AY47" s="1181"/>
      <c r="AZ47" s="1181"/>
      <c r="BA47" s="1181"/>
      <c r="BB47" s="1182"/>
      <c r="BC47" s="835" t="s">
        <v>409</v>
      </c>
      <c r="BF47" s="582" t="str">
        <f t="shared" si="3"/>
        <v>Территория действия тарифа</v>
      </c>
      <c r="BI47" s="538">
        <v>21</v>
      </c>
    </row>
    <row r="48" spans="1:61" ht="35.65" customHeight="1">
      <c r="A48" s="857" t="s">
        <v>272</v>
      </c>
      <c r="B48" s="857" t="s">
        <v>273</v>
      </c>
      <c r="C48" s="857" t="s">
        <v>274</v>
      </c>
      <c r="E48" s="1195"/>
      <c r="F48" s="1195"/>
      <c r="G48" s="1194">
        <v>1</v>
      </c>
      <c r="Q48" s="879"/>
      <c r="R48" s="837"/>
      <c r="S48" s="832" t="str">
        <f>INDEX(PT_DIFFERENTIATION_NUM_CS,MATCH(C48,PT_DIFFERENTIATION_CS_ID,0))</f>
        <v>..</v>
      </c>
      <c r="T48" s="839" t="s">
        <v>541</v>
      </c>
      <c r="U48" s="833"/>
      <c r="V48" s="1181"/>
      <c r="W48" s="1181"/>
      <c r="X48" s="1181"/>
      <c r="Y48" s="1181"/>
      <c r="Z48" s="1181"/>
      <c r="AA48" s="1181"/>
      <c r="AB48" s="1181"/>
      <c r="AC48" s="1182"/>
      <c r="AD48" s="1180" t="str">
        <f>INDEX(PT_DIFFERENTIATION_CS,MATCH(C48,PT_DIFFERENTIATION_CS_ID,0))</f>
        <v/>
      </c>
      <c r="AE48" s="1181"/>
      <c r="AF48" s="1181"/>
      <c r="AG48" s="1181"/>
      <c r="AH48" s="1181"/>
      <c r="AI48" s="1181"/>
      <c r="AJ48" s="1181"/>
      <c r="AK48" s="1181"/>
      <c r="AL48" s="1181"/>
      <c r="AM48" s="1181"/>
      <c r="AN48" s="1181"/>
      <c r="AO48" s="1181"/>
      <c r="AP48" s="1181"/>
      <c r="AQ48" s="1181"/>
      <c r="AR48" s="1181"/>
      <c r="AS48" s="1181"/>
      <c r="AT48" s="1181"/>
      <c r="AU48" s="1181"/>
      <c r="AV48" s="1181"/>
      <c r="AW48" s="1181"/>
      <c r="AX48" s="1181"/>
      <c r="AY48" s="1181"/>
      <c r="AZ48" s="1181"/>
      <c r="BA48" s="1181"/>
      <c r="BB48" s="1182"/>
      <c r="BC48" s="835" t="s">
        <v>542</v>
      </c>
      <c r="BF48" s="582" t="str">
        <f t="shared" si="3"/>
        <v>Наименование централизованной системы горячего водоснабжения</v>
      </c>
      <c r="BI48" s="538">
        <v>34</v>
      </c>
    </row>
    <row r="49" spans="1:61" ht="0" hidden="1" customHeight="1">
      <c r="A49" s="574" t="s">
        <v>272</v>
      </c>
      <c r="B49" s="574" t="s">
        <v>273</v>
      </c>
      <c r="C49" s="574" t="s">
        <v>274</v>
      </c>
      <c r="D49" s="574" t="s">
        <v>555</v>
      </c>
      <c r="E49" s="1195"/>
      <c r="F49" s="1195"/>
      <c r="G49" s="1195"/>
      <c r="H49" s="1194">
        <v>1</v>
      </c>
      <c r="Q49" s="908"/>
      <c r="R49" s="844"/>
      <c r="S49" s="635"/>
      <c r="T49" s="909"/>
      <c r="U49" s="860"/>
      <c r="V49" s="1223"/>
      <c r="W49" s="1223"/>
      <c r="X49" s="1223"/>
      <c r="Y49" s="1223"/>
      <c r="Z49" s="1223"/>
      <c r="AA49" s="1223"/>
      <c r="AB49" s="1223"/>
      <c r="AC49" s="1224"/>
      <c r="AD49" s="1222"/>
      <c r="AE49" s="1223"/>
      <c r="AF49" s="1223"/>
      <c r="AG49" s="1223"/>
      <c r="AH49" s="1223"/>
      <c r="AI49" s="1223"/>
      <c r="AJ49" s="1223"/>
      <c r="AK49" s="1223"/>
      <c r="AL49" s="1223"/>
      <c r="AM49" s="1223"/>
      <c r="AN49" s="1223"/>
      <c r="AO49" s="1223"/>
      <c r="AP49" s="1223"/>
      <c r="AQ49" s="1223"/>
      <c r="AR49" s="1223"/>
      <c r="AS49" s="1223"/>
      <c r="AT49" s="1223"/>
      <c r="AU49" s="1223"/>
      <c r="AV49" s="1223"/>
      <c r="AW49" s="1223"/>
      <c r="AX49" s="1223"/>
      <c r="AY49" s="1223"/>
      <c r="AZ49" s="1223"/>
      <c r="BA49" s="1223"/>
      <c r="BB49" s="1224"/>
      <c r="BC49" s="862" t="s">
        <v>413</v>
      </c>
      <c r="BF49" s="582" t="str">
        <f t="shared" si="3"/>
        <v/>
      </c>
      <c r="BI49" s="577">
        <v>0</v>
      </c>
    </row>
    <row r="50" spans="1:61" ht="0" hidden="1" customHeight="1">
      <c r="A50" s="574" t="s">
        <v>272</v>
      </c>
      <c r="B50" s="574" t="s">
        <v>273</v>
      </c>
      <c r="C50" s="574" t="s">
        <v>274</v>
      </c>
      <c r="D50" s="574" t="s">
        <v>555</v>
      </c>
      <c r="E50" s="1195"/>
      <c r="F50" s="1195"/>
      <c r="G50" s="1195"/>
      <c r="H50" s="1195"/>
      <c r="I50" s="1192" t="str">
        <f>S49&amp;".1"</f>
        <v>.1</v>
      </c>
      <c r="L50" s="863" t="s">
        <v>414</v>
      </c>
      <c r="P50" s="1193">
        <v>1</v>
      </c>
      <c r="R50" s="842"/>
      <c r="S50" s="635"/>
      <c r="T50" s="859"/>
      <c r="U50" s="860"/>
      <c r="V50" s="1223"/>
      <c r="W50" s="1223"/>
      <c r="X50" s="1223"/>
      <c r="Y50" s="1223"/>
      <c r="Z50" s="1223"/>
      <c r="AA50" s="1223"/>
      <c r="AB50" s="1223"/>
      <c r="AC50" s="1224"/>
      <c r="AD50" s="1222"/>
      <c r="AE50" s="1223"/>
      <c r="AF50" s="1223"/>
      <c r="AG50" s="1223"/>
      <c r="AH50" s="1223"/>
      <c r="AI50" s="1223"/>
      <c r="AJ50" s="1223"/>
      <c r="AK50" s="1223"/>
      <c r="AL50" s="1223"/>
      <c r="AM50" s="1223"/>
      <c r="AN50" s="1223"/>
      <c r="AO50" s="1223"/>
      <c r="AP50" s="1223"/>
      <c r="AQ50" s="1223"/>
      <c r="AR50" s="1223"/>
      <c r="AS50" s="1223"/>
      <c r="AT50" s="1223"/>
      <c r="AU50" s="1223"/>
      <c r="AV50" s="1223"/>
      <c r="AW50" s="1223"/>
      <c r="AX50" s="1223"/>
      <c r="AY50" s="1223"/>
      <c r="AZ50" s="1223"/>
      <c r="BA50" s="1223"/>
      <c r="BB50" s="1224"/>
      <c r="BC50" s="862"/>
      <c r="BF50" s="582" t="str">
        <f t="shared" si="3"/>
        <v/>
      </c>
      <c r="BI50" s="577">
        <v>0</v>
      </c>
    </row>
    <row r="51" spans="1:61" ht="0" hidden="1" customHeight="1">
      <c r="A51" s="574" t="s">
        <v>272</v>
      </c>
      <c r="B51" s="574" t="s">
        <v>273</v>
      </c>
      <c r="C51" s="574" t="s">
        <v>274</v>
      </c>
      <c r="D51" s="574" t="s">
        <v>555</v>
      </c>
      <c r="E51" s="1195"/>
      <c r="F51" s="1195"/>
      <c r="G51" s="1195"/>
      <c r="H51" s="1195"/>
      <c r="I51" s="1214"/>
      <c r="J51" s="1192" t="str">
        <f>S49&amp;".1"</f>
        <v>.1</v>
      </c>
      <c r="P51" s="1031"/>
      <c r="Q51" s="1193">
        <v>1</v>
      </c>
      <c r="R51" s="844"/>
      <c r="S51" s="635"/>
      <c r="T51" s="880"/>
      <c r="U51" s="860"/>
      <c r="V51" s="1223"/>
      <c r="W51" s="1223"/>
      <c r="X51" s="1223"/>
      <c r="Y51" s="1223"/>
      <c r="Z51" s="1223"/>
      <c r="AA51" s="1223"/>
      <c r="AB51" s="1223"/>
      <c r="AC51" s="1224"/>
      <c r="AD51" s="1222"/>
      <c r="AE51" s="1223"/>
      <c r="AF51" s="1223"/>
      <c r="AG51" s="1223"/>
      <c r="AH51" s="1223"/>
      <c r="AI51" s="1223"/>
      <c r="AJ51" s="1223"/>
      <c r="AK51" s="1223"/>
      <c r="AL51" s="1223"/>
      <c r="AM51" s="1223"/>
      <c r="AN51" s="1274"/>
      <c r="AO51" s="1274"/>
      <c r="AP51" s="1223"/>
      <c r="AQ51" s="1223"/>
      <c r="AR51" s="1223"/>
      <c r="AS51" s="1223"/>
      <c r="AT51" s="1223"/>
      <c r="AU51" s="1223"/>
      <c r="AV51" s="1223"/>
      <c r="AW51" s="1223"/>
      <c r="AX51" s="1223"/>
      <c r="AY51" s="1223"/>
      <c r="AZ51" s="1223"/>
      <c r="BA51" s="1223"/>
      <c r="BB51" s="1224"/>
      <c r="BC51" s="862"/>
      <c r="BF51" s="582" t="str">
        <f t="shared" si="3"/>
        <v/>
      </c>
      <c r="BI51" s="577">
        <v>0</v>
      </c>
    </row>
    <row r="52" spans="1:61" ht="11.45" customHeight="1">
      <c r="A52" s="857" t="s">
        <v>272</v>
      </c>
      <c r="B52" s="857" t="s">
        <v>273</v>
      </c>
      <c r="C52" s="857" t="s">
        <v>274</v>
      </c>
      <c r="D52" s="857" t="s">
        <v>555</v>
      </c>
      <c r="E52" s="1195"/>
      <c r="F52" s="1195"/>
      <c r="G52" s="1195"/>
      <c r="H52" s="1195"/>
      <c r="I52" s="1214"/>
      <c r="J52" s="1214"/>
      <c r="K52" s="1192" t="str">
        <f>S48&amp;".1"</f>
        <v>...1</v>
      </c>
      <c r="P52" s="1031"/>
      <c r="Q52" s="1031"/>
      <c r="R52" s="844">
        <v>1</v>
      </c>
      <c r="S52" s="1251" t="str">
        <f>$K52</f>
        <v>...1</v>
      </c>
      <c r="T52" s="1270"/>
      <c r="U52" s="833"/>
      <c r="V52" s="311"/>
      <c r="W52" s="313"/>
      <c r="X52" s="311"/>
      <c r="Y52" s="313"/>
      <c r="Z52" s="203"/>
      <c r="AA52" s="56" t="s">
        <v>61</v>
      </c>
      <c r="AB52" s="203"/>
      <c r="AC52" s="56" t="s">
        <v>61</v>
      </c>
      <c r="AD52" s="1134" t="s">
        <v>61</v>
      </c>
      <c r="AE52" s="1236"/>
      <c r="AF52" s="1150">
        <v>1</v>
      </c>
      <c r="AG52" s="1273"/>
      <c r="AH52" s="1058" t="s">
        <v>61</v>
      </c>
      <c r="AI52" s="1236"/>
      <c r="AJ52" s="1150">
        <v>1</v>
      </c>
      <c r="AK52" s="1237" t="s">
        <v>22</v>
      </c>
      <c r="AL52" s="1058" t="s">
        <v>61</v>
      </c>
      <c r="AM52" s="1141"/>
      <c r="AN52" s="1150">
        <v>1</v>
      </c>
      <c r="AO52" s="1267"/>
      <c r="AP52" s="1268" t="s">
        <v>61</v>
      </c>
      <c r="AQ52" s="882"/>
      <c r="AR52" s="92">
        <v>1</v>
      </c>
      <c r="AS52" s="14" t="s">
        <v>22</v>
      </c>
      <c r="AT52" s="311"/>
      <c r="AU52" s="313"/>
      <c r="AV52" s="311"/>
      <c r="AW52" s="313"/>
      <c r="AX52" s="203"/>
      <c r="AY52" s="56" t="s">
        <v>61</v>
      </c>
      <c r="AZ52" s="203"/>
      <c r="BA52" s="56" t="s">
        <v>61</v>
      </c>
      <c r="BB52" s="331"/>
      <c r="BC52" s="1189" t="s">
        <v>512</v>
      </c>
      <c r="BF52" s="582" t="str">
        <f t="shared" si="3"/>
        <v/>
      </c>
      <c r="BI52" s="538">
        <v>11</v>
      </c>
    </row>
    <row r="53" spans="1:61" ht="11.45" customHeight="1">
      <c r="E53" s="1195"/>
      <c r="F53" s="1195"/>
      <c r="G53" s="1195"/>
      <c r="H53" s="1195"/>
      <c r="I53" s="1214"/>
      <c r="J53" s="1214"/>
      <c r="K53" s="1192"/>
      <c r="P53" s="1031"/>
      <c r="Q53" s="1031"/>
      <c r="R53" s="844"/>
      <c r="S53" s="1252"/>
      <c r="T53" s="1271"/>
      <c r="U53" s="833"/>
      <c r="V53" s="344"/>
      <c r="W53" s="351"/>
      <c r="X53" s="344"/>
      <c r="Y53" s="351"/>
      <c r="Z53" s="344"/>
      <c r="AA53" s="344"/>
      <c r="AB53" s="344"/>
      <c r="AC53" s="344"/>
      <c r="AD53" s="1135"/>
      <c r="AE53" s="1236"/>
      <c r="AF53" s="1150"/>
      <c r="AG53" s="1273"/>
      <c r="AH53" s="1058"/>
      <c r="AI53" s="1236"/>
      <c r="AJ53" s="1150"/>
      <c r="AK53" s="1237"/>
      <c r="AL53" s="1058"/>
      <c r="AM53" s="1146"/>
      <c r="AN53" s="1150"/>
      <c r="AO53" s="1267"/>
      <c r="AP53" s="1269"/>
      <c r="AQ53" s="264"/>
      <c r="AR53" s="49"/>
      <c r="AS53" s="49" t="s">
        <v>513</v>
      </c>
      <c r="AT53" s="344"/>
      <c r="AU53" s="351"/>
      <c r="AV53" s="344"/>
      <c r="AW53" s="351"/>
      <c r="AX53" s="344"/>
      <c r="AY53" s="344"/>
      <c r="AZ53" s="344"/>
      <c r="BA53" s="344"/>
      <c r="BB53" s="350"/>
      <c r="BC53" s="1190"/>
      <c r="BI53" s="538">
        <v>11</v>
      </c>
    </row>
    <row r="54" spans="1:61" ht="11.45" customHeight="1">
      <c r="A54" s="857" t="s">
        <v>272</v>
      </c>
      <c r="E54" s="1195"/>
      <c r="F54" s="1195"/>
      <c r="G54" s="1195"/>
      <c r="H54" s="1195"/>
      <c r="I54" s="1214"/>
      <c r="J54" s="1214"/>
      <c r="K54" s="1192"/>
      <c r="P54" s="1031"/>
      <c r="Q54" s="1031"/>
      <c r="R54" s="844"/>
      <c r="S54" s="1252"/>
      <c r="T54" s="1271"/>
      <c r="U54" s="833"/>
      <c r="V54" s="344"/>
      <c r="W54" s="351"/>
      <c r="X54" s="344"/>
      <c r="Y54" s="351"/>
      <c r="Z54" s="344"/>
      <c r="AA54" s="344"/>
      <c r="AB54" s="344"/>
      <c r="AC54" s="344"/>
      <c r="AD54" s="1135"/>
      <c r="AE54" s="1236"/>
      <c r="AF54" s="1150"/>
      <c r="AG54" s="1273"/>
      <c r="AH54" s="1058"/>
      <c r="AI54" s="1236"/>
      <c r="AJ54" s="1150"/>
      <c r="AK54" s="1237"/>
      <c r="AL54" s="1058"/>
      <c r="AM54" s="264"/>
      <c r="AN54" s="303"/>
      <c r="AO54" s="303" t="s">
        <v>514</v>
      </c>
      <c r="AP54" s="49"/>
      <c r="AQ54" s="49"/>
      <c r="AR54" s="49"/>
      <c r="AS54" s="344"/>
      <c r="AT54" s="344"/>
      <c r="AU54" s="351"/>
      <c r="AV54" s="344"/>
      <c r="AW54" s="351"/>
      <c r="AX54" s="344"/>
      <c r="AY54" s="344"/>
      <c r="AZ54" s="344"/>
      <c r="BA54" s="344"/>
      <c r="BB54" s="350"/>
      <c r="BC54" s="1190"/>
      <c r="BI54" s="538">
        <v>11</v>
      </c>
    </row>
    <row r="55" spans="1:61" ht="11.45" customHeight="1">
      <c r="A55" s="857" t="s">
        <v>272</v>
      </c>
      <c r="E55" s="1195"/>
      <c r="F55" s="1195"/>
      <c r="G55" s="1195"/>
      <c r="H55" s="1195"/>
      <c r="I55" s="1214"/>
      <c r="J55" s="1214"/>
      <c r="K55" s="1192"/>
      <c r="P55" s="1031"/>
      <c r="Q55" s="1031"/>
      <c r="R55" s="844"/>
      <c r="S55" s="1252"/>
      <c r="T55" s="1271"/>
      <c r="U55" s="833"/>
      <c r="V55" s="344"/>
      <c r="W55" s="351"/>
      <c r="X55" s="344"/>
      <c r="Y55" s="351"/>
      <c r="Z55" s="344"/>
      <c r="AA55" s="344"/>
      <c r="AB55" s="344"/>
      <c r="AC55" s="344"/>
      <c r="AD55" s="1135"/>
      <c r="AE55" s="1236"/>
      <c r="AF55" s="1150"/>
      <c r="AG55" s="1273"/>
      <c r="AH55" s="1058"/>
      <c r="AI55" s="353"/>
      <c r="AJ55" s="44"/>
      <c r="AK55" s="120" t="s">
        <v>515</v>
      </c>
      <c r="AL55" s="344"/>
      <c r="AM55" s="344"/>
      <c r="AN55" s="344"/>
      <c r="AO55" s="344"/>
      <c r="AP55" s="344"/>
      <c r="AQ55" s="344"/>
      <c r="AR55" s="344"/>
      <c r="AS55" s="344"/>
      <c r="AT55" s="344"/>
      <c r="AU55" s="351"/>
      <c r="AV55" s="344"/>
      <c r="AW55" s="351"/>
      <c r="AX55" s="344"/>
      <c r="AY55" s="344"/>
      <c r="AZ55" s="344"/>
      <c r="BA55" s="344"/>
      <c r="BB55" s="350"/>
      <c r="BC55" s="1190"/>
      <c r="BI55" s="538">
        <v>11</v>
      </c>
    </row>
    <row r="56" spans="1:61" ht="11.45" customHeight="1">
      <c r="A56" s="857" t="s">
        <v>272</v>
      </c>
      <c r="B56" s="857" t="s">
        <v>273</v>
      </c>
      <c r="C56" s="857" t="s">
        <v>274</v>
      </c>
      <c r="D56" s="857" t="s">
        <v>555</v>
      </c>
      <c r="E56" s="1195"/>
      <c r="F56" s="1195"/>
      <c r="G56" s="1195"/>
      <c r="H56" s="1195"/>
      <c r="I56" s="1214"/>
      <c r="J56" s="1214"/>
      <c r="K56" s="1192"/>
      <c r="P56" s="1031"/>
      <c r="Q56" s="1031"/>
      <c r="R56" s="844"/>
      <c r="S56" s="1253"/>
      <c r="T56" s="1272"/>
      <c r="U56" s="833"/>
      <c r="V56" s="344"/>
      <c r="W56" s="345" t="str">
        <f>Z52&amp;"-"&amp;AB52</f>
        <v>-</v>
      </c>
      <c r="X56" s="344"/>
      <c r="Y56" s="345" t="str">
        <f>AB52&amp;"-"&amp;AD52</f>
        <v>-да</v>
      </c>
      <c r="Z56" s="344"/>
      <c r="AA56" s="344"/>
      <c r="AB56" s="344"/>
      <c r="AC56" s="344"/>
      <c r="AD56" s="1072"/>
      <c r="AE56" s="355"/>
      <c r="AF56" s="356"/>
      <c r="AG56" s="49" t="s">
        <v>516</v>
      </c>
      <c r="AH56" s="344"/>
      <c r="AI56" s="344"/>
      <c r="AJ56" s="344"/>
      <c r="AK56" s="344"/>
      <c r="AL56" s="344"/>
      <c r="AM56" s="344"/>
      <c r="AN56" s="344"/>
      <c r="AO56" s="344"/>
      <c r="AP56" s="344"/>
      <c r="AQ56" s="344"/>
      <c r="AR56" s="344"/>
      <c r="AS56" s="344"/>
      <c r="AT56" s="344"/>
      <c r="AU56" s="345" t="str">
        <f>AX52&amp;"-"&amp;AZ52</f>
        <v>-</v>
      </c>
      <c r="AV56" s="344"/>
      <c r="AW56" s="345" t="str">
        <f>AZ52&amp;"-"&amp;BB52</f>
        <v>-</v>
      </c>
      <c r="AX56" s="344"/>
      <c r="AY56" s="344"/>
      <c r="AZ56" s="344"/>
      <c r="BA56" s="344"/>
      <c r="BB56" s="354" t="str">
        <f>BE52&amp;"-"&amp;BG52</f>
        <v>-</v>
      </c>
      <c r="BC56" s="1190"/>
      <c r="BF56" s="582" t="str">
        <f t="shared" ref="BF56:BF63" si="4">IF(T56="","",T56)</f>
        <v/>
      </c>
      <c r="BI56" s="538">
        <v>11</v>
      </c>
    </row>
    <row r="57" spans="1:61" ht="11.45" customHeight="1">
      <c r="A57" s="857" t="s">
        <v>272</v>
      </c>
      <c r="B57" s="857" t="s">
        <v>273</v>
      </c>
      <c r="C57" s="857" t="s">
        <v>274</v>
      </c>
      <c r="D57" s="857" t="s">
        <v>555</v>
      </c>
      <c r="E57" s="1195"/>
      <c r="F57" s="1195"/>
      <c r="G57" s="1195"/>
      <c r="H57" s="1195"/>
      <c r="I57" s="1214"/>
      <c r="J57" s="1192"/>
      <c r="P57" s="1031"/>
      <c r="Q57" s="1031"/>
      <c r="R57" s="842"/>
      <c r="S57" s="315"/>
      <c r="T57" s="318" t="s">
        <v>479</v>
      </c>
      <c r="U57" s="52"/>
      <c r="V57" s="52"/>
      <c r="W57" s="52"/>
      <c r="X57" s="52"/>
      <c r="Y57" s="52"/>
      <c r="Z57" s="52"/>
      <c r="AA57" s="52"/>
      <c r="AB57" s="52"/>
      <c r="AC57" s="317"/>
      <c r="AD57" s="361"/>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317"/>
      <c r="BC57" s="1191"/>
      <c r="BF57" s="582" t="str">
        <f t="shared" si="4"/>
        <v>Добавить строку</v>
      </c>
      <c r="BI57" s="538">
        <v>11</v>
      </c>
    </row>
    <row r="58" spans="1:61" ht="0" hidden="1" customHeight="1">
      <c r="A58" s="574" t="s">
        <v>272</v>
      </c>
      <c r="B58" s="574" t="s">
        <v>273</v>
      </c>
      <c r="C58" s="574" t="s">
        <v>274</v>
      </c>
      <c r="D58" s="574" t="s">
        <v>555</v>
      </c>
      <c r="E58" s="1195"/>
      <c r="F58" s="1195"/>
      <c r="G58" s="1195"/>
      <c r="H58" s="1195"/>
      <c r="I58" s="1192"/>
      <c r="P58" s="1031"/>
      <c r="R58" s="842"/>
      <c r="S58" s="334"/>
      <c r="T58" s="335"/>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7"/>
      <c r="BF58" s="582" t="str">
        <f t="shared" si="4"/>
        <v/>
      </c>
      <c r="BI58" s="577">
        <v>0</v>
      </c>
    </row>
    <row r="59" spans="1:61" ht="0" hidden="1" customHeight="1">
      <c r="A59" s="574" t="s">
        <v>272</v>
      </c>
      <c r="B59" s="574" t="s">
        <v>273</v>
      </c>
      <c r="C59" s="574" t="s">
        <v>274</v>
      </c>
      <c r="D59" s="574" t="s">
        <v>555</v>
      </c>
      <c r="E59" s="1195"/>
      <c r="F59" s="1195"/>
      <c r="G59" s="1195"/>
      <c r="H59" s="1194"/>
      <c r="R59" s="357"/>
      <c r="S59" s="334"/>
      <c r="T59" s="335"/>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7"/>
      <c r="BF59" s="582" t="str">
        <f t="shared" si="4"/>
        <v/>
      </c>
      <c r="BI59" s="577">
        <v>0</v>
      </c>
    </row>
    <row r="60" spans="1:61" ht="0" hidden="1" customHeight="1">
      <c r="A60" s="574" t="s">
        <v>272</v>
      </c>
      <c r="B60" s="574" t="s">
        <v>273</v>
      </c>
      <c r="C60" s="574" t="s">
        <v>274</v>
      </c>
      <c r="E60" s="1195"/>
      <c r="F60" s="1195"/>
      <c r="G60" s="1194"/>
      <c r="BF60" s="582" t="str">
        <f t="shared" si="4"/>
        <v/>
      </c>
      <c r="BI60" s="577">
        <v>0</v>
      </c>
    </row>
    <row r="61" spans="1:61" ht="0" hidden="1" customHeight="1">
      <c r="A61" s="574" t="s">
        <v>272</v>
      </c>
      <c r="B61" s="574" t="s">
        <v>273</v>
      </c>
      <c r="E61" s="1195"/>
      <c r="F61" s="1194"/>
      <c r="T61" s="326" t="s">
        <v>426</v>
      </c>
      <c r="BF61" s="582" t="str">
        <f t="shared" si="4"/>
        <v>Добавить централизованную систему для дифференциации</v>
      </c>
      <c r="BI61" s="577">
        <v>0</v>
      </c>
    </row>
    <row r="62" spans="1:61" ht="0" hidden="1" customHeight="1">
      <c r="A62" s="574" t="s">
        <v>272</v>
      </c>
      <c r="E62" s="1194"/>
      <c r="T62" s="326" t="s">
        <v>427</v>
      </c>
      <c r="BF62" s="582" t="str">
        <f t="shared" si="4"/>
        <v>Добавить территорию для дифференциации</v>
      </c>
      <c r="BI62" s="577">
        <v>0</v>
      </c>
    </row>
    <row r="63" spans="1:61" ht="0" hidden="1" customHeight="1">
      <c r="T63" s="326" t="s">
        <v>459</v>
      </c>
      <c r="BF63" s="582" t="str">
        <f t="shared" si="4"/>
        <v>Добавить наименование тарифа</v>
      </c>
      <c r="BI63" s="577">
        <v>0</v>
      </c>
    </row>
    <row r="64" spans="1:61" ht="11.45" customHeight="1">
      <c r="BI64" s="538">
        <v>11</v>
      </c>
    </row>
    <row r="65" spans="1:61" ht="19.899999999999999" customHeight="1">
      <c r="T65" s="1031"/>
      <c r="U65" s="1031"/>
      <c r="V65" s="1031"/>
      <c r="W65" s="1031"/>
      <c r="X65" s="1031"/>
      <c r="Y65" s="1031"/>
      <c r="Z65" s="1031"/>
      <c r="AA65" s="1031"/>
      <c r="AB65" s="1031"/>
      <c r="AC65" s="1031"/>
      <c r="AD65" s="1031"/>
      <c r="AE65" s="1031"/>
      <c r="AF65" s="1031"/>
      <c r="AG65" s="1031"/>
      <c r="AH65" s="1031"/>
      <c r="AI65" s="1031"/>
      <c r="AJ65" s="1031"/>
      <c r="AK65" s="1031"/>
      <c r="AL65" s="1031"/>
      <c r="AM65" s="1031"/>
      <c r="AN65" s="1031"/>
      <c r="AO65" s="1031"/>
      <c r="AP65" s="1031"/>
      <c r="AQ65" s="1031"/>
      <c r="AR65" s="1031"/>
      <c r="AS65" s="1031"/>
      <c r="AT65" s="1031"/>
      <c r="AU65" s="1031"/>
      <c r="AV65" s="1031"/>
      <c r="AW65" s="1031"/>
      <c r="AX65" s="1031"/>
      <c r="AY65" s="1031"/>
      <c r="AZ65" s="1031"/>
      <c r="BA65" s="1031"/>
      <c r="BB65" s="1031"/>
      <c r="BC65" s="1031"/>
      <c r="BI65" s="538">
        <v>19</v>
      </c>
    </row>
    <row r="66" spans="1:61" ht="14.65" customHeight="1">
      <c r="BI66" s="538">
        <v>14</v>
      </c>
    </row>
    <row r="67" spans="1:61" ht="19.899999999999999" customHeight="1">
      <c r="T67" s="1031"/>
      <c r="U67" s="1031"/>
      <c r="V67" s="1031"/>
      <c r="W67" s="1031"/>
      <c r="X67" s="1031"/>
      <c r="Y67" s="1031"/>
      <c r="Z67" s="1031"/>
      <c r="AA67" s="1031"/>
      <c r="AB67" s="1031"/>
      <c r="AC67" s="1031"/>
      <c r="AD67" s="1031"/>
      <c r="AE67" s="1031"/>
      <c r="AF67" s="1031"/>
      <c r="AG67" s="1031"/>
      <c r="AH67" s="1031"/>
      <c r="AI67" s="1031"/>
      <c r="AJ67" s="1031"/>
      <c r="AK67" s="1031"/>
      <c r="AL67" s="1031"/>
      <c r="AM67" s="1031"/>
      <c r="AN67" s="1031"/>
      <c r="AO67" s="1031"/>
      <c r="AP67" s="1031"/>
      <c r="AQ67" s="1031"/>
      <c r="AR67" s="1031"/>
      <c r="AS67" s="1031"/>
      <c r="AT67" s="1031"/>
      <c r="AU67" s="1031"/>
      <c r="AV67" s="1031"/>
      <c r="AW67" s="1031"/>
      <c r="AX67" s="1031"/>
      <c r="AY67" s="1031"/>
      <c r="AZ67" s="1031"/>
      <c r="BA67" s="1031"/>
      <c r="BB67" s="1031"/>
      <c r="BC67" s="1031"/>
      <c r="BI67" s="538">
        <v>19</v>
      </c>
    </row>
    <row r="68" spans="1:61" ht="14.65" customHeight="1">
      <c r="BI68" s="538">
        <v>14</v>
      </c>
    </row>
    <row r="69" spans="1:61" ht="14.25" hidden="1" customHeight="1">
      <c r="A69" s="555" t="s">
        <v>81</v>
      </c>
      <c r="B69" s="555">
        <v>0</v>
      </c>
      <c r="C69" s="555">
        <v>0</v>
      </c>
      <c r="D69" s="555">
        <v>0</v>
      </c>
      <c r="E69" s="555">
        <v>0</v>
      </c>
      <c r="F69" s="555">
        <v>0</v>
      </c>
      <c r="G69" s="555">
        <v>0</v>
      </c>
      <c r="H69" s="555">
        <v>0</v>
      </c>
      <c r="I69" s="555">
        <v>0</v>
      </c>
      <c r="J69" s="555">
        <v>0</v>
      </c>
      <c r="K69" s="555">
        <v>0</v>
      </c>
      <c r="L69" s="667">
        <v>0</v>
      </c>
      <c r="M69" s="12">
        <v>0</v>
      </c>
      <c r="N69" s="12">
        <v>0</v>
      </c>
      <c r="O69" s="12">
        <v>0</v>
      </c>
      <c r="P69" s="12">
        <v>0</v>
      </c>
      <c r="Q69" s="889">
        <v>0</v>
      </c>
      <c r="R69" s="821">
        <v>3</v>
      </c>
      <c r="S69" s="553">
        <v>12</v>
      </c>
      <c r="T69" s="538">
        <v>31</v>
      </c>
      <c r="U69" s="538">
        <v>0</v>
      </c>
      <c r="V69" s="538">
        <v>0</v>
      </c>
      <c r="W69" s="538">
        <v>0</v>
      </c>
      <c r="X69" s="538">
        <v>0</v>
      </c>
      <c r="Y69" s="538">
        <v>0</v>
      </c>
      <c r="Z69" s="538">
        <v>0</v>
      </c>
      <c r="AA69" s="538">
        <v>0</v>
      </c>
      <c r="AB69" s="538">
        <v>0</v>
      </c>
      <c r="AC69" s="538">
        <v>0</v>
      </c>
      <c r="AD69" s="538">
        <v>3</v>
      </c>
      <c r="AE69" s="538">
        <v>3</v>
      </c>
      <c r="AF69" s="538">
        <v>3</v>
      </c>
      <c r="AG69" s="538">
        <v>24</v>
      </c>
      <c r="AH69" s="538">
        <v>3</v>
      </c>
      <c r="AI69" s="538">
        <v>3</v>
      </c>
      <c r="AJ69" s="538">
        <v>3</v>
      </c>
      <c r="AK69" s="538">
        <v>24</v>
      </c>
      <c r="AL69" s="538">
        <v>3</v>
      </c>
      <c r="AM69" s="538">
        <v>3</v>
      </c>
      <c r="AN69" s="538">
        <v>3</v>
      </c>
      <c r="AO69" s="538">
        <v>18</v>
      </c>
      <c r="AP69" s="538">
        <v>3</v>
      </c>
      <c r="AQ69" s="538">
        <v>3</v>
      </c>
      <c r="AR69" s="538">
        <v>3</v>
      </c>
      <c r="AS69" s="538">
        <v>18</v>
      </c>
      <c r="AT69" s="538">
        <v>21</v>
      </c>
      <c r="AU69" s="538">
        <v>21</v>
      </c>
      <c r="AV69" s="538">
        <v>21</v>
      </c>
      <c r="AW69" s="538">
        <v>21</v>
      </c>
      <c r="AX69" s="538">
        <v>11</v>
      </c>
      <c r="AY69" s="538">
        <v>3</v>
      </c>
      <c r="AZ69" s="538">
        <v>11</v>
      </c>
      <c r="BA69" s="538">
        <v>0</v>
      </c>
      <c r="BB69" s="538">
        <v>4</v>
      </c>
      <c r="BC69" s="538">
        <v>115</v>
      </c>
      <c r="BD69" s="577">
        <v>10</v>
      </c>
      <c r="BE69" s="577">
        <v>10</v>
      </c>
      <c r="BF69" s="577">
        <v>10</v>
      </c>
      <c r="BG69" s="577">
        <v>10</v>
      </c>
      <c r="BH69" s="577">
        <v>10</v>
      </c>
      <c r="BI69" s="538">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309"/>
  <sheetViews>
    <sheetView showGridLines="0" zoomScale="90" workbookViewId="0">
      <pane xSplit="8" ySplit="29" topLeftCell="I73" activePane="bottomRight" state="frozen"/>
      <selection pane="topRight" activeCell="I1" sqref="I1"/>
      <selection pane="bottomLeft" activeCell="A30" sqref="A30"/>
      <selection pane="bottomRight" activeCell="I79" sqref="I79"/>
    </sheetView>
  </sheetViews>
  <sheetFormatPr defaultColWidth="9.140625" defaultRowHeight="11.25" customHeight="1"/>
  <cols>
    <col min="1" max="1" width="10.7109375" style="1029" hidden="1" customWidth="1"/>
    <col min="2" max="2" width="16.85546875" style="1029" hidden="1" customWidth="1"/>
    <col min="3" max="3" width="5.5703125" style="1029" hidden="1" customWidth="1"/>
    <col min="4" max="4" width="3" style="1029" customWidth="1"/>
    <col min="5" max="5" width="7" style="1029" customWidth="1"/>
    <col min="6" max="6" width="54" style="1029" customWidth="1"/>
    <col min="7" max="7" width="10" style="1029" customWidth="1"/>
    <col min="8" max="8" width="40.7109375" style="1029" hidden="1" customWidth="1"/>
    <col min="9" max="12" width="40.7109375" style="1029" customWidth="1"/>
    <col min="13" max="13" width="102" style="1029" customWidth="1"/>
    <col min="14" max="14" width="9" style="1029" customWidth="1"/>
    <col min="15" max="15" width="5" style="1029" customWidth="1"/>
    <col min="16" max="20" width="3" style="1029" customWidth="1"/>
    <col min="21" max="21" width="10" style="1029" customWidth="1"/>
    <col min="22" max="22" width="34" style="1029" customWidth="1"/>
    <col min="23" max="23" width="9" style="1029" customWidth="1"/>
    <col min="24" max="34" width="8" style="1029" customWidth="1"/>
    <col min="35" max="35" width="9.140625" style="1029" hidden="1"/>
  </cols>
  <sheetData>
    <row r="1" spans="2:35" ht="22.5" hidden="1" customHeight="1">
      <c r="J1"/>
      <c r="K1"/>
      <c r="L1"/>
      <c r="AI1" s="538" t="s">
        <v>14</v>
      </c>
    </row>
    <row r="2" spans="2:35" ht="23.25" hidden="1" customHeight="1">
      <c r="B2" s="1031"/>
      <c r="C2" s="358" t="s">
        <v>556</v>
      </c>
      <c r="E2" s="910">
        <f>B2</f>
        <v>0</v>
      </c>
      <c r="F2" s="911"/>
      <c r="G2" s="583" t="s">
        <v>557</v>
      </c>
      <c r="H2" s="583" t="s">
        <v>557</v>
      </c>
      <c r="I2" s="583" t="s">
        <v>557</v>
      </c>
      <c r="J2" s="35" t="s">
        <v>557</v>
      </c>
      <c r="K2" s="35" t="s">
        <v>557</v>
      </c>
      <c r="L2" s="35" t="s">
        <v>557</v>
      </c>
      <c r="M2" s="795" t="s">
        <v>558</v>
      </c>
      <c r="AI2" s="538">
        <v>0</v>
      </c>
    </row>
    <row r="3" spans="2:35" ht="0.75" hidden="1" customHeight="1">
      <c r="B3" s="1031"/>
      <c r="E3" s="912"/>
      <c r="F3" s="913" t="s">
        <v>559</v>
      </c>
      <c r="G3" s="584"/>
      <c r="H3" s="584">
        <f>H4*H5+H6</f>
        <v>0</v>
      </c>
      <c r="I3" s="584">
        <f>I4*I5+I6</f>
        <v>0</v>
      </c>
      <c r="J3" s="36">
        <f>J4*J5+J6</f>
        <v>0</v>
      </c>
      <c r="K3" s="36">
        <f>K4*K5+K6</f>
        <v>0</v>
      </c>
      <c r="L3" s="36">
        <f>L4*L5+L6</f>
        <v>0</v>
      </c>
      <c r="M3" s="634"/>
      <c r="AI3" s="577">
        <v>0</v>
      </c>
    </row>
    <row r="4" spans="2:35" ht="23.25" hidden="1" customHeight="1">
      <c r="B4" s="1031"/>
      <c r="E4" s="910" t="str">
        <f>B2&amp;".1"</f>
        <v>.1</v>
      </c>
      <c r="F4" s="914" t="s">
        <v>560</v>
      </c>
      <c r="G4" s="400"/>
      <c r="H4" s="311"/>
      <c r="I4" s="311"/>
      <c r="J4" s="311"/>
      <c r="K4" s="311"/>
      <c r="L4" s="311"/>
      <c r="M4" s="795" t="s">
        <v>561</v>
      </c>
      <c r="AI4" s="538">
        <v>0</v>
      </c>
    </row>
    <row r="5" spans="2:35" ht="18.75" hidden="1" customHeight="1">
      <c r="B5" s="1031"/>
      <c r="E5" s="910" t="str">
        <f>B2&amp;".2"</f>
        <v>.2</v>
      </c>
      <c r="F5" s="914" t="s">
        <v>562</v>
      </c>
      <c r="G5" s="583" t="s">
        <v>563</v>
      </c>
      <c r="H5" s="311"/>
      <c r="I5" s="311"/>
      <c r="J5" s="311"/>
      <c r="K5" s="311"/>
      <c r="L5" s="311"/>
      <c r="M5" s="795"/>
      <c r="AI5" s="538">
        <v>0</v>
      </c>
    </row>
    <row r="6" spans="2:35" ht="18.75" hidden="1" customHeight="1">
      <c r="B6" s="1031"/>
      <c r="E6" s="910" t="str">
        <f>B2&amp;".3"</f>
        <v>.3</v>
      </c>
      <c r="F6" s="914" t="s">
        <v>564</v>
      </c>
      <c r="G6" s="583" t="s">
        <v>563</v>
      </c>
      <c r="H6" s="311"/>
      <c r="I6" s="311"/>
      <c r="J6" s="311"/>
      <c r="K6" s="311"/>
      <c r="L6" s="311"/>
      <c r="M6" s="795"/>
      <c r="AI6" s="538">
        <v>0</v>
      </c>
    </row>
    <row r="7" spans="2:35" ht="18.75" hidden="1" customHeight="1">
      <c r="B7" s="1031"/>
      <c r="E7" s="910" t="str">
        <f>B2&amp;".4"</f>
        <v>.4</v>
      </c>
      <c r="F7" s="914" t="s">
        <v>565</v>
      </c>
      <c r="G7" s="583" t="s">
        <v>557</v>
      </c>
      <c r="H7" s="915"/>
      <c r="I7" s="915"/>
      <c r="J7" s="401"/>
      <c r="K7" s="401"/>
      <c r="L7" s="401"/>
      <c r="M7" s="795"/>
      <c r="AI7" s="538">
        <v>0</v>
      </c>
    </row>
    <row r="8" spans="2:35" ht="11.25" hidden="1" customHeight="1">
      <c r="H8" s="555">
        <v>4</v>
      </c>
      <c r="I8" s="555">
        <v>4</v>
      </c>
      <c r="J8" s="9">
        <v>4</v>
      </c>
      <c r="K8" s="9">
        <v>4</v>
      </c>
      <c r="L8" s="9">
        <v>4</v>
      </c>
      <c r="AI8" s="555">
        <v>0</v>
      </c>
    </row>
    <row r="9" spans="2:35" ht="22.5" hidden="1" customHeight="1">
      <c r="E9" s="583"/>
      <c r="F9" s="37"/>
      <c r="G9" s="583" t="s">
        <v>563</v>
      </c>
      <c r="H9" s="311"/>
      <c r="I9" s="311"/>
      <c r="J9" s="311"/>
      <c r="K9" s="311"/>
      <c r="L9" s="311"/>
      <c r="M9" s="916" t="s">
        <v>566</v>
      </c>
      <c r="AI9" s="555">
        <v>0</v>
      </c>
    </row>
    <row r="10" spans="2:35" ht="11.25" hidden="1" customHeight="1">
      <c r="J10"/>
      <c r="K10"/>
      <c r="L10"/>
      <c r="AI10" s="538">
        <v>0</v>
      </c>
    </row>
    <row r="11" spans="2:35" ht="18.75" hidden="1" customHeight="1">
      <c r="E11" s="910"/>
      <c r="F11" s="37"/>
      <c r="G11" s="583" t="s">
        <v>567</v>
      </c>
      <c r="H11" s="311"/>
      <c r="I11" s="311"/>
      <c r="J11" s="311"/>
      <c r="K11" s="311"/>
      <c r="L11" s="311"/>
      <c r="M11" s="795" t="s">
        <v>568</v>
      </c>
      <c r="AI11" s="538">
        <v>0</v>
      </c>
    </row>
    <row r="12" spans="2:35" ht="11.25" hidden="1" customHeight="1">
      <c r="J12"/>
      <c r="K12"/>
      <c r="L12"/>
      <c r="AI12" s="538">
        <v>0</v>
      </c>
    </row>
    <row r="13" spans="2:35" ht="22.5" hidden="1" customHeight="1">
      <c r="E13" s="910"/>
      <c r="F13" s="37"/>
      <c r="G13" s="542" t="s">
        <v>569</v>
      </c>
      <c r="H13" s="403"/>
      <c r="I13" s="403"/>
      <c r="J13" s="403"/>
      <c r="K13" s="403"/>
      <c r="L13" s="403"/>
      <c r="M13" s="917" t="s">
        <v>570</v>
      </c>
      <c r="AI13" s="538">
        <v>0</v>
      </c>
    </row>
    <row r="14" spans="2:35" ht="11.25" hidden="1" customHeight="1">
      <c r="J14"/>
      <c r="K14"/>
      <c r="L14"/>
      <c r="AI14" s="538">
        <v>0</v>
      </c>
    </row>
    <row r="15" spans="2:35" ht="22.5" hidden="1" customHeight="1">
      <c r="E15" s="910"/>
      <c r="F15" s="37"/>
      <c r="G15" s="583" t="s">
        <v>571</v>
      </c>
      <c r="H15" s="403"/>
      <c r="I15" s="403"/>
      <c r="J15" s="403"/>
      <c r="K15" s="403"/>
      <c r="L15" s="403"/>
      <c r="M15" s="795" t="s">
        <v>572</v>
      </c>
      <c r="AI15" s="538">
        <v>0</v>
      </c>
    </row>
    <row r="16" spans="2:35" ht="11.25" hidden="1" customHeight="1">
      <c r="J16"/>
      <c r="K16"/>
      <c r="L16"/>
      <c r="AI16" s="538">
        <v>0</v>
      </c>
    </row>
    <row r="17" spans="5:35" ht="22.5" hidden="1" customHeight="1">
      <c r="E17" s="910"/>
      <c r="F17" s="37"/>
      <c r="G17" s="583" t="s">
        <v>573</v>
      </c>
      <c r="H17" s="403"/>
      <c r="I17" s="403"/>
      <c r="J17" s="403"/>
      <c r="K17" s="403"/>
      <c r="L17" s="403"/>
      <c r="M17" s="795" t="s">
        <v>574</v>
      </c>
      <c r="AI17" s="538">
        <v>0</v>
      </c>
    </row>
    <row r="18" spans="5:35" ht="11.25" hidden="1" customHeight="1">
      <c r="J18"/>
      <c r="K18"/>
      <c r="L18"/>
      <c r="AI18" s="538">
        <v>0</v>
      </c>
    </row>
    <row r="19" spans="5:35" ht="11.25" hidden="1" customHeight="1">
      <c r="J19"/>
      <c r="K19"/>
      <c r="L19"/>
      <c r="M19" s="536">
        <v>4</v>
      </c>
      <c r="AI19" s="536">
        <v>0</v>
      </c>
    </row>
    <row r="20" spans="5:35" ht="11.45" customHeight="1">
      <c r="J20"/>
      <c r="K20"/>
      <c r="L20"/>
      <c r="AI20" s="538">
        <v>11</v>
      </c>
    </row>
    <row r="21" spans="5:35" ht="25.15" customHeight="1">
      <c r="E21" s="1178"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178"/>
      <c r="G21" s="1178"/>
      <c r="H21" s="1178"/>
      <c r="I21" s="1178"/>
      <c r="J21" s="125"/>
      <c r="K21" s="125"/>
      <c r="L21" s="125"/>
      <c r="AI21" s="538">
        <v>24</v>
      </c>
    </row>
    <row r="22" spans="5:35" ht="25.15" customHeight="1">
      <c r="E22" s="1127" t="str">
        <f>IF(org=0,"Не определено",org)</f>
        <v>АО "НИЖЕГОРОДСКИЙ ВОДОКАНАЛ"</v>
      </c>
      <c r="F22" s="1127"/>
      <c r="G22" s="1127"/>
      <c r="H22" s="1127"/>
      <c r="I22" s="1127"/>
      <c r="J22" s="77"/>
      <c r="K22" s="77"/>
      <c r="L22" s="77"/>
      <c r="AI22" s="538">
        <v>24</v>
      </c>
    </row>
    <row r="23" spans="5:35" ht="11.45" customHeight="1">
      <c r="J23" t="s">
        <v>22</v>
      </c>
      <c r="K23" t="s">
        <v>22</v>
      </c>
      <c r="L23" t="s">
        <v>22</v>
      </c>
      <c r="AI23" s="538">
        <v>11</v>
      </c>
    </row>
    <row r="24" spans="5:35" ht="1.1499999999999999" customHeight="1">
      <c r="H24" s="918"/>
      <c r="I24" s="918" t="s">
        <v>122</v>
      </c>
      <c r="J24" s="404" t="s">
        <v>130</v>
      </c>
      <c r="K24" s="404" t="s">
        <v>132</v>
      </c>
      <c r="L24" s="404" t="s">
        <v>127</v>
      </c>
      <c r="AI24" s="577">
        <v>1</v>
      </c>
    </row>
    <row r="25" spans="5:35" ht="11.45" customHeight="1">
      <c r="E25" s="897"/>
      <c r="F25" s="1275" t="s">
        <v>110</v>
      </c>
      <c r="G25" s="1276"/>
      <c r="H25" s="919" t="str">
        <f>IF(H24="","",INDEX(DIFFERENTIATION_UNMERGE_VD,MATCH(H24,DIFFERENTIATION_ID_DIFF,0)))</f>
        <v/>
      </c>
      <c r="I25" s="919" t="str">
        <f>IF(I24="","",INDEX(DIFFERENTIATION_UNMERGE_VD,MATCH(I24,DIFFERENTIATION_ID_DIFF,0)))</f>
        <v>Холодное водоснабжение. Питьевая вода</v>
      </c>
      <c r="J25" s="405" t="str">
        <f>IF(J24="","",INDEX(DIFFERENTIATION_UNMERGE_VD,MATCH(J24,DIFFERENTIATION_ID_DIFF,0)))</f>
        <v>Холодное водоснабжение. Техническая вода</v>
      </c>
      <c r="K25" s="405" t="str">
        <f>IF(K24="","",INDEX(DIFFERENTIATION_UNMERGE_VD,MATCH(K24,DIFFERENTIATION_ID_DIFF,0)))</f>
        <v>Подключение (технологическое присоединение) к централизованной системе водоснабжения</v>
      </c>
      <c r="L25" s="405" t="str">
        <f>IF(L24="","",INDEX(DIFFERENTIATION_UNMERGE_VD,MATCH(L24,DIFFERENTIATION_ID_DIFF,0)))</f>
        <v>Холодное водоснабжение. Питьевая вода</v>
      </c>
      <c r="M25" s="1066"/>
      <c r="AI25" s="538">
        <v>11</v>
      </c>
    </row>
    <row r="26" spans="5:35" ht="11.45" customHeight="1">
      <c r="E26" s="897"/>
      <c r="F26" s="1275" t="s">
        <v>575</v>
      </c>
      <c r="G26" s="1276"/>
      <c r="H26" s="919" t="str">
        <f>IF(H24="","",INDEX(DIFFERENTIATION_UNMERGE_AREA,MATCH(H24,DIFFERENTIATION_ID_DIFF,0)))</f>
        <v/>
      </c>
      <c r="I26" s="919" t="str">
        <f>IF(I24="","",INDEX(DIFFERENTIATION_UNMERGE_AREA,MATCH(I24,DIFFERENTIATION_ID_DIFF,0)))</f>
        <v>Территория 1</v>
      </c>
      <c r="J26" s="405" t="str">
        <f>IF(J24="","",INDEX(DIFFERENTIATION_UNMERGE_AREA,MATCH(J24,DIFFERENTIATION_ID_DIFF,0)))</f>
        <v>Территория 1</v>
      </c>
      <c r="K26" s="405" t="str">
        <f>IF(K24="","",INDEX(DIFFERENTIATION_UNMERGE_AREA,MATCH(K24,DIFFERENTIATION_ID_DIFF,0)))</f>
        <v>без дифференциации</v>
      </c>
      <c r="L26" s="405" t="str">
        <f>IF(L24="","",INDEX(DIFFERENTIATION_UNMERGE_AREA,MATCH(L24,DIFFERENTIATION_ID_DIFF,0)))</f>
        <v>Территория 2</v>
      </c>
      <c r="M26" s="1066"/>
      <c r="AI26" s="538">
        <v>11</v>
      </c>
    </row>
    <row r="27" spans="5:35" ht="27" customHeight="1">
      <c r="E27" s="897"/>
      <c r="F27" s="1275" t="s">
        <v>576</v>
      </c>
      <c r="G27" s="1276"/>
      <c r="H27" s="919" t="str">
        <f>IF(H24="","",INDEX(DIFFERENTIATION_UNMERGE_SYSTEM,MATCH(H24,DIFFERENTIATION_ID_DIFF,0)))</f>
        <v/>
      </c>
      <c r="I27" s="919" t="str">
        <f>IF(I24="","",INDEX(DIFFERENTIATION_UNMERGE_SYSTEM,MATCH(I24,DIFFERENTIATION_ID_DIFF,0)))</f>
        <v>Централизованная система водоснабжения города Нижнего Новгорода (1)</v>
      </c>
      <c r="J27" s="405" t="str">
        <f>IF(J24="","",INDEX(DIFFERENTIATION_UNMERGE_SYSTEM,MATCH(J24,DIFFERENTIATION_ID_DIFF,0)))</f>
        <v>Централизованная система водоснабжения города Нижнего Новгорода (2)</v>
      </c>
      <c r="K27" s="405" t="str">
        <f>IF(K24="","",INDEX(DIFFERENTIATION_UNMERGE_SYSTEM,MATCH(K24,DIFFERENTIATION_ID_DIFF,0)))</f>
        <v>без дифференциации</v>
      </c>
      <c r="L27" s="405" t="str">
        <f>IF(L24="","",INDEX(DIFFERENTIATION_UNMERGE_SYSTEM,MATCH(L24,DIFFERENTIATION_ID_DIFF,0)))</f>
        <v>Централизованная система водоснабжения Кстовского муниципального района</v>
      </c>
      <c r="M27" s="1066"/>
      <c r="AI27" s="538">
        <v>11</v>
      </c>
    </row>
    <row r="28" spans="5:35" ht="11.45" customHeight="1">
      <c r="E28" s="1277" t="s">
        <v>311</v>
      </c>
      <c r="F28" s="1278"/>
      <c r="G28" s="1278"/>
      <c r="H28" s="898"/>
      <c r="I28" s="898"/>
      <c r="J28" s="380"/>
      <c r="K28" s="380"/>
      <c r="L28" s="380"/>
      <c r="M28" s="1066"/>
      <c r="AI28" s="538">
        <v>11</v>
      </c>
    </row>
    <row r="29" spans="5:35" ht="24" customHeight="1">
      <c r="E29" s="583" t="s">
        <v>87</v>
      </c>
      <c r="F29" s="583" t="s">
        <v>313</v>
      </c>
      <c r="G29" s="583" t="s">
        <v>577</v>
      </c>
      <c r="H29" s="583" t="s">
        <v>314</v>
      </c>
      <c r="I29" s="583" t="s">
        <v>314</v>
      </c>
      <c r="J29" s="35" t="s">
        <v>314</v>
      </c>
      <c r="K29" s="35" t="s">
        <v>314</v>
      </c>
      <c r="L29" s="35" t="s">
        <v>314</v>
      </c>
      <c r="M29" s="1066"/>
      <c r="AI29" s="538">
        <v>23</v>
      </c>
    </row>
    <row r="30" spans="5:35" ht="20.25" customHeight="1">
      <c r="E30" s="910">
        <f>FHD_NUM_P_1</f>
        <v>1</v>
      </c>
      <c r="F30" s="619" t="str">
        <f>FHD_P_1</f>
        <v>Выручка от регулируемых видов деятельности в сфере холодного водоснабжения</v>
      </c>
      <c r="G30" s="583" t="s">
        <v>563</v>
      </c>
      <c r="H30" s="406"/>
      <c r="I30" s="406">
        <f>2765879.51203+78739.16535+413.62762</f>
        <v>2845032.3049999997</v>
      </c>
      <c r="J30" s="406">
        <v>1300.8218899999999</v>
      </c>
      <c r="K30" s="406">
        <f>21023.42714+3426.06798</f>
        <v>24449.49512</v>
      </c>
      <c r="L30" s="406">
        <f>80234.50564+7100.72009+710.36671</f>
        <v>88045.592440000008</v>
      </c>
      <c r="M30" s="795" t="str">
        <f>FHD_NOTE_P_1</f>
        <v>Указывается выручка с распределением по видам деятельности.</v>
      </c>
      <c r="AI30" s="538">
        <v>19</v>
      </c>
    </row>
    <row r="31" spans="5:35" ht="11.45" customHeight="1">
      <c r="E31" s="910">
        <f>FHD_NUM_P_2</f>
        <v>2</v>
      </c>
      <c r="F31" s="619" t="str">
        <f>FHD_P_2</f>
        <v>Себестоимость производимых товаров (оказываемых услуг) по регулируемым видам деятельности в сфере холодного водоснабжения, включая:</v>
      </c>
      <c r="G31" s="583" t="s">
        <v>563</v>
      </c>
      <c r="H31" s="262">
        <f>SUMIF($N32:$N77,$N31,H32:H77)</f>
        <v>0</v>
      </c>
      <c r="I31" s="262">
        <f>SUMIF($N32:$N77,$N31,I32:I77)</f>
        <v>3215710.5329293907</v>
      </c>
      <c r="J31" s="262">
        <f>SUMIF($N32:$N77,$N31,J32:J77)</f>
        <v>1676.9506199999998</v>
      </c>
      <c r="K31" s="262">
        <f>SUMIF($N32:$N77,$N31,K32:K77)</f>
        <v>9758.24676</v>
      </c>
      <c r="L31" s="262">
        <f>SUMIF($N32:$N77,$N31,L32:L77)</f>
        <v>118932.01778000002</v>
      </c>
      <c r="M31" s="795" t="str">
        <f>FHD_NOTE_P_2</f>
        <v>Указывается суммарная себестоимость производимых товаров.</v>
      </c>
      <c r="N31" s="577" t="s">
        <v>578</v>
      </c>
      <c r="AI31" s="538">
        <v>11</v>
      </c>
    </row>
    <row r="32" spans="5:35" ht="28.5" customHeight="1">
      <c r="E32" s="910" t="str">
        <f>FHD_NUM_P_3</f>
        <v>2.1</v>
      </c>
      <c r="F32" s="888" t="str">
        <f>FHD_P_3</f>
        <v>Расходы на оплату холодной воды, приобретаемой у других организаций для последующей подачи потребителям</v>
      </c>
      <c r="G32" s="583" t="s">
        <v>563</v>
      </c>
      <c r="H32" s="406"/>
      <c r="I32" s="406">
        <v>268360.48190999997</v>
      </c>
      <c r="J32" s="406">
        <v>0</v>
      </c>
      <c r="K32" s="406">
        <v>0</v>
      </c>
      <c r="L32" s="406">
        <v>56501.482810000001</v>
      </c>
      <c r="M32" s="795" t="str">
        <f>FHD_NOTE_P_3</f>
        <v/>
      </c>
      <c r="N32" s="577" t="str">
        <f t="shared" ref="N32:N70" si="0">IF((LEN(E32)-LEN(SUBSTITUTE(E32,".","")))/LEN(".")=1,"p","")</f>
        <v>p</v>
      </c>
      <c r="AI32" s="538">
        <v>11</v>
      </c>
    </row>
    <row r="33" spans="1:35" ht="11.25" hidden="1" customHeight="1">
      <c r="A33" s="1279" t="s">
        <v>579</v>
      </c>
      <c r="E33" s="910" t="str">
        <f>FHD_NUM_P_4</f>
        <v/>
      </c>
      <c r="F33" s="888" t="str">
        <f>FHD_P_4</f>
        <v/>
      </c>
      <c r="G33" s="583" t="s">
        <v>563</v>
      </c>
      <c r="H33" s="262">
        <f>SUMIF($F34:$F40,$F3,H34:H40)</f>
        <v>0</v>
      </c>
      <c r="I33" s="262">
        <f>SUMIF($F34:$F40,$F3,I34:I40)</f>
        <v>0</v>
      </c>
      <c r="J33" s="262">
        <f>SUMIF($F34:$F40,$F3,J34:J40)</f>
        <v>0</v>
      </c>
      <c r="K33" s="262">
        <f>SUMIF($F34:$F40,$F3,K34:K40)</f>
        <v>0</v>
      </c>
      <c r="L33" s="262">
        <f>SUMIF($F34:$F40,$F3,L34:L40)</f>
        <v>0</v>
      </c>
      <c r="M33" s="795" t="str">
        <f>FHD_NOTE_P_4</f>
        <v/>
      </c>
      <c r="N33" s="577" t="str">
        <f t="shared" si="0"/>
        <v/>
      </c>
      <c r="AI33" s="538">
        <v>0</v>
      </c>
    </row>
    <row r="34" spans="1:35" ht="0.75" hidden="1" customHeight="1">
      <c r="A34" s="1279"/>
      <c r="B34" s="1280" t="str">
        <f>E33&amp;".0"</f>
        <v>.0</v>
      </c>
      <c r="E34" s="407"/>
      <c r="F34" s="920"/>
      <c r="G34" s="921"/>
      <c r="H34" s="111"/>
      <c r="I34" s="111"/>
      <c r="J34" s="111"/>
      <c r="K34" s="111"/>
      <c r="L34" s="111"/>
      <c r="M34" s="922"/>
      <c r="N34" s="577" t="str">
        <f t="shared" si="0"/>
        <v/>
      </c>
      <c r="AI34" s="681">
        <v>0</v>
      </c>
    </row>
    <row r="35" spans="1:35" ht="0.75" hidden="1" customHeight="1">
      <c r="A35" s="1279"/>
      <c r="B35" s="1031"/>
      <c r="E35" s="923"/>
      <c r="F35" s="924"/>
      <c r="G35" s="921"/>
      <c r="H35" s="408"/>
      <c r="I35" s="408"/>
      <c r="J35" s="408"/>
      <c r="K35" s="408"/>
      <c r="L35" s="408"/>
      <c r="M35" s="922"/>
      <c r="N35" s="577" t="str">
        <f t="shared" si="0"/>
        <v/>
      </c>
      <c r="AI35" s="681">
        <v>0</v>
      </c>
    </row>
    <row r="36" spans="1:35" ht="0.75" hidden="1" customHeight="1">
      <c r="A36" s="1279"/>
      <c r="B36" s="1031"/>
      <c r="E36" s="923"/>
      <c r="F36" s="924"/>
      <c r="G36" s="921"/>
      <c r="H36" s="408"/>
      <c r="I36" s="408"/>
      <c r="J36" s="408"/>
      <c r="K36" s="408"/>
      <c r="L36" s="408"/>
      <c r="M36" s="922"/>
      <c r="N36" s="577" t="str">
        <f t="shared" si="0"/>
        <v/>
      </c>
      <c r="AI36" s="681">
        <v>0</v>
      </c>
    </row>
    <row r="37" spans="1:35" ht="0.75" hidden="1" customHeight="1">
      <c r="A37" s="1279"/>
      <c r="B37" s="1031"/>
      <c r="E37" s="923"/>
      <c r="F37" s="924"/>
      <c r="G37" s="921"/>
      <c r="H37" s="408"/>
      <c r="I37" s="408"/>
      <c r="J37" s="408"/>
      <c r="K37" s="408"/>
      <c r="L37" s="408"/>
      <c r="M37" s="922"/>
      <c r="N37" s="577" t="str">
        <f t="shared" si="0"/>
        <v/>
      </c>
      <c r="AI37" s="681">
        <v>0</v>
      </c>
    </row>
    <row r="38" spans="1:35" ht="0.75" hidden="1" customHeight="1">
      <c r="A38" s="1279"/>
      <c r="B38" s="1031"/>
      <c r="E38" s="923"/>
      <c r="F38" s="924"/>
      <c r="G38" s="921"/>
      <c r="H38" s="408"/>
      <c r="I38" s="408"/>
      <c r="J38" s="408"/>
      <c r="K38" s="408"/>
      <c r="L38" s="408"/>
      <c r="M38" s="922"/>
      <c r="N38" s="577" t="str">
        <f t="shared" si="0"/>
        <v/>
      </c>
      <c r="AI38" s="681">
        <v>0</v>
      </c>
    </row>
    <row r="39" spans="1:35" ht="0.75" hidden="1" customHeight="1">
      <c r="A39" s="1279"/>
      <c r="B39" s="1031"/>
      <c r="E39" s="923"/>
      <c r="F39" s="924"/>
      <c r="G39" s="921"/>
      <c r="H39" s="111"/>
      <c r="I39" s="111"/>
      <c r="J39" s="111"/>
      <c r="K39" s="111"/>
      <c r="L39" s="111"/>
      <c r="M39" s="922"/>
      <c r="N39" s="577" t="str">
        <f t="shared" si="0"/>
        <v/>
      </c>
      <c r="AI39" s="681">
        <v>0</v>
      </c>
    </row>
    <row r="40" spans="1:35" ht="15" hidden="1" customHeight="1">
      <c r="A40" s="1279"/>
      <c r="E40" s="409"/>
      <c r="F40" s="63" t="s">
        <v>580</v>
      </c>
      <c r="G40" s="761"/>
      <c r="H40" s="905"/>
      <c r="I40" s="905"/>
      <c r="J40" s="394"/>
      <c r="K40" s="394"/>
      <c r="L40" s="394"/>
      <c r="M40" s="817"/>
      <c r="N40" s="577" t="str">
        <f t="shared" si="0"/>
        <v/>
      </c>
      <c r="AI40" s="555">
        <v>0</v>
      </c>
    </row>
    <row r="41" spans="1:35" ht="11.25" hidden="1" customHeight="1">
      <c r="A41" s="1279" t="s">
        <v>581</v>
      </c>
      <c r="E41" s="910" t="str">
        <f>FHD_NUM_P_5</f>
        <v/>
      </c>
      <c r="F41" s="888" t="str">
        <f>FHD_P_5</f>
        <v/>
      </c>
      <c r="G41" s="583" t="s">
        <v>563</v>
      </c>
      <c r="H41" s="406"/>
      <c r="I41" s="406"/>
      <c r="J41" s="406"/>
      <c r="K41" s="406"/>
      <c r="L41" s="406"/>
      <c r="M41" s="795" t="str">
        <f>FHD_NOTE_P_5</f>
        <v/>
      </c>
      <c r="N41" s="577" t="str">
        <f t="shared" si="0"/>
        <v/>
      </c>
      <c r="AI41" s="538">
        <v>0</v>
      </c>
    </row>
    <row r="42" spans="1:35" ht="11.25" hidden="1" customHeight="1">
      <c r="A42" s="1279"/>
      <c r="E42" s="910" t="str">
        <f>FHD_NUM_P_6</f>
        <v/>
      </c>
      <c r="F42" s="888" t="str">
        <f>FHD_P_6</f>
        <v/>
      </c>
      <c r="G42" s="583" t="s">
        <v>563</v>
      </c>
      <c r="H42" s="406"/>
      <c r="I42" s="406"/>
      <c r="J42" s="406"/>
      <c r="K42" s="406"/>
      <c r="L42" s="406"/>
      <c r="M42" s="795" t="str">
        <f>FHD_NOTE_P_6</f>
        <v/>
      </c>
      <c r="N42" s="577" t="str">
        <f t="shared" si="0"/>
        <v/>
      </c>
      <c r="AI42" s="538">
        <v>0</v>
      </c>
    </row>
    <row r="43" spans="1:35" ht="11.25" hidden="1" customHeight="1">
      <c r="A43" s="1279"/>
      <c r="E43" s="910" t="str">
        <f>FHD_NUM_P_7</f>
        <v/>
      </c>
      <c r="F43" s="888" t="str">
        <f>FHD_P_7</f>
        <v/>
      </c>
      <c r="G43" s="583" t="s">
        <v>563</v>
      </c>
      <c r="H43" s="406"/>
      <c r="I43" s="406"/>
      <c r="J43" s="406"/>
      <c r="K43" s="406"/>
      <c r="L43" s="406"/>
      <c r="M43" s="795" t="str">
        <f>FHD_NOTE_P_7</f>
        <v/>
      </c>
      <c r="N43" s="577" t="str">
        <f t="shared" si="0"/>
        <v/>
      </c>
      <c r="AI43" s="538">
        <v>0</v>
      </c>
    </row>
    <row r="44" spans="1:35" ht="31.5" customHeight="1">
      <c r="E44" s="910" t="str">
        <f>FHD_NUM_P_8</f>
        <v>2.2</v>
      </c>
      <c r="F44" s="888" t="str">
        <f>FHD_P_8</f>
        <v>Расходы на приобретаемую электрическую энергию (мощность), используемую в технологическом процессе</v>
      </c>
      <c r="G44" s="583" t="s">
        <v>563</v>
      </c>
      <c r="H44" s="406"/>
      <c r="I44" s="406">
        <v>492040.80281000002</v>
      </c>
      <c r="J44" s="406">
        <v>364.00718999999998</v>
      </c>
      <c r="K44" s="406">
        <v>0</v>
      </c>
      <c r="L44" s="406">
        <v>13526.8611</v>
      </c>
      <c r="M44" s="795" t="str">
        <f>FHD_NOTE_P_8</f>
        <v/>
      </c>
      <c r="N44" s="577" t="str">
        <f t="shared" si="0"/>
        <v>p</v>
      </c>
      <c r="AI44" s="538">
        <v>11</v>
      </c>
    </row>
    <row r="45" spans="1:35" ht="11.45" customHeight="1">
      <c r="E45" s="910" t="str">
        <f>FHD_NUM_P_9</f>
        <v>2.2.1</v>
      </c>
      <c r="F45" s="925" t="str">
        <f>FHD_P_9</f>
        <v>Средневзвешенная стоимость 1 кВт.ч (с учетом мощности)</v>
      </c>
      <c r="G45" s="583" t="s">
        <v>582</v>
      </c>
      <c r="H45" s="406"/>
      <c r="I45" s="406">
        <f>I44/I46</f>
        <v>5.8033111915606703</v>
      </c>
      <c r="J45" s="406">
        <f>J44/J46</f>
        <v>5.803311191560665</v>
      </c>
      <c r="K45" s="406">
        <v>0</v>
      </c>
      <c r="L45" s="406">
        <f>L44/L46</f>
        <v>7.801340377123446</v>
      </c>
      <c r="M45" s="795" t="str">
        <f>FHD_NOTE_P_9</f>
        <v/>
      </c>
      <c r="N45" s="577" t="str">
        <f t="shared" si="0"/>
        <v/>
      </c>
      <c r="AI45" s="538">
        <v>11</v>
      </c>
    </row>
    <row r="46" spans="1:35" ht="11.45" customHeight="1">
      <c r="E46" s="910" t="str">
        <f>FHD_NUM_P_10</f>
        <v>2.2.2</v>
      </c>
      <c r="F46" s="925" t="str">
        <f>FHD_P_10</f>
        <v>Объём приобретения электрической энергии</v>
      </c>
      <c r="G46" s="583" t="s">
        <v>583</v>
      </c>
      <c r="H46" s="406"/>
      <c r="I46" s="406">
        <v>84786.217138508597</v>
      </c>
      <c r="J46" s="406">
        <v>62.724051491388103</v>
      </c>
      <c r="K46" s="406">
        <v>0</v>
      </c>
      <c r="L46" s="406">
        <v>1733.915</v>
      </c>
      <c r="M46" s="795" t="str">
        <f>FHD_NOTE_P_10</f>
        <v/>
      </c>
      <c r="N46" s="577" t="str">
        <f t="shared" si="0"/>
        <v/>
      </c>
      <c r="AI46" s="555">
        <v>11</v>
      </c>
    </row>
    <row r="47" spans="1:35" ht="11.25" hidden="1" customHeight="1">
      <c r="A47" s="410" t="s">
        <v>584</v>
      </c>
      <c r="E47" s="910" t="str">
        <f>FHD_NUM_P_11</f>
        <v/>
      </c>
      <c r="F47" s="888" t="str">
        <f>FHD_P_11</f>
        <v/>
      </c>
      <c r="G47" s="583" t="s">
        <v>563</v>
      </c>
      <c r="H47" s="406"/>
      <c r="I47" s="406"/>
      <c r="J47" s="406"/>
      <c r="K47" s="406"/>
      <c r="L47" s="406"/>
      <c r="M47" s="795" t="str">
        <f>FHD_NOTE_P_11</f>
        <v/>
      </c>
      <c r="N47" s="577" t="str">
        <f t="shared" si="0"/>
        <v/>
      </c>
      <c r="AI47" s="555">
        <v>0</v>
      </c>
    </row>
    <row r="48" spans="1:35" ht="18.75" customHeight="1">
      <c r="A48" s="410" t="s">
        <v>585</v>
      </c>
      <c r="E48" s="910" t="str">
        <f>FHD_NUM_P_12</f>
        <v>2.3</v>
      </c>
      <c r="F48" s="888" t="str">
        <f>FHD_P_12</f>
        <v>Расходы на химические реагенты, используемые в технологическом процессе</v>
      </c>
      <c r="G48" s="583" t="s">
        <v>563</v>
      </c>
      <c r="H48" s="411"/>
      <c r="I48" s="411">
        <v>120404.11304</v>
      </c>
      <c r="J48" s="411">
        <v>0</v>
      </c>
      <c r="K48" s="411">
        <v>0</v>
      </c>
      <c r="L48" s="411">
        <v>0</v>
      </c>
      <c r="M48" s="795" t="str">
        <f>FHD_NOTE_P_12</f>
        <v/>
      </c>
      <c r="N48" s="577" t="str">
        <f t="shared" si="0"/>
        <v>p</v>
      </c>
      <c r="AI48" s="555">
        <v>18</v>
      </c>
    </row>
    <row r="49" spans="5:35" ht="11.45" customHeight="1">
      <c r="E49" s="910" t="str">
        <f>FHD_NUM_P_13</f>
        <v>2.4</v>
      </c>
      <c r="F49" s="88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583" t="s">
        <v>563</v>
      </c>
      <c r="H49" s="406"/>
      <c r="I49" s="406">
        <v>873126.88006</v>
      </c>
      <c r="J49" s="406">
        <v>457.03796999999997</v>
      </c>
      <c r="K49" s="406">
        <v>4912.3728099999998</v>
      </c>
      <c r="L49" s="406">
        <v>29408.344710000001</v>
      </c>
      <c r="M49" s="795" t="str">
        <f>FHD_NOTE_P_13</f>
        <v>Указывается общая сумма расходов на оплату труда и отчислений на социальные нужды основного производственного персонала.</v>
      </c>
      <c r="N49" s="577" t="str">
        <f t="shared" si="0"/>
        <v>p</v>
      </c>
      <c r="AI49" s="926">
        <v>11</v>
      </c>
    </row>
    <row r="50" spans="5:35" ht="33" customHeight="1">
      <c r="E50" s="910" t="str">
        <f>FHD_NUM_P_14</f>
        <v>2.4.1</v>
      </c>
      <c r="F50" s="925" t="str">
        <f>FHD_P_14</f>
        <v>Расходы на оплату труда основного производственного персонала</v>
      </c>
      <c r="G50" s="583" t="s">
        <v>563</v>
      </c>
      <c r="H50" s="406"/>
      <c r="I50" s="406">
        <v>669401.82733</v>
      </c>
      <c r="J50" s="406">
        <v>350.20065</v>
      </c>
      <c r="K50" s="406">
        <v>3769.8051799999998</v>
      </c>
      <c r="L50" s="406">
        <v>22559.716110000001</v>
      </c>
      <c r="M50" s="795" t="str">
        <f>FHD_NOTE_P_14</f>
        <v/>
      </c>
      <c r="N50" s="577" t="str">
        <f t="shared" si="0"/>
        <v/>
      </c>
      <c r="AI50" s="926">
        <v>11</v>
      </c>
    </row>
    <row r="51" spans="5:35" ht="11.45" customHeight="1">
      <c r="E51" s="910" t="str">
        <f>FHD_NUM_P_15</f>
        <v>2.4.2</v>
      </c>
      <c r="F51" s="925" t="str">
        <f>FHD_P_15</f>
        <v>Страховые взносы на обязательное социальное страхование, выплачиваемые из фонда оплаты труда основного производственного персонала</v>
      </c>
      <c r="G51" s="583" t="s">
        <v>563</v>
      </c>
      <c r="H51" s="406"/>
      <c r="I51" s="406">
        <v>203725.05273</v>
      </c>
      <c r="J51" s="406">
        <v>106.83732000000001</v>
      </c>
      <c r="K51" s="406">
        <v>1142.56763</v>
      </c>
      <c r="L51" s="406">
        <v>6848.6286</v>
      </c>
      <c r="M51" s="795" t="str">
        <f>FHD_NOTE_P_15</f>
        <v/>
      </c>
      <c r="N51" s="577" t="str">
        <f t="shared" si="0"/>
        <v/>
      </c>
      <c r="AI51" s="926">
        <v>11</v>
      </c>
    </row>
    <row r="52" spans="5:35" ht="27" customHeight="1">
      <c r="E52" s="910" t="str">
        <f>FHD_NUM_P_16</f>
        <v>2.5</v>
      </c>
      <c r="F52" s="88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583" t="s">
        <v>563</v>
      </c>
      <c r="H52" s="406"/>
      <c r="I52" s="406">
        <v>148096.34993</v>
      </c>
      <c r="J52" s="406">
        <v>82.383489999999995</v>
      </c>
      <c r="K52" s="406">
        <v>4845.8739500000001</v>
      </c>
      <c r="L52" s="406">
        <v>1772.99146</v>
      </c>
      <c r="M52" s="795" t="str">
        <f>FHD_NOTE_P_16</f>
        <v>Указывается общая сумма расходов на оплату труда и отчислений на социальные нужды административно-управленческого персонала.</v>
      </c>
      <c r="N52" s="577" t="str">
        <f t="shared" si="0"/>
        <v>p</v>
      </c>
      <c r="AI52" s="555">
        <v>11</v>
      </c>
    </row>
    <row r="53" spans="5:35" ht="27" customHeight="1">
      <c r="E53" s="910" t="str">
        <f>FHD_NUM_P_17</f>
        <v>2.5.1</v>
      </c>
      <c r="F53" s="925" t="str">
        <f>FHD_P_17</f>
        <v>Расходы на оплату труда административно-управленческого персонала</v>
      </c>
      <c r="G53" s="583" t="s">
        <v>563</v>
      </c>
      <c r="H53" s="406"/>
      <c r="I53" s="406">
        <v>115410.41012</v>
      </c>
      <c r="J53" s="406">
        <v>63.663760000000003</v>
      </c>
      <c r="K53" s="406">
        <v>3719.2167399999998</v>
      </c>
      <c r="L53" s="406">
        <v>1373.4338299999999</v>
      </c>
      <c r="M53" s="795" t="str">
        <f>FHD_NOTE_P_17</f>
        <v/>
      </c>
      <c r="N53" s="577" t="str">
        <f t="shared" si="0"/>
        <v/>
      </c>
      <c r="AI53" s="555">
        <v>11</v>
      </c>
    </row>
    <row r="54" spans="5:35" ht="11.45" customHeight="1">
      <c r="E54" s="910" t="str">
        <f>FHD_NUM_P_18</f>
        <v>2.5.2</v>
      </c>
      <c r="F54" s="92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583" t="s">
        <v>563</v>
      </c>
      <c r="H54" s="406"/>
      <c r="I54" s="406">
        <v>32685.93981</v>
      </c>
      <c r="J54" s="406">
        <v>18.719729999999998</v>
      </c>
      <c r="K54" s="406">
        <v>1126.6572100000001</v>
      </c>
      <c r="L54" s="406">
        <v>399.55763000000002</v>
      </c>
      <c r="M54" s="795" t="str">
        <f>FHD_NOTE_P_18</f>
        <v/>
      </c>
      <c r="N54" s="577" t="str">
        <f t="shared" si="0"/>
        <v/>
      </c>
      <c r="AI54" s="555">
        <v>11</v>
      </c>
    </row>
    <row r="55" spans="5:35" ht="24" customHeight="1">
      <c r="E55" s="910" t="str">
        <f>FHD_NUM_P_19</f>
        <v>2.6</v>
      </c>
      <c r="F55" s="888" t="str">
        <f>FHD_P_19</f>
        <v>Расходы на амортизацию основных средств и нематериальных активов</v>
      </c>
      <c r="G55" s="583" t="s">
        <v>563</v>
      </c>
      <c r="H55" s="406"/>
      <c r="I55" s="406">
        <v>256532.60874</v>
      </c>
      <c r="J55" s="406">
        <v>108.19744</v>
      </c>
      <c r="K55" s="406">
        <v>0</v>
      </c>
      <c r="L55" s="406">
        <v>4506.6188700000002</v>
      </c>
      <c r="M55" s="795" t="str">
        <f>FHD_NOTE_P_19</f>
        <v/>
      </c>
      <c r="N55" s="577" t="str">
        <f t="shared" si="0"/>
        <v>p</v>
      </c>
      <c r="AI55" s="555">
        <v>11</v>
      </c>
    </row>
    <row r="56" spans="5:35" ht="11.45" customHeight="1">
      <c r="E56" s="910" t="str">
        <f>FHD_NUM_P_20</f>
        <v>2.6.1</v>
      </c>
      <c r="F56" s="925" t="str">
        <f>FHD_P_20</f>
        <v>Расходы на амортизацию основных средств</v>
      </c>
      <c r="G56" s="583" t="s">
        <v>563</v>
      </c>
      <c r="H56" s="406"/>
      <c r="I56" s="406">
        <v>256532.60874</v>
      </c>
      <c r="J56" s="406">
        <v>108.19744</v>
      </c>
      <c r="K56" s="406">
        <v>0</v>
      </c>
      <c r="L56" s="406">
        <v>4506.6188700000002</v>
      </c>
      <c r="M56" s="795" t="str">
        <f>FHD_NOTE_P_20</f>
        <v/>
      </c>
      <c r="N56" s="577" t="str">
        <f t="shared" si="0"/>
        <v/>
      </c>
      <c r="AI56" s="555">
        <v>11</v>
      </c>
    </row>
    <row r="57" spans="5:35" ht="11.45" customHeight="1">
      <c r="E57" s="910" t="str">
        <f>FHD_NUM_P_21</f>
        <v>2.6.2</v>
      </c>
      <c r="F57" s="925" t="str">
        <f>FHD_P_21</f>
        <v>Расходы на амортизацию нематериальных активов</v>
      </c>
      <c r="G57" s="583" t="s">
        <v>563</v>
      </c>
      <c r="H57" s="406"/>
      <c r="I57" s="406">
        <v>0</v>
      </c>
      <c r="J57" s="406">
        <v>0</v>
      </c>
      <c r="K57" s="406">
        <v>0</v>
      </c>
      <c r="L57" s="406">
        <v>0</v>
      </c>
      <c r="M57" s="795" t="str">
        <f>FHD_NOTE_P_21</f>
        <v/>
      </c>
      <c r="N57" s="577" t="str">
        <f t="shared" si="0"/>
        <v/>
      </c>
      <c r="AI57" s="555">
        <v>11</v>
      </c>
    </row>
    <row r="58" spans="5:35" ht="34.5" customHeight="1">
      <c r="E58" s="910" t="str">
        <f>FHD_NUM_P_22</f>
        <v>2.7</v>
      </c>
      <c r="F58" s="888" t="str">
        <f>FHD_P_22</f>
        <v>Расходы на аренду имущества, используемого для осуществления регулируемых видов деятельности в сфере холодного водоснабжения</v>
      </c>
      <c r="G58" s="583" t="s">
        <v>563</v>
      </c>
      <c r="H58" s="406"/>
      <c r="I58" s="406">
        <v>21828.388269999999</v>
      </c>
      <c r="J58" s="406">
        <v>13.0242</v>
      </c>
      <c r="K58" s="406">
        <v>0</v>
      </c>
      <c r="L58" s="406">
        <v>1000.68199</v>
      </c>
      <c r="M58" s="795" t="str">
        <f>FHD_NOTE_P_22</f>
        <v/>
      </c>
      <c r="N58" s="577" t="str">
        <f t="shared" si="0"/>
        <v>p</v>
      </c>
      <c r="AI58" s="555">
        <v>11</v>
      </c>
    </row>
    <row r="59" spans="5:35" ht="11.45" customHeight="1">
      <c r="E59" s="910" t="str">
        <f>FHD_NUM_P_23</f>
        <v>2.8</v>
      </c>
      <c r="F59" s="888" t="str">
        <f>FHD_P_23</f>
        <v>Общепроизводственные расходы, в том числе:</v>
      </c>
      <c r="G59" s="583" t="s">
        <v>563</v>
      </c>
      <c r="H59" s="406"/>
      <c r="I59" s="406">
        <v>206687.32769999999</v>
      </c>
      <c r="J59" s="406">
        <v>273.18835999999999</v>
      </c>
      <c r="K59" s="406">
        <v>0</v>
      </c>
      <c r="L59" s="406">
        <v>1492.1815200000001</v>
      </c>
      <c r="M59" s="795" t="str">
        <f>FHD_NOTE_P_23</f>
        <v>Указывается общая сумма общепроизводственных расходов.</v>
      </c>
      <c r="N59" s="577" t="str">
        <f t="shared" si="0"/>
        <v>p</v>
      </c>
      <c r="AI59" s="555">
        <v>11</v>
      </c>
    </row>
    <row r="60" spans="5:35" ht="11.45" customHeight="1">
      <c r="E60" s="910" t="str">
        <f>FHD_NUM_P_24</f>
        <v>2.8.1</v>
      </c>
      <c r="F60" s="925" t="str">
        <f>FHD_P_24</f>
        <v>Расходы на текущий ремонт</v>
      </c>
      <c r="G60" s="583" t="s">
        <v>563</v>
      </c>
      <c r="H60" s="406"/>
      <c r="I60" s="406">
        <v>1885.79783</v>
      </c>
      <c r="J60" s="406">
        <v>1.00431</v>
      </c>
      <c r="K60" s="406">
        <v>0</v>
      </c>
      <c r="L60" s="406">
        <v>0</v>
      </c>
      <c r="M60" s="795" t="str">
        <f>FHD_NOTE_P_24</f>
        <v>Указываются расходы на текущий ремонт, отнесенные к общепроизводственным расходам.</v>
      </c>
      <c r="N60" s="577" t="str">
        <f t="shared" si="0"/>
        <v/>
      </c>
      <c r="AI60" s="555">
        <v>11</v>
      </c>
    </row>
    <row r="61" spans="5:35" ht="11.45" customHeight="1">
      <c r="E61" s="910" t="str">
        <f>FHD_NUM_P_25</f>
        <v>2.8.2</v>
      </c>
      <c r="F61" s="925" t="str">
        <f>FHD_P_25</f>
        <v>Расходы на капитальный ремонт</v>
      </c>
      <c r="G61" s="583" t="s">
        <v>563</v>
      </c>
      <c r="H61" s="406"/>
      <c r="I61" s="406">
        <v>1441.5972400000001</v>
      </c>
      <c r="J61" s="406">
        <v>0.74245000000000005</v>
      </c>
      <c r="K61" s="406">
        <v>0</v>
      </c>
      <c r="L61" s="406">
        <v>0</v>
      </c>
      <c r="M61" s="795" t="str">
        <f>FHD_NOTE_P_25</f>
        <v>Указываются расходы на капитальный ремонт, отнесенные к общепроизводственным расходам.</v>
      </c>
      <c r="N61" s="577" t="str">
        <f t="shared" si="0"/>
        <v/>
      </c>
      <c r="AI61" s="555">
        <v>11</v>
      </c>
    </row>
    <row r="62" spans="5:35" ht="11.45" customHeight="1">
      <c r="E62" s="910" t="str">
        <f>FHD_NUM_P_26</f>
        <v>2.9</v>
      </c>
      <c r="F62" s="888" t="str">
        <f>FHD_P_26</f>
        <v>Общехозяйственные расходы, в том числе:</v>
      </c>
      <c r="G62" s="583" t="s">
        <v>563</v>
      </c>
      <c r="H62" s="406"/>
      <c r="I62" s="406">
        <v>119675.02757000001</v>
      </c>
      <c r="J62" s="406">
        <v>65.231949999999998</v>
      </c>
      <c r="K62" s="406">
        <v>0</v>
      </c>
      <c r="L62" s="406">
        <v>3672.3175500000002</v>
      </c>
      <c r="M62" s="795" t="str">
        <f>FHD_NOTE_P_26</f>
        <v>Указывается общая сумма общехозяйственных расходов.</v>
      </c>
      <c r="N62" s="577" t="str">
        <f t="shared" si="0"/>
        <v>p</v>
      </c>
      <c r="AI62" s="555">
        <v>11</v>
      </c>
    </row>
    <row r="63" spans="5:35" ht="11.45" customHeight="1">
      <c r="E63" s="910" t="str">
        <f>FHD_NUM_P_27</f>
        <v>2.9.1</v>
      </c>
      <c r="F63" s="925" t="str">
        <f>FHD_P_27</f>
        <v>Расходы на текущий ремонт</v>
      </c>
      <c r="G63" s="583" t="s">
        <v>563</v>
      </c>
      <c r="H63" s="406"/>
      <c r="I63" s="406">
        <v>76.906970000000001</v>
      </c>
      <c r="J63" s="406">
        <v>4.5659999999999999E-2</v>
      </c>
      <c r="K63" s="406">
        <v>0</v>
      </c>
      <c r="L63" s="406">
        <v>0.40314</v>
      </c>
      <c r="M63" s="795" t="str">
        <f>FHD_NOTE_P_27</f>
        <v>Указываются расходы на текущий ремонт, отнесенные к общехозяйственным расходам.</v>
      </c>
      <c r="N63" s="577" t="str">
        <f t="shared" si="0"/>
        <v/>
      </c>
      <c r="AI63" s="555">
        <v>11</v>
      </c>
    </row>
    <row r="64" spans="5:35" ht="11.45" customHeight="1">
      <c r="E64" s="910" t="str">
        <f>FHD_NUM_P_28</f>
        <v>2.9.2</v>
      </c>
      <c r="F64" s="925" t="str">
        <f>FHD_P_28</f>
        <v>Расходы на капитальный ремонт</v>
      </c>
      <c r="G64" s="583" t="s">
        <v>563</v>
      </c>
      <c r="H64" s="406"/>
      <c r="I64" s="406">
        <v>103.03852999999999</v>
      </c>
      <c r="J64" s="406">
        <v>6.8559999999999996E-2</v>
      </c>
      <c r="K64" s="406">
        <v>0</v>
      </c>
      <c r="L64" s="406">
        <v>0</v>
      </c>
      <c r="M64" s="795" t="str">
        <f>FHD_NOTE_P_28</f>
        <v>Указываются расходы на капитальный ремонт, отнесенные к общехозяйственным расходам.</v>
      </c>
      <c r="N64" s="577" t="str">
        <f t="shared" si="0"/>
        <v/>
      </c>
      <c r="AI64" s="555">
        <v>11</v>
      </c>
    </row>
    <row r="65" spans="1:35" ht="11.45" customHeight="1">
      <c r="E65" s="910" t="str">
        <f>FHD_NUM_P_29</f>
        <v>2.10</v>
      </c>
      <c r="F65" s="888" t="str">
        <f>FHD_P_29</f>
        <v>Расходы на капитальный и текущий ремонт основных средств</v>
      </c>
      <c r="G65" s="583" t="s">
        <v>563</v>
      </c>
      <c r="H65" s="406"/>
      <c r="I65" s="406">
        <v>369278.94704</v>
      </c>
      <c r="J65" s="406">
        <v>235.50422</v>
      </c>
      <c r="K65" s="406">
        <v>0</v>
      </c>
      <c r="L65" s="406">
        <v>5252.8989600000004</v>
      </c>
      <c r="M65" s="79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5" s="577" t="str">
        <f t="shared" si="0"/>
        <v>p</v>
      </c>
      <c r="AI65" s="555">
        <v>11</v>
      </c>
    </row>
    <row r="66" spans="1:35" ht="50.25" customHeight="1">
      <c r="E66" s="910" t="str">
        <f>FHD_NUM_P_30</f>
        <v>2.10.1</v>
      </c>
      <c r="F66" s="92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583" t="s">
        <v>317</v>
      </c>
      <c r="H66" s="107" t="s">
        <v>586</v>
      </c>
      <c r="I66" s="107" t="s">
        <v>586</v>
      </c>
      <c r="J66" s="107" t="s">
        <v>586</v>
      </c>
      <c r="K66" s="107" t="s">
        <v>586</v>
      </c>
      <c r="L66" s="107" t="s">
        <v>586</v>
      </c>
      <c r="M66" s="795" t="str">
        <f>FHD_NOTE_P_30</f>
        <v/>
      </c>
      <c r="N66" s="577" t="str">
        <f t="shared" si="0"/>
        <v/>
      </c>
      <c r="O66" s="577">
        <f>IFERROR(MATCH("есть",B_FHD_FLAG_INDEX_1,0),0)</f>
        <v>0</v>
      </c>
      <c r="AI66" s="555">
        <v>11</v>
      </c>
    </row>
    <row r="67" spans="1:35" ht="45" customHeight="1">
      <c r="A67" s="1279" t="s">
        <v>587</v>
      </c>
      <c r="E67" s="910" t="str">
        <f>FHD_NUM_P_31</f>
        <v>2.11</v>
      </c>
      <c r="F67" s="888"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583" t="s">
        <v>563</v>
      </c>
      <c r="H67" s="406"/>
      <c r="I67" s="406">
        <v>115282.39315</v>
      </c>
      <c r="J67" s="406">
        <v>51.06391</v>
      </c>
      <c r="K67" s="406">
        <v>0</v>
      </c>
      <c r="L67" s="406">
        <v>547.24692000000005</v>
      </c>
      <c r="M67" s="79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7" s="577" t="str">
        <f t="shared" si="0"/>
        <v>p</v>
      </c>
      <c r="AI67" s="555">
        <v>22</v>
      </c>
    </row>
    <row r="68" spans="1:35" ht="47.25" customHeight="1">
      <c r="A68" s="1279"/>
      <c r="E68" s="910" t="str">
        <f>FHD_NUM_P_32</f>
        <v>2.11.1</v>
      </c>
      <c r="F68" s="925"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583" t="s">
        <v>317</v>
      </c>
      <c r="H68" s="107" t="s">
        <v>586</v>
      </c>
      <c r="I68" s="107" t="s">
        <v>586</v>
      </c>
      <c r="J68" s="107" t="s">
        <v>586</v>
      </c>
      <c r="K68" s="107" t="s">
        <v>586</v>
      </c>
      <c r="L68" s="107" t="s">
        <v>586</v>
      </c>
      <c r="M68" s="795" t="str">
        <f>FHD_NOTE_P_32</f>
        <v/>
      </c>
      <c r="N68" s="577" t="str">
        <f t="shared" si="0"/>
        <v/>
      </c>
      <c r="O68" s="577">
        <f>IFERROR(MATCH("есть",B_FHD_FLAG_INDEX_2,0),0)</f>
        <v>0</v>
      </c>
      <c r="AI68" s="555">
        <v>45</v>
      </c>
    </row>
    <row r="69" spans="1:35" ht="92.25" customHeight="1">
      <c r="E69" s="910" t="str">
        <f>FHD_NUM_P_33</f>
        <v>2.12</v>
      </c>
      <c r="F69" s="888"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617" t="s">
        <v>563</v>
      </c>
      <c r="H69" s="412">
        <f>SUM(H70:H77)</f>
        <v>0</v>
      </c>
      <c r="I69" s="412">
        <f>SUM(I70:I77)</f>
        <v>224397.21270939091</v>
      </c>
      <c r="J69" s="412">
        <f>SUM(J70:J77)</f>
        <v>27.311889999999998</v>
      </c>
      <c r="K69" s="412">
        <f>SUM(K70:K77)</f>
        <v>0</v>
      </c>
      <c r="L69" s="412">
        <f>SUM(L70:L77)</f>
        <v>1250.3918899999999</v>
      </c>
      <c r="M69" s="79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N69" s="577" t="str">
        <f t="shared" si="0"/>
        <v>p</v>
      </c>
      <c r="AI69" s="555">
        <v>11</v>
      </c>
    </row>
    <row r="70" spans="1:35" ht="1.1499999999999999" customHeight="1">
      <c r="E70" s="584" t="str">
        <f>E69&amp;".0"</f>
        <v>2.12.0</v>
      </c>
      <c r="F70" s="927"/>
      <c r="G70" s="584"/>
      <c r="H70" s="413"/>
      <c r="I70" s="413"/>
      <c r="J70" s="413"/>
      <c r="K70" s="413"/>
      <c r="L70" s="413"/>
      <c r="M70" s="928"/>
      <c r="N70" s="577" t="str">
        <f t="shared" si="0"/>
        <v/>
      </c>
      <c r="AI70" s="577">
        <v>1</v>
      </c>
    </row>
    <row r="71" spans="1:35" s="1029" customFormat="1" ht="22.5" customHeight="1">
      <c r="A71"/>
      <c r="B71"/>
      <c r="C71"/>
      <c r="D71" s="181" t="s">
        <v>103</v>
      </c>
      <c r="E71" s="35" t="str">
        <f>E69&amp;".1"</f>
        <v>2.12.1</v>
      </c>
      <c r="F71" s="37" t="s">
        <v>588</v>
      </c>
      <c r="G71" s="35" t="s">
        <v>563</v>
      </c>
      <c r="H71" s="311"/>
      <c r="I71" s="311">
        <v>74636.34186</v>
      </c>
      <c r="J71" s="311">
        <v>17.03913</v>
      </c>
      <c r="K71" s="311">
        <v>0</v>
      </c>
      <c r="L71" s="311">
        <v>0</v>
      </c>
      <c r="M71" s="402" t="s">
        <v>566</v>
      </c>
      <c r="N71"/>
      <c r="O71"/>
      <c r="P71"/>
      <c r="Q71"/>
      <c r="R71"/>
      <c r="S71"/>
      <c r="T71"/>
      <c r="U71"/>
      <c r="V71"/>
      <c r="W71"/>
      <c r="X71"/>
      <c r="Y71"/>
      <c r="Z71"/>
      <c r="AA71"/>
      <c r="AB71"/>
      <c r="AC71"/>
      <c r="AD71"/>
      <c r="AE71"/>
      <c r="AF71"/>
      <c r="AG71"/>
      <c r="AH71"/>
      <c r="AI71" s="9">
        <v>0</v>
      </c>
    </row>
    <row r="72" spans="1:35" s="1029" customFormat="1" ht="22.5" customHeight="1">
      <c r="A72"/>
      <c r="B72"/>
      <c r="C72"/>
      <c r="D72" s="181" t="s">
        <v>103</v>
      </c>
      <c r="E72" s="35" t="str">
        <f>E69&amp;".2"</f>
        <v>2.12.2</v>
      </c>
      <c r="F72" s="37" t="s">
        <v>589</v>
      </c>
      <c r="G72" s="35" t="s">
        <v>563</v>
      </c>
      <c r="H72" s="311"/>
      <c r="I72" s="311">
        <v>62.279609999999998</v>
      </c>
      <c r="J72" s="311">
        <v>1.3509999999999999E-2</v>
      </c>
      <c r="K72" s="311">
        <v>0</v>
      </c>
      <c r="L72" s="311">
        <v>650.12900000000002</v>
      </c>
      <c r="M72" s="402" t="s">
        <v>566</v>
      </c>
      <c r="N72"/>
      <c r="O72"/>
      <c r="P72"/>
      <c r="Q72"/>
      <c r="R72"/>
      <c r="S72"/>
      <c r="T72"/>
      <c r="U72"/>
      <c r="V72"/>
      <c r="W72"/>
      <c r="X72"/>
      <c r="Y72"/>
      <c r="Z72"/>
      <c r="AA72"/>
      <c r="AB72"/>
      <c r="AC72"/>
      <c r="AD72"/>
      <c r="AE72"/>
      <c r="AF72"/>
      <c r="AG72"/>
      <c r="AH72"/>
      <c r="AI72" s="9">
        <v>0</v>
      </c>
    </row>
    <row r="73" spans="1:35" s="1029" customFormat="1" ht="22.5" customHeight="1">
      <c r="A73"/>
      <c r="B73"/>
      <c r="C73"/>
      <c r="D73" s="181" t="s">
        <v>103</v>
      </c>
      <c r="E73" s="35" t="str">
        <f>E69&amp;".3"</f>
        <v>2.12.3</v>
      </c>
      <c r="F73" s="37" t="s">
        <v>590</v>
      </c>
      <c r="G73" s="35" t="s">
        <v>563</v>
      </c>
      <c r="H73" s="311"/>
      <c r="I73" s="311">
        <v>1465.31574</v>
      </c>
      <c r="J73" s="311">
        <v>0.82230000000000003</v>
      </c>
      <c r="K73" s="311">
        <v>0</v>
      </c>
      <c r="L73" s="311">
        <v>0</v>
      </c>
      <c r="M73" s="402" t="s">
        <v>566</v>
      </c>
      <c r="N73"/>
      <c r="O73"/>
      <c r="P73"/>
      <c r="Q73"/>
      <c r="R73"/>
      <c r="S73"/>
      <c r="T73"/>
      <c r="U73"/>
      <c r="V73"/>
      <c r="W73"/>
      <c r="X73"/>
      <c r="Y73"/>
      <c r="Z73"/>
      <c r="AA73"/>
      <c r="AB73"/>
      <c r="AC73"/>
      <c r="AD73"/>
      <c r="AE73"/>
      <c r="AF73"/>
      <c r="AG73"/>
      <c r="AH73"/>
      <c r="AI73" s="9">
        <v>0</v>
      </c>
    </row>
    <row r="74" spans="1:35" s="1029" customFormat="1" ht="22.5" customHeight="1">
      <c r="A74"/>
      <c r="B74"/>
      <c r="C74"/>
      <c r="D74" s="181" t="s">
        <v>103</v>
      </c>
      <c r="E74" s="35" t="str">
        <f>E69&amp;".4"</f>
        <v>2.12.4</v>
      </c>
      <c r="F74" s="37" t="s">
        <v>591</v>
      </c>
      <c r="G74" s="35" t="s">
        <v>563</v>
      </c>
      <c r="H74" s="311"/>
      <c r="I74" s="311">
        <v>16554.715990000001</v>
      </c>
      <c r="J74" s="311">
        <v>9.4369499999999995</v>
      </c>
      <c r="K74" s="311">
        <v>0</v>
      </c>
      <c r="L74" s="311">
        <v>600.26288999999997</v>
      </c>
      <c r="M74" s="402" t="s">
        <v>566</v>
      </c>
      <c r="N74"/>
      <c r="O74"/>
      <c r="P74"/>
      <c r="Q74"/>
      <c r="R74"/>
      <c r="S74"/>
      <c r="T74"/>
      <c r="U74"/>
      <c r="V74"/>
      <c r="W74"/>
      <c r="X74"/>
      <c r="Y74"/>
      <c r="Z74"/>
      <c r="AA74"/>
      <c r="AB74"/>
      <c r="AC74"/>
      <c r="AD74"/>
      <c r="AE74"/>
      <c r="AF74"/>
      <c r="AG74"/>
      <c r="AH74"/>
      <c r="AI74" s="9">
        <v>0</v>
      </c>
    </row>
    <row r="75" spans="1:35" s="1029" customFormat="1" ht="22.5" customHeight="1">
      <c r="A75"/>
      <c r="B75"/>
      <c r="C75"/>
      <c r="D75" s="181" t="s">
        <v>103</v>
      </c>
      <c r="E75" s="35" t="str">
        <f>E69&amp;".5"</f>
        <v>2.12.5</v>
      </c>
      <c r="F75" s="37" t="s">
        <v>592</v>
      </c>
      <c r="G75" s="35" t="s">
        <v>563</v>
      </c>
      <c r="H75" s="311"/>
      <c r="I75" s="311">
        <v>126392.17032995301</v>
      </c>
      <c r="J75" s="311">
        <v>0</v>
      </c>
      <c r="K75" s="311">
        <v>0</v>
      </c>
      <c r="L75" s="311">
        <v>0</v>
      </c>
      <c r="M75" s="402" t="s">
        <v>566</v>
      </c>
      <c r="N75"/>
      <c r="O75"/>
      <c r="P75"/>
      <c r="Q75"/>
      <c r="R75"/>
      <c r="S75"/>
      <c r="T75"/>
      <c r="U75"/>
      <c r="V75"/>
      <c r="W75"/>
      <c r="X75"/>
      <c r="Y75"/>
      <c r="Z75"/>
      <c r="AA75"/>
      <c r="AB75"/>
      <c r="AC75"/>
      <c r="AD75"/>
      <c r="AE75"/>
      <c r="AF75"/>
      <c r="AG75"/>
      <c r="AH75"/>
      <c r="AI75" s="9">
        <v>0</v>
      </c>
    </row>
    <row r="76" spans="1:35" s="1029" customFormat="1" ht="22.5" customHeight="1">
      <c r="A76"/>
      <c r="B76"/>
      <c r="C76"/>
      <c r="D76" s="181" t="s">
        <v>103</v>
      </c>
      <c r="E76" s="35" t="str">
        <f>E69&amp;".6"</f>
        <v>2.12.6</v>
      </c>
      <c r="F76" s="37" t="s">
        <v>593</v>
      </c>
      <c r="G76" s="35" t="s">
        <v>563</v>
      </c>
      <c r="H76" s="311"/>
      <c r="I76" s="311">
        <v>5286.3891794378997</v>
      </c>
      <c r="J76" s="311">
        <v>0</v>
      </c>
      <c r="K76" s="311">
        <v>0</v>
      </c>
      <c r="L76" s="311">
        <v>0</v>
      </c>
      <c r="M76" s="402" t="s">
        <v>566</v>
      </c>
      <c r="N76"/>
      <c r="O76"/>
      <c r="P76"/>
      <c r="Q76"/>
      <c r="R76"/>
      <c r="S76"/>
      <c r="T76"/>
      <c r="U76"/>
      <c r="V76"/>
      <c r="W76"/>
      <c r="X76"/>
      <c r="Y76"/>
      <c r="Z76"/>
      <c r="AA76"/>
      <c r="AB76"/>
      <c r="AC76"/>
      <c r="AD76"/>
      <c r="AE76"/>
      <c r="AF76"/>
      <c r="AG76"/>
      <c r="AH76"/>
      <c r="AI76" s="9">
        <v>0</v>
      </c>
    </row>
    <row r="77" spans="1:35" ht="14.65" customHeight="1">
      <c r="E77" s="409"/>
      <c r="F77" s="63" t="s">
        <v>594</v>
      </c>
      <c r="G77" s="761"/>
      <c r="H77" s="905"/>
      <c r="I77" s="905"/>
      <c r="J77" s="394"/>
      <c r="K77" s="394"/>
      <c r="L77" s="394"/>
      <c r="M77" s="817"/>
      <c r="AI77" s="555">
        <v>14</v>
      </c>
    </row>
    <row r="78" spans="1:35" ht="18.75" hidden="1" customHeight="1">
      <c r="A78" s="410" t="s">
        <v>595</v>
      </c>
      <c r="E78" s="910" t="str">
        <f>FHD_NUM_P_34</f>
        <v/>
      </c>
      <c r="F78" s="619" t="str">
        <f>FHD_P_34</f>
        <v/>
      </c>
      <c r="G78" s="583" t="s">
        <v>563</v>
      </c>
      <c r="H78" s="406"/>
      <c r="I78" s="406"/>
      <c r="J78" s="406"/>
      <c r="K78" s="406"/>
      <c r="L78" s="406"/>
      <c r="M78" s="795" t="str">
        <f>FHD_NOTE_P_34</f>
        <v/>
      </c>
      <c r="AI78" s="555">
        <v>0</v>
      </c>
    </row>
    <row r="79" spans="1:35" ht="20.25" customHeight="1">
      <c r="E79" s="910" t="str">
        <f>FHD_NUM_P_35</f>
        <v>3</v>
      </c>
      <c r="F79" s="619" t="str">
        <f>FHD_P_35</f>
        <v>Чистая прибыль, полученная от регулируемого вида деятельности в сфере холодного водоснабжения, в том числе:</v>
      </c>
      <c r="G79" s="583" t="s">
        <v>563</v>
      </c>
      <c r="H79" s="406"/>
      <c r="I79" s="406">
        <v>-265857.42822717899</v>
      </c>
      <c r="J79" s="406">
        <v>-263.02605545434801</v>
      </c>
      <c r="K79" s="406">
        <v>10957.1381957004</v>
      </c>
      <c r="L79" s="406">
        <v>-20196.929539471399</v>
      </c>
      <c r="M79" s="795" t="str">
        <f>FHD_NOTE_P_35</f>
        <v>Указывается общая сумма чистой прибыли, полученной от регулируемого вида деятельности.</v>
      </c>
      <c r="AI79" s="555">
        <v>19</v>
      </c>
    </row>
    <row r="80" spans="1:35" ht="19.899999999999999" customHeight="1">
      <c r="E80" s="910" t="str">
        <f>FHD_NUM_P_36</f>
        <v>3.1</v>
      </c>
      <c r="F80" s="888" t="str">
        <f>FHD_P_36</f>
        <v>Размер расходования чистой прибыли на финансирование мероприятий, предусмотренных инвестиционной программой регулируемой организации</v>
      </c>
      <c r="G80" s="583" t="s">
        <v>563</v>
      </c>
      <c r="H80" s="406"/>
      <c r="I80" s="406">
        <v>0</v>
      </c>
      <c r="J80" s="406">
        <v>0</v>
      </c>
      <c r="K80" s="406">
        <v>0</v>
      </c>
      <c r="L80" s="406">
        <v>0</v>
      </c>
      <c r="M80" s="795" t="str">
        <f>FHD_NOTE_P_36</f>
        <v/>
      </c>
      <c r="AI80" s="555">
        <v>19</v>
      </c>
    </row>
    <row r="81" spans="1:35" ht="20.25" customHeight="1">
      <c r="E81" s="910" t="str">
        <f>FHD_NUM_P_37</f>
        <v>4</v>
      </c>
      <c r="F81" s="619" t="str">
        <f>FHD_P_37</f>
        <v>Изменение стоимости основных фондов, в том числе:</v>
      </c>
      <c r="G81" s="583" t="s">
        <v>563</v>
      </c>
      <c r="H81" s="406"/>
      <c r="I81" s="406">
        <v>63385.46</v>
      </c>
      <c r="J81" s="406">
        <v>0</v>
      </c>
      <c r="K81" s="406">
        <v>0</v>
      </c>
      <c r="L81" s="406">
        <v>0</v>
      </c>
      <c r="M81" s="795" t="str">
        <f>FHD_NOTE_P_37</f>
        <v>Указывается общее изменение стоимости основных фондов.</v>
      </c>
      <c r="AI81" s="555">
        <v>19</v>
      </c>
    </row>
    <row r="82" spans="1:35" ht="20.25" customHeight="1">
      <c r="E82" s="910" t="str">
        <f>FHD_NUM_P_38</f>
        <v>4.1</v>
      </c>
      <c r="F82" s="888" t="str">
        <f>FHD_P_38</f>
        <v>Изменение стоимости основных фондов за счет их ввода в эксплуатацию (вывода из эксплуатации)</v>
      </c>
      <c r="G82" s="583" t="s">
        <v>563</v>
      </c>
      <c r="H82" s="406"/>
      <c r="I82" s="406">
        <v>63385.46</v>
      </c>
      <c r="J82" s="406">
        <v>0</v>
      </c>
      <c r="K82" s="406">
        <v>0</v>
      </c>
      <c r="L82" s="406">
        <v>0</v>
      </c>
      <c r="M82" s="795" t="str">
        <f>FHD_NOTE_P_38</f>
        <v>Указываются общее изменение стоимости основных фондов за счет их ввода в эксплуатацию и вывода из эксплуатации.</v>
      </c>
      <c r="AI82" s="555">
        <v>19</v>
      </c>
    </row>
    <row r="83" spans="1:35" ht="20.25" customHeight="1">
      <c r="E83" s="910" t="str">
        <f>FHD_NUM_P_39</f>
        <v>4.1.1</v>
      </c>
      <c r="F83" s="925" t="str">
        <f>FHD_P_39</f>
        <v>Изменение стоимости основных фондов за счет их ввода в эксплуатацию</v>
      </c>
      <c r="G83" s="617" t="s">
        <v>563</v>
      </c>
      <c r="H83" s="406"/>
      <c r="I83" s="406">
        <v>64270.41</v>
      </c>
      <c r="J83" s="406">
        <v>0</v>
      </c>
      <c r="K83" s="406">
        <v>0</v>
      </c>
      <c r="L83" s="406">
        <v>0</v>
      </c>
      <c r="M83" s="795" t="str">
        <f>FHD_NOTE_P_39</f>
        <v>Указываются изменение стоимости основных фондов за счет их ввода в эксплуатацию.</v>
      </c>
      <c r="AI83" s="555">
        <v>19</v>
      </c>
    </row>
    <row r="84" spans="1:35" ht="20.25" customHeight="1">
      <c r="E84" s="910" t="str">
        <f>FHD_NUM_P_40</f>
        <v>4.1.2</v>
      </c>
      <c r="F84" s="929" t="str">
        <f>FHD_P_40</f>
        <v>Изменение стоимости основных фондов за счет их вывода в эксплуатацию</v>
      </c>
      <c r="G84" s="583" t="s">
        <v>563</v>
      </c>
      <c r="H84" s="414"/>
      <c r="I84" s="406">
        <v>884.95</v>
      </c>
      <c r="J84" s="414">
        <v>0</v>
      </c>
      <c r="K84" s="414">
        <v>0</v>
      </c>
      <c r="L84" s="414">
        <v>0</v>
      </c>
      <c r="M84" s="795" t="str">
        <f>FHD_NOTE_P_40</f>
        <v>Указываются изменение стоимости основных фондов за счет их вывода из эксплуатации.</v>
      </c>
      <c r="AI84" s="555">
        <v>19</v>
      </c>
    </row>
    <row r="85" spans="1:35" ht="19.899999999999999" customHeight="1">
      <c r="E85" s="910" t="str">
        <f>FHD_NUM_P_41</f>
        <v>4.2</v>
      </c>
      <c r="F85" s="930" t="str">
        <f>FHD_P_41</f>
        <v>Изменение стоимости основных фондов за счет их переоценки</v>
      </c>
      <c r="G85" s="583" t="s">
        <v>563</v>
      </c>
      <c r="H85" s="414"/>
      <c r="I85" s="406">
        <v>0</v>
      </c>
      <c r="J85" s="414">
        <v>0</v>
      </c>
      <c r="K85" s="414">
        <v>0</v>
      </c>
      <c r="L85" s="414">
        <v>0</v>
      </c>
      <c r="M85" s="795" t="str">
        <f>FHD_NOTE_P_41</f>
        <v/>
      </c>
      <c r="AI85" s="555">
        <v>19</v>
      </c>
    </row>
    <row r="86" spans="1:35" ht="38.25" customHeight="1">
      <c r="A86" s="410" t="s">
        <v>596</v>
      </c>
      <c r="E86" s="910" t="str">
        <f>FHD_NUM_P_42</f>
        <v>5</v>
      </c>
      <c r="F86" s="623" t="str">
        <f>FHD_P_42</f>
        <v>Валовая прибыль (убытки) от продажи товаров и услуг по регулируемым видам деятельности в сфере холодного водоснабжения</v>
      </c>
      <c r="G86" s="583" t="s">
        <v>563</v>
      </c>
      <c r="H86" s="414"/>
      <c r="I86" s="406">
        <f>I30-I31</f>
        <v>-370678.22792939097</v>
      </c>
      <c r="J86" s="414">
        <f>J30-J31</f>
        <v>-376.1287299999999</v>
      </c>
      <c r="K86" s="414">
        <f>K30-K31</f>
        <v>14691.24836</v>
      </c>
      <c r="L86" s="414">
        <f>L30-L31</f>
        <v>-30886.425340000016</v>
      </c>
      <c r="M86" s="795" t="str">
        <f>FHD_NOTE_P_42</f>
        <v/>
      </c>
      <c r="AI86" s="555">
        <v>19</v>
      </c>
    </row>
    <row r="87" spans="1:35" ht="44.25" customHeight="1">
      <c r="E87" s="910" t="str">
        <f>FHD_NUM_P_43</f>
        <v>6</v>
      </c>
      <c r="F87" s="619" t="str">
        <f>FHD_P_43</f>
        <v>Годовая бухгалтерская (финансовая) отчетность, включая бухгалтерский баланс и приложения к нему</v>
      </c>
      <c r="G87" s="586" t="s">
        <v>317</v>
      </c>
      <c r="H87" s="996"/>
      <c r="I87" s="1002" t="s">
        <v>597</v>
      </c>
      <c r="J87" s="1003" t="s">
        <v>597</v>
      </c>
      <c r="K87" s="1003" t="s">
        <v>597</v>
      </c>
      <c r="L87" s="1003" t="s">
        <v>597</v>
      </c>
      <c r="M87" s="79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AI87" s="555">
        <v>19</v>
      </c>
    </row>
    <row r="88" spans="1:35" ht="18.75" customHeight="1">
      <c r="A88" s="1279" t="s">
        <v>598</v>
      </c>
      <c r="E88" s="910" t="str">
        <f>FHD_NUM_P_44</f>
        <v>7</v>
      </c>
      <c r="F88" s="619" t="str">
        <f>FHD_P_44</f>
        <v>Объём поднятой воды</v>
      </c>
      <c r="G88" s="583" t="s">
        <v>599</v>
      </c>
      <c r="H88" s="415"/>
      <c r="I88" s="411">
        <v>125361.363</v>
      </c>
      <c r="J88" s="415">
        <v>117.614998</v>
      </c>
      <c r="K88" s="415">
        <v>0</v>
      </c>
      <c r="L88" s="415">
        <v>1496.32</v>
      </c>
      <c r="M88" s="795" t="str">
        <f>FHD_NOTE_P_44</f>
        <v/>
      </c>
      <c r="AI88" s="555">
        <v>0</v>
      </c>
    </row>
    <row r="89" spans="1:35" ht="18.75" customHeight="1">
      <c r="A89" s="1279"/>
      <c r="E89" s="910" t="str">
        <f>FHD_NUM_P_45</f>
        <v>8</v>
      </c>
      <c r="F89" s="619" t="str">
        <f>FHD_P_45</f>
        <v>Объём покупной воды</v>
      </c>
      <c r="G89" s="583" t="s">
        <v>599</v>
      </c>
      <c r="H89" s="415"/>
      <c r="I89" s="411">
        <v>23669.486000000001</v>
      </c>
      <c r="J89" s="415">
        <v>0</v>
      </c>
      <c r="K89" s="415">
        <v>0</v>
      </c>
      <c r="L89" s="415">
        <v>1915.0563</v>
      </c>
      <c r="M89" s="795" t="str">
        <f>FHD_NOTE_P_45</f>
        <v/>
      </c>
      <c r="AI89" s="555">
        <v>0</v>
      </c>
    </row>
    <row r="90" spans="1:35" ht="18.75" customHeight="1">
      <c r="A90" s="1279"/>
      <c r="E90" s="910" t="str">
        <f>FHD_NUM_P_46</f>
        <v>9</v>
      </c>
      <c r="F90" s="619" t="str">
        <f>FHD_P_46</f>
        <v>Объём воды, пропущенной через очистные сооружения</v>
      </c>
      <c r="G90" s="583" t="s">
        <v>599</v>
      </c>
      <c r="H90" s="415"/>
      <c r="I90" s="411">
        <v>125361.363</v>
      </c>
      <c r="J90" s="415">
        <v>0</v>
      </c>
      <c r="K90" s="415">
        <v>0</v>
      </c>
      <c r="L90" s="415">
        <v>0</v>
      </c>
      <c r="M90" s="795" t="str">
        <f>FHD_NOTE_P_46</f>
        <v/>
      </c>
      <c r="AI90" s="555">
        <v>0</v>
      </c>
    </row>
    <row r="91" spans="1:35" ht="18.75" customHeight="1">
      <c r="A91" s="1279"/>
      <c r="E91" s="910" t="str">
        <f>FHD_NUM_P_47</f>
        <v>10</v>
      </c>
      <c r="F91" s="619" t="str">
        <f>FHD_P_47</f>
        <v>Объём отпущенной потребителям воды, в том числе:</v>
      </c>
      <c r="G91" s="583" t="s">
        <v>599</v>
      </c>
      <c r="H91" s="415"/>
      <c r="I91" s="411">
        <v>105939.16959714099</v>
      </c>
      <c r="J91" s="415">
        <v>117.614998</v>
      </c>
      <c r="K91" s="415">
        <v>0</v>
      </c>
      <c r="L91" s="415">
        <v>2107.1589887874102</v>
      </c>
      <c r="M91" s="795" t="str">
        <f>FHD_NOTE_P_47</f>
        <v>Указывается общий объем отпущенной потребителям воды.</v>
      </c>
      <c r="AI91" s="555">
        <v>0</v>
      </c>
    </row>
    <row r="92" spans="1:35" ht="18.75" customHeight="1">
      <c r="A92" s="1279"/>
      <c r="E92" s="910" t="str">
        <f>FHD_NUM_P_48</f>
        <v>10.1</v>
      </c>
      <c r="F92" s="619" t="str">
        <f>FHD_P_48</f>
        <v>Объём отпущенной потребителям воды, определенный по приборам учета</v>
      </c>
      <c r="G92" s="583" t="s">
        <v>599</v>
      </c>
      <c r="H92" s="415"/>
      <c r="I92" s="411">
        <v>83547.482231000002</v>
      </c>
      <c r="J92" s="415">
        <v>117.614998</v>
      </c>
      <c r="K92" s="415">
        <v>0</v>
      </c>
      <c r="L92" s="415">
        <v>1527.942618</v>
      </c>
      <c r="M92" s="795" t="str">
        <f>FHD_NOTE_P_48</f>
        <v/>
      </c>
      <c r="AI92" s="538">
        <v>0</v>
      </c>
    </row>
    <row r="93" spans="1:35" ht="18.75" customHeight="1">
      <c r="A93" s="1279"/>
      <c r="E93" s="910" t="str">
        <f>FHD_NUM_P_49</f>
        <v>10.2</v>
      </c>
      <c r="F93" s="619" t="str">
        <f>FHD_P_49</f>
        <v>Объём отпущенной потребителям воды, определенный расчетным способом</v>
      </c>
      <c r="G93" s="583" t="s">
        <v>599</v>
      </c>
      <c r="H93" s="416">
        <f>SUM(H94:H95)</f>
        <v>0</v>
      </c>
      <c r="I93" s="417">
        <f>SUM(I94:I95)</f>
        <v>22391.687366140999</v>
      </c>
      <c r="J93" s="416">
        <f>SUM(J94:J95)</f>
        <v>0</v>
      </c>
      <c r="K93" s="416">
        <f>SUM(K94:K95)</f>
        <v>0</v>
      </c>
      <c r="L93" s="416">
        <f>SUM(L94:L95)</f>
        <v>579.21637078741003</v>
      </c>
      <c r="M93" s="795" t="str">
        <f>FHD_NOTE_P_49</f>
        <v/>
      </c>
      <c r="AI93" s="538">
        <v>0</v>
      </c>
    </row>
    <row r="94" spans="1:35" ht="18.75" customHeight="1">
      <c r="A94" s="1279"/>
      <c r="E94" s="910" t="str">
        <f>FHD_NUM_P_50</f>
        <v>10.2.1</v>
      </c>
      <c r="F94" s="619" t="str">
        <f>FHD_P_50</f>
        <v>Объём отпущенной потребителям воды, определенный по нормативам потребления коммунальных услуг</v>
      </c>
      <c r="G94" s="583" t="s">
        <v>599</v>
      </c>
      <c r="H94" s="415"/>
      <c r="I94" s="411">
        <v>22391.687366140999</v>
      </c>
      <c r="J94" s="415">
        <v>0</v>
      </c>
      <c r="K94" s="415">
        <v>0</v>
      </c>
      <c r="L94" s="415">
        <v>579.21637078741003</v>
      </c>
      <c r="M94" s="795" t="str">
        <f>FHD_NOTE_P_50</f>
        <v/>
      </c>
      <c r="AI94" s="538">
        <v>0</v>
      </c>
    </row>
    <row r="95" spans="1:35" ht="18.75" customHeight="1">
      <c r="A95" s="1279"/>
      <c r="E95" s="910" t="str">
        <f>FHD_NUM_P_51</f>
        <v>10.2.2</v>
      </c>
      <c r="F95" s="619" t="str">
        <f>FHD_P_51</f>
        <v xml:space="preserve">Объём отпущенной потребителям воды, определенный по нормативам потребления коммунальных ресурсов </v>
      </c>
      <c r="G95" s="583" t="s">
        <v>599</v>
      </c>
      <c r="H95" s="415"/>
      <c r="I95" s="411">
        <v>0</v>
      </c>
      <c r="J95" s="415">
        <v>0</v>
      </c>
      <c r="K95" s="415">
        <v>0</v>
      </c>
      <c r="L95" s="415">
        <v>0</v>
      </c>
      <c r="M95" s="795" t="str">
        <f>FHD_NOTE_P_51</f>
        <v/>
      </c>
      <c r="AI95" s="538">
        <v>0</v>
      </c>
    </row>
    <row r="96" spans="1:35" ht="18.75" customHeight="1">
      <c r="A96" s="1279"/>
      <c r="E96" s="910" t="str">
        <f>FHD_NUM_P_52</f>
        <v>11</v>
      </c>
      <c r="F96" s="619" t="str">
        <f>FHD_P_52</f>
        <v>Потери воды в сетях</v>
      </c>
      <c r="G96" s="583" t="s">
        <v>569</v>
      </c>
      <c r="H96" s="414"/>
      <c r="I96" s="406">
        <v>18.02</v>
      </c>
      <c r="J96" s="414">
        <v>0</v>
      </c>
      <c r="K96" s="414">
        <v>0</v>
      </c>
      <c r="L96" s="414">
        <v>37.630000000000003</v>
      </c>
      <c r="M96" s="795" t="str">
        <f>FHD_NOTE_P_52</f>
        <v/>
      </c>
      <c r="AI96" s="538">
        <v>0</v>
      </c>
    </row>
    <row r="97" spans="1:35" ht="18.75" hidden="1" customHeight="1">
      <c r="A97" s="1279" t="s">
        <v>600</v>
      </c>
      <c r="E97" s="910" t="str">
        <f>FHD_NUM_P_53</f>
        <v/>
      </c>
      <c r="F97" s="619" t="str">
        <f>FHD_P_53</f>
        <v/>
      </c>
      <c r="G97" s="583" t="s">
        <v>599</v>
      </c>
      <c r="H97" s="415"/>
      <c r="I97" s="411"/>
      <c r="J97" s="415"/>
      <c r="K97" s="415"/>
      <c r="L97" s="415"/>
      <c r="M97" s="795" t="str">
        <f>FHD_NOTE_P_53</f>
        <v/>
      </c>
      <c r="AI97" s="555">
        <v>0</v>
      </c>
    </row>
    <row r="98" spans="1:35" ht="18.75" hidden="1" customHeight="1">
      <c r="A98" s="1279"/>
      <c r="E98" s="910" t="str">
        <f>FHD_NUM_P_54</f>
        <v/>
      </c>
      <c r="F98" s="619" t="str">
        <f>FHD_P_54</f>
        <v/>
      </c>
      <c r="G98" s="583" t="s">
        <v>599</v>
      </c>
      <c r="H98" s="415"/>
      <c r="I98" s="411"/>
      <c r="J98" s="415"/>
      <c r="K98" s="415"/>
      <c r="L98" s="415"/>
      <c r="M98" s="795" t="str">
        <f>FHD_NOTE_P_54</f>
        <v/>
      </c>
      <c r="AI98" s="555">
        <v>0</v>
      </c>
    </row>
    <row r="99" spans="1:35" ht="18.75" hidden="1" customHeight="1">
      <c r="A99" s="1279"/>
      <c r="E99" s="910" t="str">
        <f>FHD_NUM_P_55</f>
        <v/>
      </c>
      <c r="F99" s="619" t="str">
        <f>FHD_P_55</f>
        <v/>
      </c>
      <c r="G99" s="887"/>
      <c r="H99" s="415"/>
      <c r="I99" s="411"/>
      <c r="J99" s="415"/>
      <c r="K99" s="415"/>
      <c r="L99" s="415"/>
      <c r="M99" s="795" t="str">
        <f>FHD_NOTE_P_55</f>
        <v/>
      </c>
      <c r="AI99" s="555">
        <v>0</v>
      </c>
    </row>
    <row r="100" spans="1:35" ht="18.75" hidden="1" customHeight="1">
      <c r="A100" s="1279"/>
      <c r="E100" s="910" t="str">
        <f>FHD_NUM_P_56</f>
        <v/>
      </c>
      <c r="F100" s="619" t="str">
        <f>FHD_P_56</f>
        <v/>
      </c>
      <c r="G100" s="583" t="s">
        <v>601</v>
      </c>
      <c r="H100" s="415"/>
      <c r="I100" s="411"/>
      <c r="J100" s="415"/>
      <c r="K100" s="415"/>
      <c r="L100" s="415"/>
      <c r="M100" s="795" t="str">
        <f>FHD_NOTE_P_56</f>
        <v/>
      </c>
      <c r="AI100" s="555">
        <v>0</v>
      </c>
    </row>
    <row r="101" spans="1:35" ht="18.75" hidden="1" customHeight="1">
      <c r="A101" s="1279"/>
      <c r="E101" s="910" t="str">
        <f>FHD_NUM_P_57</f>
        <v/>
      </c>
      <c r="F101" s="619" t="str">
        <f>FHD_P_57</f>
        <v/>
      </c>
      <c r="G101" s="583" t="s">
        <v>569</v>
      </c>
      <c r="H101" s="414"/>
      <c r="I101" s="406"/>
      <c r="J101" s="414"/>
      <c r="K101" s="414"/>
      <c r="L101" s="414"/>
      <c r="M101" s="795" t="str">
        <f>FHD_NOTE_P_57</f>
        <v/>
      </c>
      <c r="AI101" s="538">
        <v>0</v>
      </c>
    </row>
    <row r="102" spans="1:35" ht="18.75" hidden="1" customHeight="1">
      <c r="A102" s="1279" t="s">
        <v>602</v>
      </c>
      <c r="E102" s="910" t="str">
        <f>FHD_NUM_P_58</f>
        <v/>
      </c>
      <c r="F102" s="619" t="str">
        <f>FHD_P_58</f>
        <v/>
      </c>
      <c r="G102" s="583" t="s">
        <v>599</v>
      </c>
      <c r="H102" s="415"/>
      <c r="I102" s="411"/>
      <c r="J102" s="415"/>
      <c r="K102" s="415"/>
      <c r="L102" s="415"/>
      <c r="M102" s="795" t="str">
        <f>FHD_NOTE_P_58</f>
        <v/>
      </c>
      <c r="AI102" s="538">
        <v>0</v>
      </c>
    </row>
    <row r="103" spans="1:35" ht="18.75" hidden="1" customHeight="1">
      <c r="A103" s="1279"/>
      <c r="E103" s="910" t="str">
        <f>FHD_NUM_P_59</f>
        <v/>
      </c>
      <c r="F103" s="619" t="str">
        <f>FHD_P_59</f>
        <v/>
      </c>
      <c r="G103" s="583" t="s">
        <v>599</v>
      </c>
      <c r="H103" s="415"/>
      <c r="I103" s="411"/>
      <c r="J103" s="415"/>
      <c r="K103" s="415"/>
      <c r="L103" s="415"/>
      <c r="M103" s="795" t="str">
        <f>FHD_NOTE_P_59</f>
        <v/>
      </c>
      <c r="AI103" s="538">
        <v>0</v>
      </c>
    </row>
    <row r="104" spans="1:35" ht="18.75" hidden="1" customHeight="1">
      <c r="A104" s="1279"/>
      <c r="E104" s="910" t="str">
        <f>FHD_NUM_P_60</f>
        <v/>
      </c>
      <c r="F104" s="619" t="str">
        <f>FHD_P_60</f>
        <v/>
      </c>
      <c r="G104" s="583" t="s">
        <v>599</v>
      </c>
      <c r="H104" s="415"/>
      <c r="I104" s="411"/>
      <c r="J104" s="415"/>
      <c r="K104" s="415"/>
      <c r="L104" s="415"/>
      <c r="M104" s="795" t="str">
        <f>FHD_NOTE_P_60</f>
        <v/>
      </c>
      <c r="AI104" s="538">
        <v>0</v>
      </c>
    </row>
    <row r="105" spans="1:35" ht="18.75" hidden="1" customHeight="1">
      <c r="A105" s="1279" t="s">
        <v>603</v>
      </c>
      <c r="E105" s="910" t="str">
        <f>FHD_NUM_P_61</f>
        <v/>
      </c>
      <c r="F105" s="619" t="str">
        <f>FHD_P_61</f>
        <v/>
      </c>
      <c r="G105" s="583" t="s">
        <v>567</v>
      </c>
      <c r="H105" s="418"/>
      <c r="I105" s="419"/>
      <c r="J105" s="418"/>
      <c r="K105" s="418"/>
      <c r="L105" s="418"/>
      <c r="M105" s="795" t="str">
        <f>FHD_NOTE_P_61</f>
        <v/>
      </c>
      <c r="AI105" s="555">
        <v>0</v>
      </c>
    </row>
    <row r="106" spans="1:35" ht="0.75" hidden="1" customHeight="1">
      <c r="A106" s="1279"/>
      <c r="E106" s="584" t="str">
        <f>E105&amp;".0"</f>
        <v>.0</v>
      </c>
      <c r="F106" s="931"/>
      <c r="G106" s="932"/>
      <c r="H106" s="413"/>
      <c r="I106" s="413"/>
      <c r="J106" s="413"/>
      <c r="K106" s="413"/>
      <c r="L106" s="413"/>
      <c r="M106" s="933"/>
      <c r="AI106" s="577">
        <v>0</v>
      </c>
    </row>
    <row r="107" spans="1:35" ht="15" hidden="1" customHeight="1">
      <c r="A107" s="1279"/>
      <c r="E107" s="420"/>
      <c r="F107" s="421" t="s">
        <v>604</v>
      </c>
      <c r="G107" s="761"/>
      <c r="H107" s="905"/>
      <c r="I107" s="905"/>
      <c r="J107" s="394"/>
      <c r="K107" s="394"/>
      <c r="L107" s="394"/>
      <c r="M107" s="820" t="s">
        <v>605</v>
      </c>
      <c r="AI107" s="538">
        <v>0</v>
      </c>
    </row>
    <row r="108" spans="1:35" ht="18.75" hidden="1" customHeight="1">
      <c r="A108" s="1279"/>
      <c r="E108" s="910" t="str">
        <f>FHD_NUM_P_62</f>
        <v/>
      </c>
      <c r="F108" s="619" t="str">
        <f>FHD_P_62</f>
        <v/>
      </c>
      <c r="G108" s="542" t="s">
        <v>567</v>
      </c>
      <c r="H108" s="406"/>
      <c r="I108" s="406"/>
      <c r="J108" s="406"/>
      <c r="K108" s="406"/>
      <c r="L108" s="406"/>
      <c r="M108" s="795" t="str">
        <f>FHD_NOTE_P_62</f>
        <v/>
      </c>
      <c r="AI108" s="555">
        <v>0</v>
      </c>
    </row>
    <row r="109" spans="1:35" ht="18.75" hidden="1" customHeight="1">
      <c r="A109" s="1279"/>
      <c r="E109" s="910" t="str">
        <f>FHD_NUM_P_63</f>
        <v/>
      </c>
      <c r="F109" s="619" t="str">
        <f>FHD_P_63</f>
        <v/>
      </c>
      <c r="G109" s="542" t="s">
        <v>601</v>
      </c>
      <c r="H109" s="411"/>
      <c r="I109" s="411"/>
      <c r="J109" s="411"/>
      <c r="K109" s="411"/>
      <c r="L109" s="411"/>
      <c r="M109" s="795" t="str">
        <f>FHD_NOTE_P_63</f>
        <v/>
      </c>
      <c r="AI109" s="555">
        <v>0</v>
      </c>
    </row>
    <row r="110" spans="1:35" ht="18.75" hidden="1" customHeight="1">
      <c r="A110" s="1279"/>
      <c r="C110" s="577" t="s">
        <v>606</v>
      </c>
      <c r="E110" s="910" t="str">
        <f>FHD_NUM_P_64</f>
        <v/>
      </c>
      <c r="F110" s="619" t="str">
        <f>FHD_P_64</f>
        <v/>
      </c>
      <c r="G110" s="542" t="s">
        <v>601</v>
      </c>
      <c r="H110" s="403"/>
      <c r="I110" s="403"/>
      <c r="J110" s="403"/>
      <c r="K110" s="403"/>
      <c r="L110" s="403"/>
      <c r="M110" s="795" t="str">
        <f>FHD_NOTE_P_64</f>
        <v/>
      </c>
      <c r="AI110" s="555">
        <v>0</v>
      </c>
    </row>
    <row r="111" spans="1:35" ht="18.75" hidden="1" customHeight="1">
      <c r="A111" s="1279"/>
      <c r="E111" s="910" t="str">
        <f>FHD_NUM_P_65</f>
        <v/>
      </c>
      <c r="F111" s="619" t="str">
        <f>FHD_P_65</f>
        <v/>
      </c>
      <c r="G111" s="542" t="s">
        <v>601</v>
      </c>
      <c r="H111" s="411"/>
      <c r="I111" s="411"/>
      <c r="J111" s="411"/>
      <c r="K111" s="411"/>
      <c r="L111" s="411"/>
      <c r="M111" s="795" t="str">
        <f>FHD_NOTE_P_65</f>
        <v/>
      </c>
      <c r="AI111" s="555">
        <v>0</v>
      </c>
    </row>
    <row r="112" spans="1:35" ht="18.75" hidden="1" customHeight="1">
      <c r="A112" s="1279"/>
      <c r="E112" s="910" t="str">
        <f>FHD_NUM_P_66</f>
        <v/>
      </c>
      <c r="F112" s="888" t="str">
        <f>FHD_P_66</f>
        <v/>
      </c>
      <c r="G112" s="542" t="s">
        <v>601</v>
      </c>
      <c r="H112" s="411"/>
      <c r="I112" s="411"/>
      <c r="J112" s="411"/>
      <c r="K112" s="411"/>
      <c r="L112" s="411"/>
      <c r="M112" s="795" t="str">
        <f>FHD_NOTE_P_66</f>
        <v/>
      </c>
      <c r="AI112" s="555">
        <v>0</v>
      </c>
    </row>
    <row r="113" spans="1:35" ht="18.75" hidden="1" customHeight="1">
      <c r="A113" s="1279"/>
      <c r="E113" s="910" t="str">
        <f>FHD_NUM_P_67</f>
        <v/>
      </c>
      <c r="F113" s="925" t="str">
        <f>FHD_P_67</f>
        <v/>
      </c>
      <c r="G113" s="542" t="s">
        <v>601</v>
      </c>
      <c r="H113" s="411"/>
      <c r="I113" s="411"/>
      <c r="J113" s="411"/>
      <c r="K113" s="411"/>
      <c r="L113" s="411"/>
      <c r="M113" s="795" t="str">
        <f>FHD_NOTE_P_67</f>
        <v/>
      </c>
      <c r="AI113" s="555">
        <v>0</v>
      </c>
    </row>
    <row r="114" spans="1:35" ht="18.75" hidden="1" customHeight="1">
      <c r="A114" s="1279"/>
      <c r="E114" s="910" t="str">
        <f>FHD_NUM_P_68</f>
        <v/>
      </c>
      <c r="F114" s="888" t="str">
        <f>FHD_P_68</f>
        <v/>
      </c>
      <c r="G114" s="542" t="s">
        <v>601</v>
      </c>
      <c r="H114" s="411"/>
      <c r="I114" s="411"/>
      <c r="J114" s="411"/>
      <c r="K114" s="411"/>
      <c r="L114" s="411"/>
      <c r="M114" s="795" t="str">
        <f>FHD_NOTE_P_68</f>
        <v/>
      </c>
      <c r="AI114" s="555">
        <v>0</v>
      </c>
    </row>
    <row r="115" spans="1:35" ht="18.75" hidden="1" customHeight="1">
      <c r="A115" s="1279"/>
      <c r="E115" s="910" t="str">
        <f>FHD_NUM_P_69</f>
        <v/>
      </c>
      <c r="F115" s="888" t="str">
        <f>FHD_P_69</f>
        <v/>
      </c>
      <c r="G115" s="542" t="s">
        <v>601</v>
      </c>
      <c r="H115" s="411"/>
      <c r="I115" s="411"/>
      <c r="J115" s="411"/>
      <c r="K115" s="411"/>
      <c r="L115" s="411"/>
      <c r="M115" s="795" t="str">
        <f>FHD_NOTE_P_69</f>
        <v/>
      </c>
      <c r="AI115" s="555">
        <v>0</v>
      </c>
    </row>
    <row r="116" spans="1:35" ht="22.5" hidden="1" customHeight="1">
      <c r="A116" s="1279"/>
      <c r="E116" s="910" t="str">
        <f>FHD_NUM_P_70</f>
        <v/>
      </c>
      <c r="F116" s="619" t="str">
        <f>FHD_P_70</f>
        <v/>
      </c>
      <c r="G116" s="542" t="s">
        <v>607</v>
      </c>
      <c r="H116" s="406"/>
      <c r="I116" s="406"/>
      <c r="J116" s="406"/>
      <c r="K116" s="406"/>
      <c r="L116" s="406"/>
      <c r="M116" s="795" t="str">
        <f>FHD_NOTE_P_70</f>
        <v/>
      </c>
      <c r="AI116" s="555">
        <v>0</v>
      </c>
    </row>
    <row r="117" spans="1:35" ht="22.5" hidden="1" customHeight="1">
      <c r="A117" s="1279"/>
      <c r="E117" s="910" t="str">
        <f>FHD_NUM_P_71</f>
        <v/>
      </c>
      <c r="F117" s="619" t="str">
        <f>FHD_P_71</f>
        <v/>
      </c>
      <c r="G117" s="542" t="s">
        <v>607</v>
      </c>
      <c r="H117" s="406"/>
      <c r="I117" s="406"/>
      <c r="J117" s="406"/>
      <c r="K117" s="406"/>
      <c r="L117" s="406"/>
      <c r="M117" s="795" t="str">
        <f>FHD_NOTE_P_71</f>
        <v/>
      </c>
      <c r="AI117" s="555">
        <v>0</v>
      </c>
    </row>
    <row r="118" spans="1:35" ht="20.25" customHeight="1">
      <c r="E118" s="910" t="str">
        <f>FHD_NUM_P_72</f>
        <v>12</v>
      </c>
      <c r="F118" s="619" t="str">
        <f>FHD_P_72</f>
        <v>Среднесписочная численность основного производственного персонала</v>
      </c>
      <c r="G118" s="542" t="s">
        <v>608</v>
      </c>
      <c r="H118" s="411"/>
      <c r="I118" s="411">
        <v>424.76274773351003</v>
      </c>
      <c r="J118" s="411">
        <v>0.23725226648978701</v>
      </c>
      <c r="K118" s="411">
        <v>5</v>
      </c>
      <c r="L118" s="411">
        <v>26</v>
      </c>
      <c r="M118" s="795" t="str">
        <f>FHD_NOTE_P_72</f>
        <v/>
      </c>
      <c r="AI118" s="538">
        <v>19</v>
      </c>
    </row>
    <row r="119" spans="1:35" ht="18.75" hidden="1" customHeight="1">
      <c r="A119" s="410" t="s">
        <v>609</v>
      </c>
      <c r="E119" s="910" t="str">
        <f>FHD_NUM_P_73</f>
        <v/>
      </c>
      <c r="F119" s="619" t="str">
        <f>FHD_P_73</f>
        <v/>
      </c>
      <c r="G119" s="615" t="s">
        <v>608</v>
      </c>
      <c r="H119" s="422"/>
      <c r="I119" s="422"/>
      <c r="J119" s="422"/>
      <c r="K119" s="422"/>
      <c r="L119" s="422"/>
      <c r="M119" s="795" t="str">
        <f>FHD_NOTE_P_73</f>
        <v/>
      </c>
      <c r="AI119" s="538">
        <v>0</v>
      </c>
    </row>
    <row r="120" spans="1:35" ht="33.75" customHeight="1">
      <c r="A120" s="410" t="s">
        <v>610</v>
      </c>
      <c r="E120" s="910" t="str">
        <f>FHD_NUM_P_74</f>
        <v>13</v>
      </c>
      <c r="F120" s="619" t="str">
        <f>FHD_P_74</f>
        <v>Удельный расход электрической энергии на подачу воды в сеть</v>
      </c>
      <c r="G120" s="542" t="s">
        <v>611</v>
      </c>
      <c r="H120" s="411"/>
      <c r="I120" s="411">
        <v>0.65597953614042304</v>
      </c>
      <c r="J120" s="411">
        <v>0.52584512475126299</v>
      </c>
      <c r="K120" s="411">
        <v>0</v>
      </c>
      <c r="L120" s="411">
        <v>0.51325914225731395</v>
      </c>
      <c r="M120" s="795" t="str">
        <f>FHD_NOTE_P_74</f>
        <v/>
      </c>
      <c r="AI120" s="538">
        <v>0</v>
      </c>
    </row>
    <row r="121" spans="1:35" ht="18.75" customHeight="1">
      <c r="A121" s="1279" t="s">
        <v>612</v>
      </c>
      <c r="E121" s="910" t="str">
        <f>FHD_NUM_P_75</f>
        <v>14</v>
      </c>
      <c r="F121" s="619" t="str">
        <f>FHD_P_75</f>
        <v>Расход воды на собственные нужды, в том числе:</v>
      </c>
      <c r="G121" s="542" t="s">
        <v>569</v>
      </c>
      <c r="H121" s="406"/>
      <c r="I121" s="406">
        <v>18.670000000000002</v>
      </c>
      <c r="J121" s="406">
        <v>0</v>
      </c>
      <c r="K121" s="406">
        <v>0</v>
      </c>
      <c r="L121" s="406">
        <v>1.57</v>
      </c>
      <c r="M121" s="795" t="str">
        <f>FHD_NOTE_P_75</f>
        <v>Указывается доля общего расхода воды на собственные нужны от объема отпуска воды потребителям.</v>
      </c>
      <c r="AI121" s="538">
        <v>0</v>
      </c>
    </row>
    <row r="122" spans="1:35" ht="18.75" customHeight="1">
      <c r="A122" s="1279"/>
      <c r="E122" s="910" t="str">
        <f>FHD_NUM_P_76</f>
        <v>14.1</v>
      </c>
      <c r="F122" s="619" t="str">
        <f>FHD_P_76</f>
        <v>Расход воды на хозяйственно-бытовые нужды</v>
      </c>
      <c r="G122" s="542" t="s">
        <v>569</v>
      </c>
      <c r="H122" s="406"/>
      <c r="I122" s="406">
        <v>7.07</v>
      </c>
      <c r="J122" s="406">
        <v>0</v>
      </c>
      <c r="K122" s="406">
        <v>0</v>
      </c>
      <c r="L122" s="406">
        <v>1.51</v>
      </c>
      <c r="M122" s="795" t="str">
        <f>FHD_NOTE_P_76</f>
        <v>Указывается доля расхода воды на хозяйственно-бытовые нужны от объема отпуска воды потребителям.</v>
      </c>
      <c r="AI122" s="538">
        <v>0</v>
      </c>
    </row>
    <row r="123" spans="1:35" ht="18.75" customHeight="1">
      <c r="A123" s="1279"/>
      <c r="E123" s="910" t="str">
        <f>FHD_NUM_P_77</f>
        <v>15</v>
      </c>
      <c r="F123" s="619" t="str">
        <f>FHD_P_77</f>
        <v>Показатель использования производственных объектов (по объему перекачки), в том числе:</v>
      </c>
      <c r="G123" s="542" t="s">
        <v>569</v>
      </c>
      <c r="H123" s="406"/>
      <c r="I123" s="406">
        <v>46.47</v>
      </c>
      <c r="J123" s="406">
        <v>0</v>
      </c>
      <c r="K123" s="406">
        <v>0</v>
      </c>
      <c r="L123" s="406">
        <v>17.21</v>
      </c>
      <c r="M123" s="795"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AI123" s="538">
        <v>0</v>
      </c>
    </row>
    <row r="124" spans="1:35" ht="0.75" customHeight="1">
      <c r="A124" s="1279"/>
      <c r="E124" s="584" t="str">
        <f>E123&amp;".0"</f>
        <v>15.0</v>
      </c>
      <c r="F124" s="934"/>
      <c r="G124" s="858"/>
      <c r="H124" s="413"/>
      <c r="I124" s="413"/>
      <c r="J124" s="413"/>
      <c r="K124" s="413"/>
      <c r="L124" s="413"/>
      <c r="M124" s="933"/>
      <c r="AI124" s="577">
        <v>0</v>
      </c>
    </row>
    <row r="125" spans="1:35" ht="15" customHeight="1">
      <c r="A125" s="1279"/>
      <c r="E125" s="420"/>
      <c r="F125" s="421" t="s">
        <v>613</v>
      </c>
      <c r="G125" s="761"/>
      <c r="H125" s="905"/>
      <c r="I125" s="905"/>
      <c r="J125" s="394"/>
      <c r="K125" s="394"/>
      <c r="L125" s="394"/>
      <c r="M125" s="820" t="s">
        <v>614</v>
      </c>
      <c r="AI125" s="538">
        <v>0</v>
      </c>
    </row>
    <row r="126" spans="1:35" ht="22.5" hidden="1" customHeight="1">
      <c r="A126" s="1279" t="s">
        <v>615</v>
      </c>
      <c r="E126" s="910" t="str">
        <f>FHD_NUM_P_78</f>
        <v/>
      </c>
      <c r="F126" s="619" t="str">
        <f>FHD_P_78</f>
        <v/>
      </c>
      <c r="G126" s="542" t="s">
        <v>571</v>
      </c>
      <c r="H126" s="411"/>
      <c r="I126" s="411"/>
      <c r="J126" s="411"/>
      <c r="K126" s="411"/>
      <c r="L126" s="411"/>
      <c r="M126" s="795" t="str">
        <f>FHD_NOTE_P_78</f>
        <v/>
      </c>
      <c r="AI126" s="538">
        <v>0</v>
      </c>
    </row>
    <row r="127" spans="1:35" ht="0.75" hidden="1" customHeight="1">
      <c r="A127" s="1279"/>
      <c r="E127" s="584" t="str">
        <f>E126&amp;".0"</f>
        <v>.0</v>
      </c>
      <c r="F127" s="934"/>
      <c r="G127" s="858"/>
      <c r="H127" s="413"/>
      <c r="I127" s="413"/>
      <c r="J127" s="413"/>
      <c r="K127" s="413"/>
      <c r="L127" s="413"/>
      <c r="M127" s="933"/>
      <c r="AI127" s="577">
        <v>0</v>
      </c>
    </row>
    <row r="128" spans="1:35" ht="15" hidden="1" customHeight="1">
      <c r="A128" s="1279"/>
      <c r="E128" s="409"/>
      <c r="F128" s="44" t="s">
        <v>604</v>
      </c>
      <c r="G128" s="761"/>
      <c r="H128" s="905"/>
      <c r="I128" s="905"/>
      <c r="J128" s="394"/>
      <c r="K128" s="394"/>
      <c r="L128" s="394"/>
      <c r="M128" s="820" t="s">
        <v>616</v>
      </c>
      <c r="AI128" s="538">
        <v>0</v>
      </c>
    </row>
    <row r="129" spans="1:35" ht="22.5" hidden="1" customHeight="1">
      <c r="A129" s="1279"/>
      <c r="E129" s="910" t="str">
        <f>FHD_NUM_P_79</f>
        <v/>
      </c>
      <c r="F129" s="619" t="str">
        <f>FHD_P_79</f>
        <v/>
      </c>
      <c r="G129" s="583" t="s">
        <v>573</v>
      </c>
      <c r="H129" s="411"/>
      <c r="I129" s="411"/>
      <c r="J129" s="411"/>
      <c r="K129" s="411"/>
      <c r="L129" s="411"/>
      <c r="M129" s="795" t="str">
        <f>FHD_NOTE_P_79</f>
        <v/>
      </c>
      <c r="AI129" s="538">
        <v>0</v>
      </c>
    </row>
    <row r="130" spans="1:35" ht="0.75" hidden="1" customHeight="1">
      <c r="A130" s="1279"/>
      <c r="E130" s="584" t="str">
        <f>E129&amp;".0"</f>
        <v>.0</v>
      </c>
      <c r="F130" s="935"/>
      <c r="G130" s="858"/>
      <c r="H130" s="413"/>
      <c r="I130" s="413"/>
      <c r="J130" s="413"/>
      <c r="K130" s="413"/>
      <c r="L130" s="413"/>
      <c r="M130" s="933"/>
      <c r="AI130" s="577">
        <v>0</v>
      </c>
    </row>
    <row r="131" spans="1:35" ht="15" hidden="1" customHeight="1">
      <c r="A131" s="1279"/>
      <c r="E131" s="409"/>
      <c r="F131" s="44" t="s">
        <v>604</v>
      </c>
      <c r="G131" s="761"/>
      <c r="H131" s="905"/>
      <c r="I131" s="905"/>
      <c r="J131" s="394"/>
      <c r="K131" s="394"/>
      <c r="L131" s="394"/>
      <c r="M131" s="820" t="s">
        <v>617</v>
      </c>
      <c r="AI131" s="538">
        <v>0</v>
      </c>
    </row>
    <row r="132" spans="1:35" ht="22.5" hidden="1" customHeight="1">
      <c r="A132" s="1279"/>
      <c r="E132" s="910" t="str">
        <f>FHD_NUM_P_80</f>
        <v/>
      </c>
      <c r="F132" s="619" t="str">
        <f>FHD_P_80</f>
        <v/>
      </c>
      <c r="G132" s="583" t="s">
        <v>618</v>
      </c>
      <c r="H132" s="406"/>
      <c r="I132" s="406"/>
      <c r="J132" s="406"/>
      <c r="K132" s="406"/>
      <c r="L132" s="406"/>
      <c r="M132" s="795" t="str">
        <f>FHD_NOTE_P_80</f>
        <v/>
      </c>
      <c r="AI132" s="538">
        <v>0</v>
      </c>
    </row>
    <row r="133" spans="1:35" ht="18.75" hidden="1" customHeight="1">
      <c r="A133" s="1279"/>
      <c r="E133" s="910" t="str">
        <f>FHD_NUM_P_81</f>
        <v/>
      </c>
      <c r="F133" s="619" t="str">
        <f>FHD_P_81</f>
        <v/>
      </c>
      <c r="G133" s="583" t="s">
        <v>619</v>
      </c>
      <c r="H133" s="406"/>
      <c r="I133" s="406"/>
      <c r="J133" s="406"/>
      <c r="K133" s="406"/>
      <c r="L133" s="406"/>
      <c r="M133" s="795" t="str">
        <f>FHD_NOTE_P_81</f>
        <v/>
      </c>
      <c r="AI133" s="538">
        <v>0</v>
      </c>
    </row>
    <row r="134" spans="1:35" ht="18.75" hidden="1" customHeight="1">
      <c r="A134" s="1279"/>
      <c r="C134" s="577" t="s">
        <v>606</v>
      </c>
      <c r="E134" s="910" t="str">
        <f>FHD_NUM_P_82</f>
        <v/>
      </c>
      <c r="F134" s="619" t="str">
        <f>FHD_P_82</f>
        <v/>
      </c>
      <c r="G134" s="583" t="s">
        <v>317</v>
      </c>
      <c r="H134" s="307"/>
      <c r="I134" s="307"/>
      <c r="J134" s="307"/>
      <c r="K134" s="307"/>
      <c r="L134" s="307"/>
      <c r="M134" s="795" t="str">
        <f>FHD_NOTE_P_82</f>
        <v/>
      </c>
      <c r="AI134" s="538">
        <v>0</v>
      </c>
    </row>
    <row r="135" spans="1:35" ht="18.75" hidden="1" customHeight="1">
      <c r="A135" s="1279"/>
      <c r="C135" s="577" t="s">
        <v>606</v>
      </c>
      <c r="E135" s="910" t="str">
        <f>FHD_NUM_P_83</f>
        <v/>
      </c>
      <c r="F135" s="888" t="str">
        <f>FHD_P_83</f>
        <v/>
      </c>
      <c r="G135" s="583" t="s">
        <v>317</v>
      </c>
      <c r="H135" s="307"/>
      <c r="I135" s="307"/>
      <c r="J135" s="307"/>
      <c r="K135" s="307"/>
      <c r="L135" s="307"/>
      <c r="M135" s="795" t="str">
        <f>FHD_NOTE_P_83</f>
        <v/>
      </c>
      <c r="AI135" s="538">
        <v>0</v>
      </c>
    </row>
    <row r="136" spans="1:35" ht="18.75" hidden="1" customHeight="1">
      <c r="A136" s="1279"/>
      <c r="C136" s="577" t="s">
        <v>606</v>
      </c>
      <c r="E136" s="910" t="str">
        <f>FHD_NUM_P_84</f>
        <v/>
      </c>
      <c r="F136" s="888" t="str">
        <f>FHD_P_84</f>
        <v/>
      </c>
      <c r="G136" s="583" t="s">
        <v>317</v>
      </c>
      <c r="H136" s="307"/>
      <c r="I136" s="307"/>
      <c r="J136" s="307"/>
      <c r="K136" s="307"/>
      <c r="L136" s="307"/>
      <c r="M136" s="795" t="str">
        <f>FHD_NOTE_P_84</f>
        <v/>
      </c>
      <c r="AI136" s="538">
        <v>0</v>
      </c>
    </row>
    <row r="137" spans="1:35" ht="11.45" customHeight="1">
      <c r="AI137" s="538">
        <v>11</v>
      </c>
    </row>
    <row r="138" spans="1:35" ht="13.5" customHeight="1">
      <c r="AI138" s="538">
        <v>13</v>
      </c>
    </row>
    <row r="139" spans="1:35" ht="11.45" customHeight="1">
      <c r="AI139" s="681">
        <v>11</v>
      </c>
    </row>
    <row r="140" spans="1:35" ht="11.45" customHeight="1">
      <c r="AI140" s="681">
        <v>11</v>
      </c>
    </row>
    <row r="141" spans="1:35" ht="11.45" customHeight="1">
      <c r="AI141" s="681">
        <v>11</v>
      </c>
    </row>
    <row r="142" spans="1:35" ht="11.45" customHeight="1">
      <c r="H142" s="534" t="str">
        <f>IF(H30-H31&lt;&gt;H78,"WARNING","")</f>
        <v/>
      </c>
      <c r="I142" s="534" t="str">
        <f>IF(I30-I31&lt;&gt;I78,"WARNING","")</f>
        <v>WARNING</v>
      </c>
      <c r="J142" s="2" t="str">
        <f>IF(J30-J31&lt;&gt;J78,"WARNING","")</f>
        <v>WARNING</v>
      </c>
      <c r="K142" s="2" t="str">
        <f>IF(K30-K31&lt;&gt;K78,"WARNING","")</f>
        <v>WARNING</v>
      </c>
      <c r="L142" s="2" t="str">
        <f>IF(L30-L31&lt;&gt;L78,"WARNING","")</f>
        <v>WARNING</v>
      </c>
      <c r="AI142" s="681">
        <v>11</v>
      </c>
    </row>
    <row r="143" spans="1:35" ht="11.45" customHeight="1">
      <c r="AI143" s="681">
        <v>11</v>
      </c>
    </row>
    <row r="144" spans="1:35" ht="11.45" customHeight="1">
      <c r="AI144" s="681">
        <v>11</v>
      </c>
    </row>
    <row r="145" spans="35:35" ht="11.45" customHeight="1">
      <c r="AI145" s="681">
        <v>11</v>
      </c>
    </row>
    <row r="146" spans="35:35" ht="11.45" customHeight="1">
      <c r="AI146" s="681">
        <v>11</v>
      </c>
    </row>
    <row r="147" spans="35:35" ht="11.45" customHeight="1">
      <c r="AI147" s="681">
        <v>11</v>
      </c>
    </row>
    <row r="148" spans="35:35" ht="11.45" customHeight="1">
      <c r="AI148" s="681">
        <v>11</v>
      </c>
    </row>
    <row r="149" spans="35:35" ht="11.45" customHeight="1">
      <c r="AI149" s="681">
        <v>11</v>
      </c>
    </row>
    <row r="150" spans="35:35" ht="11.45" customHeight="1">
      <c r="AI150" s="681">
        <v>11</v>
      </c>
    </row>
    <row r="151" spans="35:35" ht="11.45" customHeight="1">
      <c r="AI151" s="681">
        <v>11</v>
      </c>
    </row>
    <row r="152" spans="35:35" ht="11.45" customHeight="1">
      <c r="AI152" s="681">
        <v>11</v>
      </c>
    </row>
    <row r="153" spans="35:35" ht="11.45" customHeight="1">
      <c r="AI153" s="681">
        <v>11</v>
      </c>
    </row>
    <row r="154" spans="35:35" ht="11.45" customHeight="1">
      <c r="AI154" s="681">
        <v>11</v>
      </c>
    </row>
    <row r="155" spans="35:35" ht="11.45" customHeight="1">
      <c r="AI155" s="681">
        <v>11</v>
      </c>
    </row>
    <row r="156" spans="35:35" ht="11.45" customHeight="1">
      <c r="AI156" s="681">
        <v>11</v>
      </c>
    </row>
    <row r="157" spans="35:35" ht="11.45" customHeight="1">
      <c r="AI157" s="681">
        <v>11</v>
      </c>
    </row>
    <row r="158" spans="35:35" ht="11.45" customHeight="1">
      <c r="AI158" s="681">
        <v>11</v>
      </c>
    </row>
    <row r="159" spans="35:35" ht="11.45" customHeight="1">
      <c r="AI159" s="681">
        <v>11</v>
      </c>
    </row>
    <row r="160" spans="35:35" ht="11.45" customHeight="1">
      <c r="AI160" s="681">
        <v>11</v>
      </c>
    </row>
    <row r="161" spans="35:35" ht="11.45" customHeight="1">
      <c r="AI161" s="681">
        <v>11</v>
      </c>
    </row>
    <row r="162" spans="35:35" ht="11.45" customHeight="1">
      <c r="AI162" s="681">
        <v>11</v>
      </c>
    </row>
    <row r="163" spans="35:35" ht="11.45" customHeight="1">
      <c r="AI163" s="681">
        <v>11</v>
      </c>
    </row>
    <row r="164" spans="35:35" ht="11.45" customHeight="1">
      <c r="AI164" s="681">
        <v>11</v>
      </c>
    </row>
    <row r="165" spans="35:35" ht="11.45" customHeight="1">
      <c r="AI165" s="681">
        <v>11</v>
      </c>
    </row>
    <row r="166" spans="35:35" ht="11.45" customHeight="1">
      <c r="AI166" s="681">
        <v>11</v>
      </c>
    </row>
    <row r="167" spans="35:35" ht="11.45" customHeight="1">
      <c r="AI167" s="681">
        <v>11</v>
      </c>
    </row>
    <row r="168" spans="35:35" ht="11.45" customHeight="1">
      <c r="AI168" s="681">
        <v>11</v>
      </c>
    </row>
    <row r="169" spans="35:35" ht="11.45" customHeight="1">
      <c r="AI169" s="681">
        <v>11</v>
      </c>
    </row>
    <row r="170" spans="35:35" ht="11.45" customHeight="1">
      <c r="AI170" s="681">
        <v>11</v>
      </c>
    </row>
    <row r="171" spans="35:35" ht="11.45" customHeight="1">
      <c r="AI171" s="681">
        <v>11</v>
      </c>
    </row>
    <row r="172" spans="35:35" ht="11.45" customHeight="1">
      <c r="AI172" s="681">
        <v>11</v>
      </c>
    </row>
    <row r="173" spans="35:35" ht="11.45" customHeight="1">
      <c r="AI173" s="681">
        <v>11</v>
      </c>
    </row>
    <row r="174" spans="35:35" ht="11.45" customHeight="1">
      <c r="AI174" s="681">
        <v>11</v>
      </c>
    </row>
    <row r="175" spans="35:35" ht="11.45" customHeight="1">
      <c r="AI175" s="681">
        <v>11</v>
      </c>
    </row>
    <row r="176" spans="35:35" ht="11.45" customHeight="1">
      <c r="AI176" s="681">
        <v>11</v>
      </c>
    </row>
    <row r="177" spans="35:35" ht="11.45" customHeight="1">
      <c r="AI177" s="681">
        <v>11</v>
      </c>
    </row>
    <row r="178" spans="35:35" ht="11.45" customHeight="1">
      <c r="AI178" s="681">
        <v>11</v>
      </c>
    </row>
    <row r="179" spans="35:35" ht="11.45" customHeight="1">
      <c r="AI179" s="681">
        <v>11</v>
      </c>
    </row>
    <row r="180" spans="35:35" ht="11.45" customHeight="1">
      <c r="AI180" s="681">
        <v>11</v>
      </c>
    </row>
    <row r="181" spans="35:35" ht="11.45" customHeight="1">
      <c r="AI181" s="681">
        <v>11</v>
      </c>
    </row>
    <row r="182" spans="35:35" ht="11.45" customHeight="1">
      <c r="AI182" s="681">
        <v>11</v>
      </c>
    </row>
    <row r="183" spans="35:35" ht="11.45" customHeight="1">
      <c r="AI183" s="681">
        <v>11</v>
      </c>
    </row>
    <row r="184" spans="35:35" ht="11.45" customHeight="1">
      <c r="AI184" s="681">
        <v>11</v>
      </c>
    </row>
    <row r="185" spans="35:35" ht="11.45" customHeight="1">
      <c r="AI185" s="681">
        <v>11</v>
      </c>
    </row>
    <row r="186" spans="35:35" ht="11.45" customHeight="1">
      <c r="AI186" s="681">
        <v>11</v>
      </c>
    </row>
    <row r="187" spans="35:35" ht="11.45" customHeight="1">
      <c r="AI187" s="681">
        <v>11</v>
      </c>
    </row>
    <row r="188" spans="35:35" ht="11.45" customHeight="1">
      <c r="AI188" s="681">
        <v>11</v>
      </c>
    </row>
    <row r="189" spans="35:35" ht="11.45" customHeight="1">
      <c r="AI189" s="681">
        <v>11</v>
      </c>
    </row>
    <row r="190" spans="35:35" ht="11.45" customHeight="1">
      <c r="AI190" s="681">
        <v>11</v>
      </c>
    </row>
    <row r="191" spans="35:35" ht="11.45" customHeight="1">
      <c r="AI191" s="681">
        <v>11</v>
      </c>
    </row>
    <row r="192" spans="35:35" ht="11.45" customHeight="1">
      <c r="AI192" s="681">
        <v>11</v>
      </c>
    </row>
    <row r="193" spans="35:35" ht="11.45" customHeight="1">
      <c r="AI193" s="681">
        <v>11</v>
      </c>
    </row>
    <row r="194" spans="35:35" ht="11.45" customHeight="1">
      <c r="AI194" s="681">
        <v>11</v>
      </c>
    </row>
    <row r="195" spans="35:35" ht="11.45" customHeight="1">
      <c r="AI195" s="681">
        <v>11</v>
      </c>
    </row>
    <row r="196" spans="35:35" ht="11.45" customHeight="1">
      <c r="AI196" s="681">
        <v>11</v>
      </c>
    </row>
    <row r="197" spans="35:35" ht="11.45" customHeight="1">
      <c r="AI197" s="681">
        <v>11</v>
      </c>
    </row>
    <row r="198" spans="35:35" ht="11.45" customHeight="1">
      <c r="AI198" s="681">
        <v>11</v>
      </c>
    </row>
    <row r="199" spans="35:35" ht="11.45" customHeight="1">
      <c r="AI199" s="681">
        <v>11</v>
      </c>
    </row>
    <row r="200" spans="35:35" ht="11.45" customHeight="1">
      <c r="AI200" s="681">
        <v>11</v>
      </c>
    </row>
    <row r="201" spans="35:35" ht="11.45" customHeight="1">
      <c r="AI201" s="681">
        <v>11</v>
      </c>
    </row>
    <row r="202" spans="35:35" ht="11.45" customHeight="1">
      <c r="AI202" s="681">
        <v>11</v>
      </c>
    </row>
    <row r="203" spans="35:35" ht="11.45" customHeight="1">
      <c r="AI203" s="681">
        <v>11</v>
      </c>
    </row>
    <row r="204" spans="35:35" ht="11.45" customHeight="1">
      <c r="AI204" s="681">
        <v>11</v>
      </c>
    </row>
    <row r="205" spans="35:35" ht="11.45" customHeight="1">
      <c r="AI205" s="681">
        <v>11</v>
      </c>
    </row>
    <row r="206" spans="35:35" ht="11.45" customHeight="1">
      <c r="AI206" s="681">
        <v>11</v>
      </c>
    </row>
    <row r="207" spans="35:35" ht="11.45" customHeight="1">
      <c r="AI207" s="681">
        <v>11</v>
      </c>
    </row>
    <row r="208" spans="35:35" ht="11.45" customHeight="1">
      <c r="AI208" s="681">
        <v>11</v>
      </c>
    </row>
    <row r="209" spans="35:35" ht="11.45" customHeight="1">
      <c r="AI209" s="681">
        <v>11</v>
      </c>
    </row>
    <row r="210" spans="35:35" ht="11.45" customHeight="1">
      <c r="AI210" s="681">
        <v>11</v>
      </c>
    </row>
    <row r="211" spans="35:35" ht="11.45" customHeight="1">
      <c r="AI211" s="681">
        <v>11</v>
      </c>
    </row>
    <row r="212" spans="35:35" ht="11.45" customHeight="1">
      <c r="AI212" s="681">
        <v>11</v>
      </c>
    </row>
    <row r="213" spans="35:35" ht="11.45" customHeight="1">
      <c r="AI213" s="681">
        <v>11</v>
      </c>
    </row>
    <row r="214" spans="35:35" ht="11.45" customHeight="1">
      <c r="AI214" s="681">
        <v>11</v>
      </c>
    </row>
    <row r="215" spans="35:35" ht="11.45" customHeight="1">
      <c r="AI215" s="681">
        <v>11</v>
      </c>
    </row>
    <row r="216" spans="35:35" ht="11.45" customHeight="1">
      <c r="AI216" s="681">
        <v>11</v>
      </c>
    </row>
    <row r="217" spans="35:35" ht="11.45" customHeight="1">
      <c r="AI217" s="681">
        <v>11</v>
      </c>
    </row>
    <row r="218" spans="35:35" ht="11.45" customHeight="1">
      <c r="AI218" s="681">
        <v>11</v>
      </c>
    </row>
    <row r="219" spans="35:35" ht="11.45" customHeight="1">
      <c r="AI219" s="681">
        <v>11</v>
      </c>
    </row>
    <row r="220" spans="35:35" ht="11.45" customHeight="1">
      <c r="AI220" s="681">
        <v>11</v>
      </c>
    </row>
    <row r="221" spans="35:35" ht="11.45" customHeight="1">
      <c r="AI221" s="681">
        <v>11</v>
      </c>
    </row>
    <row r="222" spans="35:35" ht="11.45" customHeight="1">
      <c r="AI222" s="681">
        <v>11</v>
      </c>
    </row>
    <row r="223" spans="35:35" ht="11.45" customHeight="1">
      <c r="AI223" s="681">
        <v>11</v>
      </c>
    </row>
    <row r="224" spans="35:35" ht="11.45" customHeight="1">
      <c r="AI224" s="681">
        <v>11</v>
      </c>
    </row>
    <row r="225" spans="35:35" ht="11.45" customHeight="1">
      <c r="AI225" s="681">
        <v>11</v>
      </c>
    </row>
    <row r="226" spans="35:35" ht="11.45" customHeight="1">
      <c r="AI226" s="681">
        <v>11</v>
      </c>
    </row>
    <row r="227" spans="35:35" ht="11.45" customHeight="1">
      <c r="AI227" s="681">
        <v>11</v>
      </c>
    </row>
    <row r="228" spans="35:35" ht="11.45" customHeight="1">
      <c r="AI228" s="681">
        <v>11</v>
      </c>
    </row>
    <row r="229" spans="35:35" ht="11.45" customHeight="1">
      <c r="AI229" s="681">
        <v>11</v>
      </c>
    </row>
    <row r="230" spans="35:35" ht="11.45" customHeight="1">
      <c r="AI230" s="681">
        <v>11</v>
      </c>
    </row>
    <row r="231" spans="35:35" ht="11.45" customHeight="1">
      <c r="AI231" s="681">
        <v>11</v>
      </c>
    </row>
    <row r="232" spans="35:35" ht="11.45" customHeight="1">
      <c r="AI232" s="681">
        <v>11</v>
      </c>
    </row>
    <row r="233" spans="35:35" ht="11.45" customHeight="1">
      <c r="AI233" s="681">
        <v>11</v>
      </c>
    </row>
    <row r="234" spans="35:35" ht="11.45" customHeight="1">
      <c r="AI234" s="681">
        <v>11</v>
      </c>
    </row>
    <row r="235" spans="35:35" ht="11.45" customHeight="1">
      <c r="AI235" s="681">
        <v>11</v>
      </c>
    </row>
    <row r="236" spans="35:35" ht="11.45" customHeight="1">
      <c r="AI236" s="681">
        <v>11</v>
      </c>
    </row>
    <row r="237" spans="35:35" ht="11.45" customHeight="1">
      <c r="AI237" s="681">
        <v>11</v>
      </c>
    </row>
    <row r="238" spans="35:35" ht="11.45" customHeight="1">
      <c r="AI238" s="681">
        <v>11</v>
      </c>
    </row>
    <row r="239" spans="35:35" ht="11.45" customHeight="1">
      <c r="AI239" s="681">
        <v>11</v>
      </c>
    </row>
    <row r="240" spans="35:35" ht="11.45" customHeight="1">
      <c r="AI240" s="681">
        <v>11</v>
      </c>
    </row>
    <row r="241" spans="35:35" ht="11.45" customHeight="1">
      <c r="AI241" s="681">
        <v>11</v>
      </c>
    </row>
    <row r="242" spans="35:35" ht="11.45" customHeight="1">
      <c r="AI242" s="681">
        <v>11</v>
      </c>
    </row>
    <row r="243" spans="35:35" ht="11.45" customHeight="1">
      <c r="AI243" s="681">
        <v>11</v>
      </c>
    </row>
    <row r="244" spans="35:35" ht="11.45" customHeight="1">
      <c r="AI244" s="681">
        <v>11</v>
      </c>
    </row>
    <row r="245" spans="35:35" ht="11.45" customHeight="1">
      <c r="AI245" s="681">
        <v>11</v>
      </c>
    </row>
    <row r="246" spans="35:35" ht="11.45" customHeight="1">
      <c r="AI246" s="681">
        <v>11</v>
      </c>
    </row>
    <row r="247" spans="35:35" ht="11.45" customHeight="1">
      <c r="AI247" s="681">
        <v>11</v>
      </c>
    </row>
    <row r="248" spans="35:35" ht="11.45" customHeight="1">
      <c r="AI248" s="681">
        <v>11</v>
      </c>
    </row>
    <row r="249" spans="35:35" ht="11.45" customHeight="1">
      <c r="AI249" s="681">
        <v>11</v>
      </c>
    </row>
    <row r="250" spans="35:35" ht="11.45" customHeight="1">
      <c r="AI250" s="681">
        <v>11</v>
      </c>
    </row>
    <row r="251" spans="35:35" ht="11.45" customHeight="1">
      <c r="AI251" s="681">
        <v>11</v>
      </c>
    </row>
    <row r="252" spans="35:35" ht="11.45" customHeight="1">
      <c r="AI252" s="681">
        <v>11</v>
      </c>
    </row>
    <row r="253" spans="35:35" ht="11.45" customHeight="1">
      <c r="AI253" s="681">
        <v>11</v>
      </c>
    </row>
    <row r="254" spans="35:35" ht="11.45" customHeight="1">
      <c r="AI254" s="681">
        <v>11</v>
      </c>
    </row>
    <row r="255" spans="35:35" ht="11.45" customHeight="1">
      <c r="AI255" s="681">
        <v>11</v>
      </c>
    </row>
    <row r="256" spans="35:35" ht="11.45" customHeight="1">
      <c r="AI256" s="681">
        <v>11</v>
      </c>
    </row>
    <row r="257" spans="35:35" ht="11.45" customHeight="1">
      <c r="AI257" s="681">
        <v>11</v>
      </c>
    </row>
    <row r="258" spans="35:35" ht="11.45" customHeight="1">
      <c r="AI258" s="681">
        <v>11</v>
      </c>
    </row>
    <row r="259" spans="35:35" ht="11.45" customHeight="1">
      <c r="AI259" s="681">
        <v>11</v>
      </c>
    </row>
    <row r="260" spans="35:35" ht="11.45" customHeight="1">
      <c r="AI260" s="681">
        <v>11</v>
      </c>
    </row>
    <row r="261" spans="35:35" ht="11.45" customHeight="1">
      <c r="AI261" s="681">
        <v>11</v>
      </c>
    </row>
    <row r="262" spans="35:35" ht="11.45" customHeight="1">
      <c r="AI262" s="681">
        <v>11</v>
      </c>
    </row>
    <row r="263" spans="35:35" ht="11.45" customHeight="1">
      <c r="AI263" s="681">
        <v>11</v>
      </c>
    </row>
    <row r="264" spans="35:35" ht="11.45" customHeight="1">
      <c r="AI264" s="681">
        <v>11</v>
      </c>
    </row>
    <row r="265" spans="35:35" ht="11.45" customHeight="1">
      <c r="AI265" s="681">
        <v>11</v>
      </c>
    </row>
    <row r="266" spans="35:35" ht="11.45" customHeight="1">
      <c r="AI266" s="681">
        <v>11</v>
      </c>
    </row>
    <row r="267" spans="35:35" ht="11.45" customHeight="1">
      <c r="AI267" s="681">
        <v>11</v>
      </c>
    </row>
    <row r="268" spans="35:35" ht="11.45" customHeight="1">
      <c r="AI268" s="681">
        <v>11</v>
      </c>
    </row>
    <row r="269" spans="35:35" ht="11.45" customHeight="1">
      <c r="AI269" s="681">
        <v>11</v>
      </c>
    </row>
    <row r="270" spans="35:35" ht="11.45" customHeight="1">
      <c r="AI270" s="681">
        <v>11</v>
      </c>
    </row>
    <row r="271" spans="35:35" ht="11.45" customHeight="1">
      <c r="AI271" s="681">
        <v>11</v>
      </c>
    </row>
    <row r="272" spans="35:35" ht="11.45" customHeight="1">
      <c r="AI272" s="681">
        <v>11</v>
      </c>
    </row>
    <row r="273" spans="35:35" ht="11.45" customHeight="1">
      <c r="AI273" s="681">
        <v>11</v>
      </c>
    </row>
    <row r="274" spans="35:35" ht="11.45" customHeight="1">
      <c r="AI274" s="681">
        <v>11</v>
      </c>
    </row>
    <row r="275" spans="35:35" ht="11.45" customHeight="1">
      <c r="AI275" s="681">
        <v>11</v>
      </c>
    </row>
    <row r="276" spans="35:35" ht="11.45" customHeight="1">
      <c r="AI276" s="681">
        <v>11</v>
      </c>
    </row>
    <row r="277" spans="35:35" ht="11.45" customHeight="1">
      <c r="AI277" s="681">
        <v>11</v>
      </c>
    </row>
    <row r="278" spans="35:35" ht="11.45" customHeight="1">
      <c r="AI278" s="681">
        <v>11</v>
      </c>
    </row>
    <row r="279" spans="35:35" ht="11.45" customHeight="1">
      <c r="AI279" s="681">
        <v>11</v>
      </c>
    </row>
    <row r="280" spans="35:35" ht="11.45" customHeight="1">
      <c r="AI280" s="681">
        <v>11</v>
      </c>
    </row>
    <row r="281" spans="35:35" ht="11.45" customHeight="1">
      <c r="AI281" s="681">
        <v>11</v>
      </c>
    </row>
    <row r="282" spans="35:35" ht="11.45" customHeight="1">
      <c r="AI282" s="681">
        <v>11</v>
      </c>
    </row>
    <row r="283" spans="35:35" ht="11.45" customHeight="1">
      <c r="AI283" s="681">
        <v>11</v>
      </c>
    </row>
    <row r="284" spans="35:35" ht="11.45" customHeight="1">
      <c r="AI284" s="681">
        <v>11</v>
      </c>
    </row>
    <row r="285" spans="35:35" ht="11.45" customHeight="1">
      <c r="AI285" s="681">
        <v>11</v>
      </c>
    </row>
    <row r="286" spans="35:35" ht="11.45" customHeight="1">
      <c r="AI286" s="681">
        <v>11</v>
      </c>
    </row>
    <row r="287" spans="35:35" ht="11.45" customHeight="1">
      <c r="AI287" s="681">
        <v>11</v>
      </c>
    </row>
    <row r="288" spans="35:35" ht="11.45" customHeight="1">
      <c r="AI288" s="681">
        <v>11</v>
      </c>
    </row>
    <row r="289" spans="35:35" ht="11.45" customHeight="1">
      <c r="AI289" s="681">
        <v>11</v>
      </c>
    </row>
    <row r="290" spans="35:35" ht="11.45" customHeight="1">
      <c r="AI290" s="681">
        <v>11</v>
      </c>
    </row>
    <row r="291" spans="35:35" ht="11.45" customHeight="1">
      <c r="AI291" s="681">
        <v>11</v>
      </c>
    </row>
    <row r="292" spans="35:35" ht="11.45" customHeight="1">
      <c r="AI292" s="681">
        <v>11</v>
      </c>
    </row>
    <row r="293" spans="35:35" ht="11.45" customHeight="1">
      <c r="AI293" s="681">
        <v>11</v>
      </c>
    </row>
    <row r="294" spans="35:35" ht="11.45" customHeight="1">
      <c r="AI294" s="681">
        <v>11</v>
      </c>
    </row>
    <row r="295" spans="35:35" ht="11.45" customHeight="1">
      <c r="AI295" s="538">
        <v>11</v>
      </c>
    </row>
    <row r="296" spans="35:35" ht="11.45" customHeight="1">
      <c r="AI296" s="538">
        <v>11</v>
      </c>
    </row>
    <row r="297" spans="35:35" ht="11.45" customHeight="1">
      <c r="AI297" s="538">
        <v>11</v>
      </c>
    </row>
    <row r="298" spans="35:35" ht="11.45" customHeight="1">
      <c r="AI298" s="538">
        <v>11</v>
      </c>
    </row>
    <row r="299" spans="35:35" ht="11.45" customHeight="1">
      <c r="AI299" s="538">
        <v>11</v>
      </c>
    </row>
    <row r="300" spans="35:35" ht="11.45" customHeight="1">
      <c r="AI300" s="538">
        <v>11</v>
      </c>
    </row>
    <row r="301" spans="35:35" ht="11.45" customHeight="1">
      <c r="AI301" s="538">
        <v>11</v>
      </c>
    </row>
    <row r="302" spans="35:35" ht="11.45" customHeight="1">
      <c r="AI302" s="538">
        <v>11</v>
      </c>
    </row>
    <row r="303" spans="35:35" ht="11.45" customHeight="1">
      <c r="AI303" s="538">
        <v>11</v>
      </c>
    </row>
    <row r="304" spans="35:35" ht="11.45" customHeight="1">
      <c r="AI304" s="538">
        <v>11</v>
      </c>
    </row>
    <row r="305" spans="1:35" ht="11.45" customHeight="1">
      <c r="AI305" s="538">
        <v>11</v>
      </c>
    </row>
    <row r="306" spans="1:35" ht="11.45" customHeight="1">
      <c r="AI306" s="538">
        <v>11</v>
      </c>
    </row>
    <row r="307" spans="1:35" ht="11.45" customHeight="1">
      <c r="AI307" s="538">
        <v>11</v>
      </c>
    </row>
    <row r="308" spans="1:35" ht="11.45" customHeight="1">
      <c r="AI308" s="538">
        <v>11</v>
      </c>
    </row>
    <row r="309" spans="1:35" ht="11.25" hidden="1" customHeight="1">
      <c r="A309" s="423" t="s">
        <v>81</v>
      </c>
      <c r="B309" s="555">
        <v>0</v>
      </c>
      <c r="C309" s="577">
        <v>0</v>
      </c>
      <c r="D309" s="538">
        <v>3</v>
      </c>
      <c r="E309" s="538">
        <v>7</v>
      </c>
      <c r="F309" s="538">
        <v>54</v>
      </c>
      <c r="G309" s="538">
        <v>10</v>
      </c>
      <c r="H309" s="538">
        <v>0</v>
      </c>
      <c r="I309" s="538">
        <v>40</v>
      </c>
      <c r="J309" s="3">
        <v>0</v>
      </c>
      <c r="K309" s="3">
        <v>0</v>
      </c>
      <c r="L309" s="3">
        <v>0</v>
      </c>
      <c r="M309" s="538">
        <v>102</v>
      </c>
      <c r="N309" s="555">
        <v>9</v>
      </c>
      <c r="O309" s="577">
        <v>5</v>
      </c>
      <c r="P309" s="577">
        <v>3</v>
      </c>
      <c r="Q309" s="555">
        <v>3</v>
      </c>
      <c r="R309" s="555">
        <v>3</v>
      </c>
      <c r="S309" s="555">
        <v>3</v>
      </c>
      <c r="T309" s="555">
        <v>3</v>
      </c>
      <c r="U309" s="577">
        <v>10</v>
      </c>
      <c r="V309" s="555">
        <v>34</v>
      </c>
      <c r="W309" s="555">
        <v>9</v>
      </c>
      <c r="X309" s="936">
        <v>8</v>
      </c>
      <c r="Y309" s="555">
        <v>8</v>
      </c>
      <c r="Z309" s="555">
        <v>8</v>
      </c>
      <c r="AA309" s="555">
        <v>8</v>
      </c>
      <c r="AB309" s="555">
        <v>8</v>
      </c>
      <c r="AC309" s="555">
        <v>8</v>
      </c>
      <c r="AD309" s="536">
        <v>8</v>
      </c>
      <c r="AE309" s="536">
        <v>8</v>
      </c>
      <c r="AF309" s="536">
        <v>8</v>
      </c>
      <c r="AG309" s="536">
        <v>8</v>
      </c>
      <c r="AH309" s="536">
        <v>8</v>
      </c>
      <c r="AI309" s="538">
        <v>11</v>
      </c>
    </row>
  </sheetData>
  <sheetProtection formatColumns="0" formatRows="0" insertRows="0" deleteColumns="0" deleteRows="0" sort="0" autoFilter="0"/>
  <mergeCells count="18">
    <mergeCell ref="A126:A136"/>
    <mergeCell ref="E21:I21"/>
    <mergeCell ref="E22:I22"/>
    <mergeCell ref="A33:A40"/>
    <mergeCell ref="B34:B39"/>
    <mergeCell ref="A41:A43"/>
    <mergeCell ref="A67:A68"/>
    <mergeCell ref="A88:A96"/>
    <mergeCell ref="A97:A101"/>
    <mergeCell ref="A102:A104"/>
    <mergeCell ref="A105:A117"/>
    <mergeCell ref="A121:A125"/>
    <mergeCell ref="B2:B7"/>
    <mergeCell ref="M25:M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L68 H66:L66"/>
    <dataValidation type="decimal" allowBlank="1" showErrorMessage="1" errorTitle="Ошибка" error="Введите значение от 0 до 100%" sqref="H96:L96 H101:L101">
      <formula1>0</formula1>
      <formula2>100</formula2>
    </dataValidation>
    <dataValidation type="decimal" allowBlank="1" showErrorMessage="1" errorTitle="Ошибка" error="Допускается ввод только действительных чисел!" sqref="H129:L129 H126:L126 H132:L132 H81:L86">
      <formula1>-9.99999999999999E+37</formula1>
      <formula2>9.99999999999999E+37</formula2>
    </dataValidation>
    <dataValidation type="decimal" allowBlank="1" showErrorMessage="1" errorTitle="Ошибка" error="Допускается ввод только действительных чисел!" sqref="H78:L7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4:L136 H87:L87">
      <formula1>900</formula1>
    </dataValidation>
    <dataValidation type="list" allowBlank="1" showInputMessage="1" showErrorMessage="1" errorTitle="Ошибка" error="Выберите значение из списка" prompt="Выберите значение из списка" sqref="G99">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L67 H69:L69 H97:L100 H133:L133 H30:L30 H32:L33 H35:L38 H40:L65 H88:L92 H17:L17 H9:L13 H15:L15 H102:L125 H80:L80 H94:L95 H4:L6 H71:H76 I71:I76 J71:J76 K71:K76 L71:L7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L34 H39:L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L70 K70 J70 I70 H70">
      <formula1>900</formula1>
    </dataValidation>
    <dataValidation type="list" allowBlank="1" showInputMessage="1" showErrorMessage="1" errorTitle="Ошибка" error="Выберите значение из списка" prompt="Выберите значение из списка" sqref="H7:L7">
      <formula1>kind_of_purchase_method</formula1>
    </dataValidation>
  </dataValidations>
  <hyperlinks>
    <hyperlink ref="I87" r:id="rId1"/>
    <hyperlink ref="J87" r:id="rId2"/>
    <hyperlink ref="K87" r:id="rId3"/>
    <hyperlink ref="L87" r:id="rId4"/>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56"/>
  <sheetViews>
    <sheetView showGridLines="0" topLeftCell="C4" zoomScale="90" workbookViewId="0">
      <selection activeCell="A50" sqref="A50:CF56"/>
    </sheetView>
  </sheetViews>
  <sheetFormatPr defaultColWidth="9.140625" defaultRowHeight="11.25" customHeight="1"/>
  <cols>
    <col min="1" max="1" width="14.7109375" style="1029" hidden="1" customWidth="1"/>
    <col min="2" max="2" width="17" style="1029" hidden="1" customWidth="1"/>
    <col min="3" max="3" width="3" style="1029" customWidth="1"/>
    <col min="4" max="4" width="1.85546875" style="1029" hidden="1" customWidth="1"/>
    <col min="5" max="6" width="7" style="1029" customWidth="1"/>
    <col min="7" max="7" width="29" style="1029" customWidth="1"/>
    <col min="8" max="8" width="3.7109375" style="1029" customWidth="1"/>
    <col min="9" max="9" width="5" style="1029" customWidth="1"/>
    <col min="10" max="11" width="24" style="1029" customWidth="1"/>
    <col min="12" max="12" width="3" style="1029" customWidth="1"/>
    <col min="13" max="13" width="6" style="1029" customWidth="1"/>
    <col min="14" max="14" width="25" style="1029" customWidth="1"/>
    <col min="15" max="18" width="18" style="1029" customWidth="1"/>
    <col min="19" max="19" width="93" style="1029" customWidth="1"/>
    <col min="20" max="21" width="10" style="1029" customWidth="1"/>
    <col min="22" max="22" width="11" style="1029" customWidth="1"/>
    <col min="23" max="27" width="10" style="1029" customWidth="1"/>
    <col min="28" max="83" width="8" style="1029" customWidth="1"/>
    <col min="84" max="84" width="9.140625" style="1029" hidden="1"/>
  </cols>
  <sheetData>
    <row r="1" spans="1:84" ht="22.5" hidden="1" customHeight="1">
      <c r="CF1" s="538" t="s">
        <v>14</v>
      </c>
    </row>
    <row r="2" spans="1:84" ht="11.25" hidden="1" customHeight="1">
      <c r="CF2" s="538">
        <v>0</v>
      </c>
    </row>
    <row r="3" spans="1:84" ht="11.25" hidden="1" customHeight="1">
      <c r="CF3" s="538">
        <v>0</v>
      </c>
    </row>
    <row r="4" spans="1:84" ht="3" customHeight="1">
      <c r="CF4" s="538">
        <v>3</v>
      </c>
    </row>
    <row r="5" spans="1:84" ht="29.25" customHeight="1">
      <c r="D5" s="895"/>
      <c r="E5" s="117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178"/>
      <c r="G5" s="1178"/>
      <c r="H5" s="1178"/>
      <c r="I5" s="1178"/>
      <c r="J5" s="1178"/>
      <c r="K5" s="1178"/>
      <c r="CF5" s="538">
        <v>28</v>
      </c>
    </row>
    <row r="6" spans="1:84" ht="16.899999999999999" customHeight="1">
      <c r="D6" s="937"/>
      <c r="E6" s="1127" t="str">
        <f>IF(org=0,"Не определено",org)</f>
        <v>АО "НИЖЕГОРОДСКИЙ ВОДОКАНАЛ"</v>
      </c>
      <c r="F6" s="1127"/>
      <c r="G6" s="1127"/>
      <c r="H6" s="1127"/>
      <c r="I6" s="1127"/>
      <c r="J6" s="1127"/>
      <c r="K6" s="1127"/>
      <c r="CF6" s="538">
        <v>16</v>
      </c>
    </row>
    <row r="7" spans="1:84" ht="11.45" customHeight="1">
      <c r="R7" s="629"/>
      <c r="CF7" s="538">
        <v>11</v>
      </c>
    </row>
    <row r="8" spans="1:84" ht="4.1500000000000004" customHeight="1">
      <c r="R8" s="938"/>
      <c r="CF8" s="681">
        <v>4</v>
      </c>
    </row>
    <row r="9" spans="1:84" ht="19.899999999999999" customHeight="1">
      <c r="D9" s="795"/>
      <c r="E9" s="1048" t="s">
        <v>311</v>
      </c>
      <c r="F9" s="1053"/>
      <c r="G9" s="1053"/>
      <c r="H9" s="1053"/>
      <c r="I9" s="1053"/>
      <c r="J9" s="1053"/>
      <c r="K9" s="1053"/>
      <c r="L9" s="1053"/>
      <c r="M9" s="1053"/>
      <c r="N9" s="1053"/>
      <c r="O9" s="1053"/>
      <c r="P9" s="1053"/>
      <c r="Q9" s="1053"/>
      <c r="R9" s="1047"/>
      <c r="S9" s="1066" t="s">
        <v>312</v>
      </c>
      <c r="CF9" s="538">
        <v>19</v>
      </c>
    </row>
    <row r="10" spans="1:84" ht="48.2" customHeight="1">
      <c r="D10" s="584" t="s">
        <v>87</v>
      </c>
      <c r="E10" s="1066" t="s">
        <v>87</v>
      </c>
      <c r="F10" s="1066"/>
      <c r="G10" s="583" t="s">
        <v>313</v>
      </c>
      <c r="H10" s="1066" t="s">
        <v>87</v>
      </c>
      <c r="I10" s="1066"/>
      <c r="J10" s="583" t="s">
        <v>620</v>
      </c>
      <c r="K10" s="583" t="s">
        <v>621</v>
      </c>
      <c r="L10" s="1066" t="s">
        <v>87</v>
      </c>
      <c r="M10" s="1066"/>
      <c r="N10" s="583" t="s">
        <v>622</v>
      </c>
      <c r="O10" s="583" t="s">
        <v>623</v>
      </c>
      <c r="P10" s="583" t="s">
        <v>624</v>
      </c>
      <c r="Q10" s="583" t="s">
        <v>625</v>
      </c>
      <c r="R10" s="583" t="s">
        <v>626</v>
      </c>
      <c r="S10" s="1066"/>
      <c r="CF10" s="538">
        <v>46</v>
      </c>
    </row>
    <row r="11" spans="1:84" ht="15" hidden="1" customHeight="1">
      <c r="D11" s="358" t="s">
        <v>114</v>
      </c>
      <c r="F11" s="358" t="s">
        <v>102</v>
      </c>
      <c r="G11" s="358" t="s">
        <v>89</v>
      </c>
      <c r="I11" s="358" t="s">
        <v>90</v>
      </c>
      <c r="J11" s="358" t="s">
        <v>115</v>
      </c>
      <c r="K11" s="358" t="s">
        <v>91</v>
      </c>
      <c r="M11" s="358" t="s">
        <v>92</v>
      </c>
      <c r="N11" s="358" t="s">
        <v>116</v>
      </c>
      <c r="O11" s="358" t="s">
        <v>161</v>
      </c>
      <c r="P11" s="358" t="s">
        <v>162</v>
      </c>
      <c r="Q11" s="358" t="s">
        <v>163</v>
      </c>
      <c r="R11" s="358" t="s">
        <v>164</v>
      </c>
      <c r="S11" s="358" t="s">
        <v>165</v>
      </c>
      <c r="CF11" s="577">
        <v>0</v>
      </c>
    </row>
    <row r="12" spans="1:84" ht="1.1499999999999999" customHeight="1">
      <c r="CF12" s="538">
        <v>1</v>
      </c>
    </row>
    <row r="13" spans="1:84" ht="1.1499999999999999" customHeight="1">
      <c r="D13" s="358" t="s">
        <v>387</v>
      </c>
      <c r="CF13" s="681">
        <v>1</v>
      </c>
    </row>
    <row r="14" spans="1:84" ht="15" hidden="1" customHeight="1">
      <c r="A14" s="719" t="s">
        <v>122</v>
      </c>
      <c r="D14" s="1289" t="s">
        <v>114</v>
      </c>
      <c r="E14" s="1281" t="s">
        <v>110</v>
      </c>
      <c r="F14" s="1282"/>
      <c r="G14" s="1283"/>
      <c r="H14" s="1284" t="str">
        <f>IF(A14="","",INDEX(DIFFERENTIATION_UNMERGE_VD,MATCH(A14,DIFFERENTIATION_ID_DIFF,0)))</f>
        <v>Холодное водоснабжение. Питьевая вода</v>
      </c>
      <c r="I14" s="1284"/>
      <c r="J14" s="1284"/>
      <c r="K14" s="1284"/>
      <c r="L14" s="1284"/>
      <c r="M14" s="1284"/>
      <c r="N14" s="1284"/>
      <c r="O14" s="1284"/>
      <c r="P14" s="1284"/>
      <c r="Q14" s="1284"/>
      <c r="R14" s="1284"/>
      <c r="S14" s="787"/>
      <c r="T14" s="260"/>
      <c r="AC14" s="1031"/>
      <c r="AE14" t="s">
        <v>22</v>
      </c>
      <c r="AG14" s="788" t="s">
        <v>627</v>
      </c>
      <c r="AH14" s="789">
        <v>3</v>
      </c>
      <c r="CF14" s="41">
        <v>0</v>
      </c>
    </row>
    <row r="15" spans="1:84" ht="15" hidden="1" customHeight="1">
      <c r="D15" s="1290"/>
      <c r="E15" s="1281" t="s">
        <v>575</v>
      </c>
      <c r="F15" s="1282"/>
      <c r="G15" s="1283"/>
      <c r="H15" s="1284" t="str">
        <f>IF(A14="","",INDEX(DIFFERENTIATION_UNMERGE_AREA,MATCH(A14,DIFFERENTIATION_ID_DIFF,0)))</f>
        <v>Территория 1</v>
      </c>
      <c r="I15" s="1284"/>
      <c r="J15" s="1284"/>
      <c r="K15" s="1284"/>
      <c r="L15" s="1284"/>
      <c r="M15" s="1284"/>
      <c r="N15" s="1284"/>
      <c r="O15" s="1284"/>
      <c r="P15" s="1284"/>
      <c r="Q15" s="1284"/>
      <c r="R15" s="1284"/>
      <c r="S15" s="787"/>
      <c r="T15" s="260"/>
      <c r="AC15" s="1031"/>
      <c r="CF15" s="41">
        <v>0</v>
      </c>
    </row>
    <row r="16" spans="1:84" ht="15" hidden="1" customHeight="1">
      <c r="D16" s="1290"/>
      <c r="E16" s="1281" t="s">
        <v>576</v>
      </c>
      <c r="F16" s="1282"/>
      <c r="G16" s="1283"/>
      <c r="H16" s="1284" t="str">
        <f>IF(A14="","",INDEX(DIFFERENTIATION_UNMERGE_SYSTEM,MATCH(A14,DIFFERENTIATION_ID_DIFF,0)))</f>
        <v>Централизованная система водоснабжения города Нижнего Новгорода (1)</v>
      </c>
      <c r="I16" s="1284"/>
      <c r="J16" s="1284"/>
      <c r="K16" s="1284"/>
      <c r="L16" s="1284"/>
      <c r="M16" s="1284"/>
      <c r="N16" s="1284"/>
      <c r="O16" s="1284"/>
      <c r="P16" s="1284"/>
      <c r="Q16" s="1284"/>
      <c r="R16" s="1284"/>
      <c r="S16" s="787"/>
      <c r="T16" s="260"/>
      <c r="AC16" s="1031"/>
      <c r="CF16" s="41">
        <v>0</v>
      </c>
    </row>
    <row r="17" spans="1:84" ht="22.5" hidden="1" customHeight="1">
      <c r="D17" s="1290"/>
      <c r="E17" s="1285" t="s">
        <v>628</v>
      </c>
      <c r="F17" s="1285"/>
      <c r="G17" s="1285"/>
      <c r="H17" s="1285"/>
      <c r="I17" s="1285"/>
      <c r="J17" s="1285"/>
      <c r="K17" s="1285"/>
      <c r="L17" s="1285"/>
      <c r="M17" s="1285"/>
      <c r="N17" s="1285"/>
      <c r="O17" s="1285"/>
      <c r="P17" s="1285"/>
      <c r="Q17" s="262">
        <f>SUMIF(T18:T19,"i",Q18:Q19)</f>
        <v>0</v>
      </c>
      <c r="R17" s="263"/>
      <c r="S17" s="619" t="s">
        <v>629</v>
      </c>
      <c r="T17" s="260" t="s">
        <v>630</v>
      </c>
      <c r="U17" s="1193">
        <v>1</v>
      </c>
      <c r="V17" s="1193" t="str">
        <f>INDEX(B_FHD_FLAG_INDEX_1,1,MATCH(A14,B_FHD_FLAG_DIFFERENTIATION,0))</f>
        <v>отсутствует</v>
      </c>
      <c r="AC17" s="1031"/>
      <c r="CF17" s="41">
        <v>0</v>
      </c>
    </row>
    <row r="18" spans="1:84" ht="11.25" hidden="1" customHeight="1">
      <c r="D18" s="1290"/>
      <c r="E18" s="635"/>
      <c r="F18" s="635">
        <v>0</v>
      </c>
      <c r="G18" s="635"/>
      <c r="H18" s="635"/>
      <c r="I18" s="635"/>
      <c r="J18" s="635"/>
      <c r="K18" s="635"/>
      <c r="L18" s="635"/>
      <c r="M18" s="635"/>
      <c r="N18" s="635"/>
      <c r="O18" s="635"/>
      <c r="P18" s="635"/>
      <c r="Q18" s="635"/>
      <c r="R18" s="635"/>
      <c r="S18" s="634"/>
      <c r="T18" s="791"/>
      <c r="U18" s="1031"/>
      <c r="V18" s="1031"/>
      <c r="AC18" s="1031"/>
      <c r="CF18" s="41">
        <v>0</v>
      </c>
    </row>
    <row r="19" spans="1:84" ht="11.25" hidden="1" customHeight="1">
      <c r="D19" s="1290"/>
      <c r="E19" s="264" t="s">
        <v>22</v>
      </c>
      <c r="F19" s="44" t="s">
        <v>22</v>
      </c>
      <c r="G19" s="44" t="s">
        <v>22</v>
      </c>
      <c r="H19" s="49" t="s">
        <v>22</v>
      </c>
      <c r="I19" s="49"/>
      <c r="J19" s="49"/>
      <c r="K19" s="49"/>
      <c r="L19" s="49"/>
      <c r="M19" s="49"/>
      <c r="N19" s="49"/>
      <c r="O19" s="49"/>
      <c r="P19" s="49"/>
      <c r="Q19" s="49"/>
      <c r="R19" s="59"/>
      <c r="S19" s="790"/>
      <c r="T19" s="791"/>
      <c r="U19" s="1031"/>
      <c r="V19" s="1031"/>
      <c r="AC19" s="1031"/>
      <c r="CF19" s="41">
        <v>0</v>
      </c>
    </row>
    <row r="20" spans="1:84" ht="22.5" hidden="1" customHeight="1">
      <c r="D20" s="1290"/>
      <c r="E20" s="1285" t="s">
        <v>631</v>
      </c>
      <c r="F20" s="1285"/>
      <c r="G20" s="1285"/>
      <c r="H20" s="1285"/>
      <c r="I20" s="1285"/>
      <c r="J20" s="1285"/>
      <c r="K20" s="1285"/>
      <c r="L20" s="1285"/>
      <c r="M20" s="1285"/>
      <c r="N20" s="1285"/>
      <c r="O20" s="1285"/>
      <c r="P20" s="1285"/>
      <c r="Q20" s="262">
        <f>SUMIF(T21:T22,"i",Q21:Q22)</f>
        <v>0</v>
      </c>
      <c r="R20" s="263"/>
      <c r="S20" s="619" t="s">
        <v>632</v>
      </c>
      <c r="T20" s="260" t="s">
        <v>630</v>
      </c>
      <c r="U20" s="1193">
        <v>2</v>
      </c>
      <c r="V20" s="1193" t="str">
        <f>INDEX(B_FHD_FLAG_INDEX_2,1,MATCH(A14,B_FHD_FLAG_DIFFERENTIATION,0))</f>
        <v>отсутствует</v>
      </c>
      <c r="CF20" s="41">
        <v>0</v>
      </c>
    </row>
    <row r="21" spans="1:84" ht="11.25" hidden="1" customHeight="1">
      <c r="D21" s="1290"/>
      <c r="E21" s="635"/>
      <c r="F21" s="635">
        <v>0</v>
      </c>
      <c r="G21" s="635"/>
      <c r="H21" s="635"/>
      <c r="I21" s="635"/>
      <c r="J21" s="635"/>
      <c r="K21" s="635"/>
      <c r="L21" s="635"/>
      <c r="M21" s="635"/>
      <c r="N21" s="635"/>
      <c r="O21" s="635"/>
      <c r="P21" s="635"/>
      <c r="Q21" s="635"/>
      <c r="R21" s="635"/>
      <c r="S21" s="634"/>
      <c r="T21" s="791"/>
      <c r="U21" s="1031"/>
      <c r="V21" s="1031"/>
      <c r="CF21" s="41">
        <v>0</v>
      </c>
    </row>
    <row r="22" spans="1:84" ht="11.25" hidden="1" customHeight="1">
      <c r="D22" s="1291"/>
      <c r="E22" s="264" t="s">
        <v>22</v>
      </c>
      <c r="F22" s="44" t="s">
        <v>22</v>
      </c>
      <c r="G22" s="44" t="s">
        <v>22</v>
      </c>
      <c r="H22" s="49" t="s">
        <v>22</v>
      </c>
      <c r="I22" s="49"/>
      <c r="J22" s="49"/>
      <c r="K22" s="49"/>
      <c r="L22" s="49"/>
      <c r="M22" s="49"/>
      <c r="N22" s="49"/>
      <c r="O22" s="49"/>
      <c r="P22" s="49"/>
      <c r="Q22" s="49"/>
      <c r="R22" s="59"/>
      <c r="S22" s="790"/>
      <c r="T22" s="791"/>
      <c r="U22" s="1031"/>
      <c r="V22" s="1031"/>
      <c r="CF22" s="41">
        <v>0</v>
      </c>
    </row>
    <row r="23" spans="1:84" ht="15" hidden="1" customHeight="1">
      <c r="A23" t="s">
        <v>130</v>
      </c>
      <c r="B23"/>
      <c r="C23" t="s">
        <v>22</v>
      </c>
      <c r="D23" s="1286" t="s">
        <v>163</v>
      </c>
      <c r="E23" s="1281" t="s">
        <v>110</v>
      </c>
      <c r="F23" s="1282"/>
      <c r="G23" s="1283"/>
      <c r="H23" s="1284" t="str">
        <f>IF(A23="","",INDEX(DIFFERENTIATION_UNMERGE_VD,MATCH(A23,DIFFERENTIATION_ID_DIFF,0)))</f>
        <v>Холодное водоснабжение. Техническая вода</v>
      </c>
      <c r="I23" s="1284"/>
      <c r="J23" s="1284"/>
      <c r="K23" s="1284"/>
      <c r="L23" s="1284"/>
      <c r="M23" s="1284"/>
      <c r="N23" s="1284"/>
      <c r="O23" s="1284"/>
      <c r="P23" s="1284"/>
      <c r="Q23" s="1284"/>
      <c r="R23" s="1284"/>
      <c r="S23" s="787"/>
      <c r="T23" s="260"/>
      <c r="U23"/>
      <c r="V23"/>
      <c r="W23"/>
      <c r="X23"/>
      <c r="Y23"/>
      <c r="Z23"/>
      <c r="AA23"/>
      <c r="AB23"/>
      <c r="AC23" s="1031"/>
      <c r="AD23"/>
      <c r="AE23" t="s">
        <v>22</v>
      </c>
      <c r="AF23"/>
      <c r="AG23" s="788" t="s">
        <v>627</v>
      </c>
      <c r="AH23" s="789">
        <v>3</v>
      </c>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row>
    <row r="24" spans="1:84" ht="15" hidden="1" customHeight="1">
      <c r="A24"/>
      <c r="B24"/>
      <c r="C24"/>
      <c r="D24" s="1287"/>
      <c r="E24" s="1281" t="s">
        <v>575</v>
      </c>
      <c r="F24" s="1282"/>
      <c r="G24" s="1283"/>
      <c r="H24" s="1284" t="str">
        <f>IF(A23="","",INDEX(DIFFERENTIATION_UNMERGE_AREA,MATCH(A23,DIFFERENTIATION_ID_DIFF,0)))</f>
        <v>Территория 1</v>
      </c>
      <c r="I24" s="1284"/>
      <c r="J24" s="1284"/>
      <c r="K24" s="1284"/>
      <c r="L24" s="1284"/>
      <c r="M24" s="1284"/>
      <c r="N24" s="1284"/>
      <c r="O24" s="1284"/>
      <c r="P24" s="1284"/>
      <c r="Q24" s="1284"/>
      <c r="R24" s="1284"/>
      <c r="S24" s="787"/>
      <c r="T24" s="260"/>
      <c r="U24"/>
      <c r="V24"/>
      <c r="W24"/>
      <c r="X24"/>
      <c r="Y24"/>
      <c r="Z24"/>
      <c r="AA24"/>
      <c r="AB24"/>
      <c r="AC24" s="1031"/>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row>
    <row r="25" spans="1:84" ht="15" hidden="1" customHeight="1">
      <c r="A25"/>
      <c r="B25"/>
      <c r="C25"/>
      <c r="D25" s="1287"/>
      <c r="E25" s="1281" t="s">
        <v>576</v>
      </c>
      <c r="F25" s="1282"/>
      <c r="G25" s="1283"/>
      <c r="H25" s="1284" t="str">
        <f>IF(A23="","",INDEX(DIFFERENTIATION_UNMERGE_SYSTEM,MATCH(A23,DIFFERENTIATION_ID_DIFF,0)))</f>
        <v>Централизованная система водоснабжения города Нижнего Новгорода (2)</v>
      </c>
      <c r="I25" s="1284"/>
      <c r="J25" s="1284"/>
      <c r="K25" s="1284"/>
      <c r="L25" s="1284"/>
      <c r="M25" s="1284"/>
      <c r="N25" s="1284"/>
      <c r="O25" s="1284"/>
      <c r="P25" s="1284"/>
      <c r="Q25" s="1284"/>
      <c r="R25" s="1284"/>
      <c r="S25" s="787"/>
      <c r="T25" s="260"/>
      <c r="U25"/>
      <c r="V25"/>
      <c r="W25"/>
      <c r="X25"/>
      <c r="Y25"/>
      <c r="Z25"/>
      <c r="AA25"/>
      <c r="AB25"/>
      <c r="AC25" s="1031"/>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row>
    <row r="26" spans="1:84" ht="24.75" hidden="1" customHeight="1">
      <c r="A26"/>
      <c r="B26"/>
      <c r="C26"/>
      <c r="D26" s="1287"/>
      <c r="E26" s="1285" t="s">
        <v>628</v>
      </c>
      <c r="F26" s="1285"/>
      <c r="G26" s="1285"/>
      <c r="H26" s="1285"/>
      <c r="I26" s="1285"/>
      <c r="J26" s="1285"/>
      <c r="K26" s="1285"/>
      <c r="L26" s="1285"/>
      <c r="M26" s="1285"/>
      <c r="N26" s="1285"/>
      <c r="O26" s="1285"/>
      <c r="P26" s="1285"/>
      <c r="Q26" s="262">
        <f>SUMIF(T27:T28,"i",Q27:Q28)</f>
        <v>0</v>
      </c>
      <c r="R26" s="263"/>
      <c r="S26" s="619" t="s">
        <v>629</v>
      </c>
      <c r="T26" s="260" t="s">
        <v>630</v>
      </c>
      <c r="U26" s="1193">
        <v>1</v>
      </c>
      <c r="V26" s="1193" t="s">
        <v>586</v>
      </c>
      <c r="W26"/>
      <c r="X26"/>
      <c r="Y26"/>
      <c r="Z26"/>
      <c r="AA26"/>
      <c r="AB26"/>
      <c r="AC26" s="1031"/>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row>
    <row r="27" spans="1:84" ht="11.25" hidden="1" customHeight="1">
      <c r="A27"/>
      <c r="B27"/>
      <c r="C27"/>
      <c r="D27" s="1287"/>
      <c r="E27" s="635"/>
      <c r="F27" s="635">
        <v>0</v>
      </c>
      <c r="G27" s="635"/>
      <c r="H27" s="635"/>
      <c r="I27" s="635"/>
      <c r="J27" s="635"/>
      <c r="K27" s="635"/>
      <c r="L27" s="635"/>
      <c r="M27" s="635"/>
      <c r="N27" s="635"/>
      <c r="O27" s="635"/>
      <c r="P27" s="635"/>
      <c r="Q27" s="635"/>
      <c r="R27" s="635"/>
      <c r="S27" s="634"/>
      <c r="T27" s="791"/>
      <c r="U27" s="1031"/>
      <c r="V27" s="1031"/>
      <c r="W27"/>
      <c r="X27"/>
      <c r="Y27"/>
      <c r="Z27"/>
      <c r="AA27"/>
      <c r="AB27"/>
      <c r="AC27" s="1031"/>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row>
    <row r="28" spans="1:84" ht="11.25" hidden="1" customHeight="1">
      <c r="A28"/>
      <c r="B28"/>
      <c r="C28"/>
      <c r="D28" s="1287"/>
      <c r="E28" s="264" t="s">
        <v>22</v>
      </c>
      <c r="F28" s="44" t="s">
        <v>22</v>
      </c>
      <c r="G28" s="44" t="s">
        <v>633</v>
      </c>
      <c r="H28" s="49" t="s">
        <v>22</v>
      </c>
      <c r="I28" s="49"/>
      <c r="J28" s="49"/>
      <c r="K28" s="49"/>
      <c r="L28" s="49"/>
      <c r="M28" s="49"/>
      <c r="N28" s="49"/>
      <c r="O28" s="49"/>
      <c r="P28" s="49"/>
      <c r="Q28" s="49"/>
      <c r="R28" s="59"/>
      <c r="S28" s="792"/>
      <c r="T28" s="791"/>
      <c r="U28" s="1031"/>
      <c r="V28" s="1031"/>
      <c r="W28"/>
      <c r="X28"/>
      <c r="Y28"/>
      <c r="Z28"/>
      <c r="AA28"/>
      <c r="AB28"/>
      <c r="AC28" s="1031"/>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row>
    <row r="29" spans="1:84" ht="24.75" hidden="1" customHeight="1">
      <c r="A29"/>
      <c r="B29"/>
      <c r="C29"/>
      <c r="D29" s="1287"/>
      <c r="E29" s="1285" t="s">
        <v>631</v>
      </c>
      <c r="F29" s="1285"/>
      <c r="G29" s="1285"/>
      <c r="H29" s="1285"/>
      <c r="I29" s="1285"/>
      <c r="J29" s="1285"/>
      <c r="K29" s="1285"/>
      <c r="L29" s="1285"/>
      <c r="M29" s="1285"/>
      <c r="N29" s="1285"/>
      <c r="O29" s="1285"/>
      <c r="P29" s="1285"/>
      <c r="Q29" s="262">
        <f>SUMIF(T30:T31,"i",Q30:Q31)</f>
        <v>0</v>
      </c>
      <c r="R29" s="263"/>
      <c r="S29" s="619" t="s">
        <v>632</v>
      </c>
      <c r="T29" s="260" t="s">
        <v>630</v>
      </c>
      <c r="U29" s="1193">
        <v>1</v>
      </c>
      <c r="V29" s="1193" t="s">
        <v>586</v>
      </c>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row>
    <row r="30" spans="1:84" ht="11.25" hidden="1" customHeight="1">
      <c r="A30"/>
      <c r="B30"/>
      <c r="C30"/>
      <c r="D30" s="1287"/>
      <c r="E30" s="635"/>
      <c r="F30" s="635">
        <v>0</v>
      </c>
      <c r="G30" s="635"/>
      <c r="H30" s="635"/>
      <c r="I30" s="635"/>
      <c r="J30" s="635"/>
      <c r="K30" s="635"/>
      <c r="L30" s="635"/>
      <c r="M30" s="635"/>
      <c r="N30" s="635"/>
      <c r="O30" s="635"/>
      <c r="P30" s="635"/>
      <c r="Q30" s="635"/>
      <c r="R30" s="635"/>
      <c r="S30" s="634"/>
      <c r="T30" s="791"/>
      <c r="U30" s="1031"/>
      <c r="V30" s="1031"/>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row>
    <row r="31" spans="1:84" ht="11.25" hidden="1" customHeight="1">
      <c r="A31"/>
      <c r="B31"/>
      <c r="C31"/>
      <c r="D31" s="1288"/>
      <c r="E31" s="264" t="s">
        <v>22</v>
      </c>
      <c r="F31" s="44" t="s">
        <v>22</v>
      </c>
      <c r="G31" s="44" t="s">
        <v>633</v>
      </c>
      <c r="H31" s="49" t="s">
        <v>22</v>
      </c>
      <c r="I31" s="49"/>
      <c r="J31" s="49"/>
      <c r="K31" s="49"/>
      <c r="L31" s="49"/>
      <c r="M31" s="49"/>
      <c r="N31" s="49"/>
      <c r="O31" s="49"/>
      <c r="P31" s="49"/>
      <c r="Q31" s="49"/>
      <c r="R31" s="59"/>
      <c r="S31" s="792"/>
      <c r="T31" s="791"/>
      <c r="U31" s="1031"/>
      <c r="V31" s="10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row>
    <row r="32" spans="1:84" ht="15" hidden="1" customHeight="1">
      <c r="A32" t="s">
        <v>132</v>
      </c>
      <c r="B32"/>
      <c r="C32" t="s">
        <v>22</v>
      </c>
      <c r="D32" s="1286" t="s">
        <v>634</v>
      </c>
      <c r="E32" s="1281" t="s">
        <v>110</v>
      </c>
      <c r="F32" s="1282"/>
      <c r="G32" s="1283"/>
      <c r="H32" s="1284" t="str">
        <f>IF(A32="","",INDEX(DIFFERENTIATION_UNMERGE_VD,MATCH(A32,DIFFERENTIATION_ID_DIFF,0)))</f>
        <v>Подключение (технологическое присоединение) к централизованной системе водоснабжения</v>
      </c>
      <c r="I32" s="1284"/>
      <c r="J32" s="1284"/>
      <c r="K32" s="1284"/>
      <c r="L32" s="1284"/>
      <c r="M32" s="1284"/>
      <c r="N32" s="1284"/>
      <c r="O32" s="1284"/>
      <c r="P32" s="1284"/>
      <c r="Q32" s="1284"/>
      <c r="R32" s="1284"/>
      <c r="S32" s="787"/>
      <c r="T32" s="260"/>
      <c r="U32"/>
      <c r="V32"/>
      <c r="W32"/>
      <c r="X32"/>
      <c r="Y32"/>
      <c r="Z32"/>
      <c r="AA32"/>
      <c r="AB32"/>
      <c r="AC32" s="1031"/>
      <c r="AD32"/>
      <c r="AE32" t="s">
        <v>22</v>
      </c>
      <c r="AF32"/>
      <c r="AG32" s="788" t="s">
        <v>627</v>
      </c>
      <c r="AH32" s="789">
        <v>3</v>
      </c>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row>
    <row r="33" spans="1:84" ht="15" hidden="1" customHeight="1">
      <c r="A33"/>
      <c r="B33"/>
      <c r="C33"/>
      <c r="D33" s="1287"/>
      <c r="E33" s="1281" t="s">
        <v>575</v>
      </c>
      <c r="F33" s="1282"/>
      <c r="G33" s="1283"/>
      <c r="H33" s="1284" t="str">
        <f>IF(A32="","",INDEX(DIFFERENTIATION_UNMERGE_AREA,MATCH(A32,DIFFERENTIATION_ID_DIFF,0)))</f>
        <v>без дифференциации</v>
      </c>
      <c r="I33" s="1284"/>
      <c r="J33" s="1284"/>
      <c r="K33" s="1284"/>
      <c r="L33" s="1284"/>
      <c r="M33" s="1284"/>
      <c r="N33" s="1284"/>
      <c r="O33" s="1284"/>
      <c r="P33" s="1284"/>
      <c r="Q33" s="1284"/>
      <c r="R33" s="1284"/>
      <c r="S33" s="787"/>
      <c r="T33" s="260"/>
      <c r="U33"/>
      <c r="V33"/>
      <c r="W33"/>
      <c r="X33"/>
      <c r="Y33"/>
      <c r="Z33"/>
      <c r="AA33"/>
      <c r="AB33"/>
      <c r="AC33" s="1031"/>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row>
    <row r="34" spans="1:84" ht="15" hidden="1" customHeight="1">
      <c r="A34"/>
      <c r="B34"/>
      <c r="C34"/>
      <c r="D34" s="1287"/>
      <c r="E34" s="1281" t="s">
        <v>576</v>
      </c>
      <c r="F34" s="1282"/>
      <c r="G34" s="1283"/>
      <c r="H34" s="1284" t="str">
        <f>IF(A32="","",INDEX(DIFFERENTIATION_UNMERGE_SYSTEM,MATCH(A32,DIFFERENTIATION_ID_DIFF,0)))</f>
        <v>без дифференциации</v>
      </c>
      <c r="I34" s="1284"/>
      <c r="J34" s="1284"/>
      <c r="K34" s="1284"/>
      <c r="L34" s="1284"/>
      <c r="M34" s="1284"/>
      <c r="N34" s="1284"/>
      <c r="O34" s="1284"/>
      <c r="P34" s="1284"/>
      <c r="Q34" s="1284"/>
      <c r="R34" s="1284"/>
      <c r="S34" s="787"/>
      <c r="T34" s="260"/>
      <c r="U34"/>
      <c r="V34"/>
      <c r="W34"/>
      <c r="X34"/>
      <c r="Y34"/>
      <c r="Z34"/>
      <c r="AA34"/>
      <c r="AB34"/>
      <c r="AC34" s="1031"/>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row>
    <row r="35" spans="1:84" ht="24.75" hidden="1" customHeight="1">
      <c r="A35"/>
      <c r="B35"/>
      <c r="C35"/>
      <c r="D35" s="1287"/>
      <c r="E35" s="1285" t="s">
        <v>628</v>
      </c>
      <c r="F35" s="1285"/>
      <c r="G35" s="1285"/>
      <c r="H35" s="1285"/>
      <c r="I35" s="1285"/>
      <c r="J35" s="1285"/>
      <c r="K35" s="1285"/>
      <c r="L35" s="1285"/>
      <c r="M35" s="1285"/>
      <c r="N35" s="1285"/>
      <c r="O35" s="1285"/>
      <c r="P35" s="1285"/>
      <c r="Q35" s="262">
        <f>SUMIF(T36:T37,"i",Q36:Q37)</f>
        <v>0</v>
      </c>
      <c r="R35" s="263"/>
      <c r="S35" s="619" t="s">
        <v>629</v>
      </c>
      <c r="T35" s="260" t="s">
        <v>630</v>
      </c>
      <c r="U35" s="1193">
        <v>1</v>
      </c>
      <c r="V35" s="1193" t="s">
        <v>586</v>
      </c>
      <c r="W35"/>
      <c r="X35"/>
      <c r="Y35"/>
      <c r="Z35"/>
      <c r="AA35"/>
      <c r="AB35"/>
      <c r="AC35" s="1031"/>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row>
    <row r="36" spans="1:84" ht="11.25" hidden="1" customHeight="1">
      <c r="A36"/>
      <c r="B36"/>
      <c r="C36"/>
      <c r="D36" s="1287"/>
      <c r="E36" s="635"/>
      <c r="F36" s="635">
        <v>0</v>
      </c>
      <c r="G36" s="635"/>
      <c r="H36" s="635"/>
      <c r="I36" s="635"/>
      <c r="J36" s="635"/>
      <c r="K36" s="635"/>
      <c r="L36" s="635"/>
      <c r="M36" s="635"/>
      <c r="N36" s="635"/>
      <c r="O36" s="635"/>
      <c r="P36" s="635"/>
      <c r="Q36" s="635"/>
      <c r="R36" s="635"/>
      <c r="S36" s="634"/>
      <c r="T36" s="791"/>
      <c r="U36" s="1031"/>
      <c r="V36" s="1031"/>
      <c r="W36"/>
      <c r="X36"/>
      <c r="Y36"/>
      <c r="Z36"/>
      <c r="AA36"/>
      <c r="AB36"/>
      <c r="AC36" s="1031"/>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row>
    <row r="37" spans="1:84" ht="11.25" hidden="1" customHeight="1">
      <c r="A37"/>
      <c r="B37"/>
      <c r="C37"/>
      <c r="D37" s="1287"/>
      <c r="E37" s="264" t="s">
        <v>22</v>
      </c>
      <c r="F37" s="44" t="s">
        <v>22</v>
      </c>
      <c r="G37" s="44" t="s">
        <v>633</v>
      </c>
      <c r="H37" s="49" t="s">
        <v>22</v>
      </c>
      <c r="I37" s="49"/>
      <c r="J37" s="49"/>
      <c r="K37" s="49"/>
      <c r="L37" s="49"/>
      <c r="M37" s="49"/>
      <c r="N37" s="49"/>
      <c r="O37" s="49"/>
      <c r="P37" s="49"/>
      <c r="Q37" s="49"/>
      <c r="R37" s="59"/>
      <c r="S37" s="792"/>
      <c r="T37" s="791"/>
      <c r="U37" s="1031"/>
      <c r="V37" s="1031"/>
      <c r="W37"/>
      <c r="X37"/>
      <c r="Y37"/>
      <c r="Z37"/>
      <c r="AA37"/>
      <c r="AB37"/>
      <c r="AC37" s="1031"/>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row>
    <row r="38" spans="1:84" ht="24.75" hidden="1" customHeight="1">
      <c r="A38"/>
      <c r="B38"/>
      <c r="C38"/>
      <c r="D38" s="1287"/>
      <c r="E38" s="1285" t="s">
        <v>631</v>
      </c>
      <c r="F38" s="1285"/>
      <c r="G38" s="1285"/>
      <c r="H38" s="1285"/>
      <c r="I38" s="1285"/>
      <c r="J38" s="1285"/>
      <c r="K38" s="1285"/>
      <c r="L38" s="1285"/>
      <c r="M38" s="1285"/>
      <c r="N38" s="1285"/>
      <c r="O38" s="1285"/>
      <c r="P38" s="1285"/>
      <c r="Q38" s="262">
        <f>SUMIF(T39:T40,"i",Q39:Q40)</f>
        <v>0</v>
      </c>
      <c r="R38" s="263"/>
      <c r="S38" s="619" t="s">
        <v>632</v>
      </c>
      <c r="T38" s="260" t="s">
        <v>630</v>
      </c>
      <c r="U38" s="1193">
        <v>1</v>
      </c>
      <c r="V38" s="1193" t="s">
        <v>586</v>
      </c>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row>
    <row r="39" spans="1:84" ht="11.25" hidden="1" customHeight="1">
      <c r="A39"/>
      <c r="B39"/>
      <c r="C39"/>
      <c r="D39" s="1287"/>
      <c r="E39" s="635"/>
      <c r="F39" s="635">
        <v>0</v>
      </c>
      <c r="G39" s="635"/>
      <c r="H39" s="635"/>
      <c r="I39" s="635"/>
      <c r="J39" s="635"/>
      <c r="K39" s="635"/>
      <c r="L39" s="635"/>
      <c r="M39" s="635"/>
      <c r="N39" s="635"/>
      <c r="O39" s="635"/>
      <c r="P39" s="635"/>
      <c r="Q39" s="635"/>
      <c r="R39" s="635"/>
      <c r="S39" s="634"/>
      <c r="T39" s="791"/>
      <c r="U39" s="1031"/>
      <c r="V39" s="1031"/>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row>
    <row r="40" spans="1:84" ht="11.25" hidden="1" customHeight="1">
      <c r="A40"/>
      <c r="B40"/>
      <c r="C40"/>
      <c r="D40" s="1288"/>
      <c r="E40" s="264" t="s">
        <v>22</v>
      </c>
      <c r="F40" s="44" t="s">
        <v>22</v>
      </c>
      <c r="G40" s="44" t="s">
        <v>633</v>
      </c>
      <c r="H40" s="49" t="s">
        <v>22</v>
      </c>
      <c r="I40" s="49"/>
      <c r="J40" s="49"/>
      <c r="K40" s="49"/>
      <c r="L40" s="49"/>
      <c r="M40" s="49"/>
      <c r="N40" s="49"/>
      <c r="O40" s="49"/>
      <c r="P40" s="49"/>
      <c r="Q40" s="49"/>
      <c r="R40" s="59"/>
      <c r="S40" s="792"/>
      <c r="T40" s="791"/>
      <c r="U40" s="1031"/>
      <c r="V40" s="1031"/>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row>
    <row r="41" spans="1:84" ht="15" hidden="1" customHeight="1">
      <c r="A41" t="s">
        <v>127</v>
      </c>
      <c r="B41"/>
      <c r="C41" t="s">
        <v>22</v>
      </c>
      <c r="D41" s="1286" t="s">
        <v>635</v>
      </c>
      <c r="E41" s="1281" t="s">
        <v>110</v>
      </c>
      <c r="F41" s="1282"/>
      <c r="G41" s="1283"/>
      <c r="H41" s="1284" t="str">
        <f>IF(A41="","",INDEX(DIFFERENTIATION_UNMERGE_VD,MATCH(A41,DIFFERENTIATION_ID_DIFF,0)))</f>
        <v>Холодное водоснабжение. Питьевая вода</v>
      </c>
      <c r="I41" s="1284"/>
      <c r="J41" s="1284"/>
      <c r="K41" s="1284"/>
      <c r="L41" s="1284"/>
      <c r="M41" s="1284"/>
      <c r="N41" s="1284"/>
      <c r="O41" s="1284"/>
      <c r="P41" s="1284"/>
      <c r="Q41" s="1284"/>
      <c r="R41" s="1284"/>
      <c r="S41" s="787"/>
      <c r="T41" s="260"/>
      <c r="U41"/>
      <c r="V41"/>
      <c r="W41"/>
      <c r="X41"/>
      <c r="Y41"/>
      <c r="Z41"/>
      <c r="AA41"/>
      <c r="AB41"/>
      <c r="AC41" s="1031"/>
      <c r="AD41"/>
      <c r="AE41" t="s">
        <v>22</v>
      </c>
      <c r="AF41"/>
      <c r="AG41" s="788" t="s">
        <v>627</v>
      </c>
      <c r="AH41" s="789">
        <v>3</v>
      </c>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row>
    <row r="42" spans="1:84" ht="15" hidden="1" customHeight="1">
      <c r="A42"/>
      <c r="B42"/>
      <c r="C42"/>
      <c r="D42" s="1287"/>
      <c r="E42" s="1281" t="s">
        <v>575</v>
      </c>
      <c r="F42" s="1282"/>
      <c r="G42" s="1283"/>
      <c r="H42" s="1284" t="str">
        <f>IF(A41="","",INDEX(DIFFERENTIATION_UNMERGE_AREA,MATCH(A41,DIFFERENTIATION_ID_DIFF,0)))</f>
        <v>Территория 2</v>
      </c>
      <c r="I42" s="1284"/>
      <c r="J42" s="1284"/>
      <c r="K42" s="1284"/>
      <c r="L42" s="1284"/>
      <c r="M42" s="1284"/>
      <c r="N42" s="1284"/>
      <c r="O42" s="1284"/>
      <c r="P42" s="1284"/>
      <c r="Q42" s="1284"/>
      <c r="R42" s="1284"/>
      <c r="S42" s="787"/>
      <c r="T42" s="260"/>
      <c r="U42"/>
      <c r="V42"/>
      <c r="W42"/>
      <c r="X42"/>
      <c r="Y42"/>
      <c r="Z42"/>
      <c r="AA42"/>
      <c r="AB42"/>
      <c r="AC42" s="1031"/>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row>
    <row r="43" spans="1:84" ht="15" hidden="1" customHeight="1">
      <c r="A43"/>
      <c r="B43"/>
      <c r="C43"/>
      <c r="D43" s="1287"/>
      <c r="E43" s="1281" t="s">
        <v>576</v>
      </c>
      <c r="F43" s="1282"/>
      <c r="G43" s="1283"/>
      <c r="H43" s="1284" t="str">
        <f>IF(A41="","",INDEX(DIFFERENTIATION_UNMERGE_SYSTEM,MATCH(A41,DIFFERENTIATION_ID_DIFF,0)))</f>
        <v>Централизованная система водоснабжения Кстовского муниципального района</v>
      </c>
      <c r="I43" s="1284"/>
      <c r="J43" s="1284"/>
      <c r="K43" s="1284"/>
      <c r="L43" s="1284"/>
      <c r="M43" s="1284"/>
      <c r="N43" s="1284"/>
      <c r="O43" s="1284"/>
      <c r="P43" s="1284"/>
      <c r="Q43" s="1284"/>
      <c r="R43" s="1284"/>
      <c r="S43" s="787"/>
      <c r="T43" s="260"/>
      <c r="U43"/>
      <c r="V43"/>
      <c r="W43"/>
      <c r="X43"/>
      <c r="Y43"/>
      <c r="Z43"/>
      <c r="AA43"/>
      <c r="AB43"/>
      <c r="AC43" s="1031"/>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row>
    <row r="44" spans="1:84" ht="24.75" hidden="1" customHeight="1">
      <c r="A44"/>
      <c r="B44"/>
      <c r="C44"/>
      <c r="D44" s="1287"/>
      <c r="E44" s="1285" t="s">
        <v>628</v>
      </c>
      <c r="F44" s="1285"/>
      <c r="G44" s="1285"/>
      <c r="H44" s="1285"/>
      <c r="I44" s="1285"/>
      <c r="J44" s="1285"/>
      <c r="K44" s="1285"/>
      <c r="L44" s="1285"/>
      <c r="M44" s="1285"/>
      <c r="N44" s="1285"/>
      <c r="O44" s="1285"/>
      <c r="P44" s="1285"/>
      <c r="Q44" s="262">
        <f>SUMIF(T45:T46,"i",Q45:Q46)</f>
        <v>0</v>
      </c>
      <c r="R44" s="263"/>
      <c r="S44" s="619" t="s">
        <v>629</v>
      </c>
      <c r="T44" s="260" t="s">
        <v>630</v>
      </c>
      <c r="U44" s="1193">
        <v>1</v>
      </c>
      <c r="V44" s="1193" t="s">
        <v>586</v>
      </c>
      <c r="W44"/>
      <c r="X44"/>
      <c r="Y44"/>
      <c r="Z44"/>
      <c r="AA44"/>
      <c r="AB44"/>
      <c r="AC44" s="1031"/>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row>
    <row r="45" spans="1:84" ht="11.25" hidden="1" customHeight="1">
      <c r="A45"/>
      <c r="B45"/>
      <c r="C45"/>
      <c r="D45" s="1287"/>
      <c r="E45" s="635"/>
      <c r="F45" s="635">
        <v>0</v>
      </c>
      <c r="G45" s="635"/>
      <c r="H45" s="635"/>
      <c r="I45" s="635"/>
      <c r="J45" s="635"/>
      <c r="K45" s="635"/>
      <c r="L45" s="635"/>
      <c r="M45" s="635"/>
      <c r="N45" s="635"/>
      <c r="O45" s="635"/>
      <c r="P45" s="635"/>
      <c r="Q45" s="635"/>
      <c r="R45" s="635"/>
      <c r="S45" s="634"/>
      <c r="T45" s="791"/>
      <c r="U45" s="1031"/>
      <c r="V45" s="1031"/>
      <c r="W45"/>
      <c r="X45"/>
      <c r="Y45"/>
      <c r="Z45"/>
      <c r="AA45"/>
      <c r="AB45"/>
      <c r="AC45" s="1031"/>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row>
    <row r="46" spans="1:84" ht="11.25" hidden="1" customHeight="1">
      <c r="A46"/>
      <c r="B46"/>
      <c r="C46"/>
      <c r="D46" s="1287"/>
      <c r="E46" s="264" t="s">
        <v>22</v>
      </c>
      <c r="F46" s="44" t="s">
        <v>22</v>
      </c>
      <c r="G46" s="44" t="s">
        <v>633</v>
      </c>
      <c r="H46" s="49" t="s">
        <v>22</v>
      </c>
      <c r="I46" s="49"/>
      <c r="J46" s="49"/>
      <c r="K46" s="49"/>
      <c r="L46" s="49"/>
      <c r="M46" s="49"/>
      <c r="N46" s="49"/>
      <c r="O46" s="49"/>
      <c r="P46" s="49"/>
      <c r="Q46" s="49"/>
      <c r="R46" s="59"/>
      <c r="S46" s="792"/>
      <c r="T46" s="791"/>
      <c r="U46" s="1031"/>
      <c r="V46" s="1031"/>
      <c r="W46"/>
      <c r="X46"/>
      <c r="Y46"/>
      <c r="Z46"/>
      <c r="AA46"/>
      <c r="AB46"/>
      <c r="AC46" s="1031"/>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row>
    <row r="47" spans="1:84" ht="24.75" hidden="1" customHeight="1">
      <c r="A47"/>
      <c r="B47"/>
      <c r="C47"/>
      <c r="D47" s="1287"/>
      <c r="E47" s="1285" t="s">
        <v>631</v>
      </c>
      <c r="F47" s="1285"/>
      <c r="G47" s="1285"/>
      <c r="H47" s="1285"/>
      <c r="I47" s="1285"/>
      <c r="J47" s="1285"/>
      <c r="K47" s="1285"/>
      <c r="L47" s="1285"/>
      <c r="M47" s="1285"/>
      <c r="N47" s="1285"/>
      <c r="O47" s="1285"/>
      <c r="P47" s="1285"/>
      <c r="Q47" s="262">
        <f>SUMIF(T48:T49,"i",Q48:Q49)</f>
        <v>0</v>
      </c>
      <c r="R47" s="263"/>
      <c r="S47" s="619" t="s">
        <v>632</v>
      </c>
      <c r="T47" s="260" t="s">
        <v>630</v>
      </c>
      <c r="U47" s="1193">
        <v>1</v>
      </c>
      <c r="V47" s="1193" t="s">
        <v>586</v>
      </c>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row>
    <row r="48" spans="1:84" ht="11.25" hidden="1" customHeight="1">
      <c r="A48"/>
      <c r="B48"/>
      <c r="C48"/>
      <c r="D48" s="1287"/>
      <c r="E48" s="635"/>
      <c r="F48" s="635">
        <v>0</v>
      </c>
      <c r="G48" s="635"/>
      <c r="H48" s="635"/>
      <c r="I48" s="635"/>
      <c r="J48" s="635"/>
      <c r="K48" s="635"/>
      <c r="L48" s="635"/>
      <c r="M48" s="635"/>
      <c r="N48" s="635"/>
      <c r="O48" s="635"/>
      <c r="P48" s="635"/>
      <c r="Q48" s="635"/>
      <c r="R48" s="635"/>
      <c r="S48" s="634"/>
      <c r="T48" s="791"/>
      <c r="U48" s="1031"/>
      <c r="V48" s="1031"/>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row>
    <row r="49" spans="1:84" ht="11.25" hidden="1" customHeight="1">
      <c r="A49"/>
      <c r="B49"/>
      <c r="C49"/>
      <c r="D49" s="1288"/>
      <c r="E49" s="264" t="s">
        <v>22</v>
      </c>
      <c r="F49" s="44" t="s">
        <v>22</v>
      </c>
      <c r="G49" s="44" t="s">
        <v>633</v>
      </c>
      <c r="H49" s="49" t="s">
        <v>22</v>
      </c>
      <c r="I49" s="49"/>
      <c r="J49" s="49"/>
      <c r="K49" s="49"/>
      <c r="L49" s="49"/>
      <c r="M49" s="49"/>
      <c r="N49" s="49"/>
      <c r="O49" s="49"/>
      <c r="P49" s="49"/>
      <c r="Q49" s="49"/>
      <c r="R49" s="59"/>
      <c r="S49" s="792"/>
      <c r="T49" s="791"/>
      <c r="U49" s="1031"/>
      <c r="V49" s="1031"/>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row>
    <row r="50" spans="1:84" ht="19.899999999999999" customHeight="1">
      <c r="D50" s="424"/>
      <c r="E50" s="424"/>
      <c r="F50" s="424"/>
      <c r="G50" s="424"/>
      <c r="H50" s="424"/>
      <c r="I50" s="424"/>
      <c r="J50" s="424"/>
      <c r="K50" s="424"/>
      <c r="L50" s="424"/>
      <c r="M50" s="424"/>
      <c r="N50" s="424"/>
      <c r="O50" s="424"/>
      <c r="P50" s="424"/>
      <c r="Q50" s="424"/>
      <c r="R50" s="424"/>
      <c r="S50" s="424"/>
      <c r="CF50" s="538">
        <v>19</v>
      </c>
    </row>
    <row r="51" spans="1:84" ht="11.45" customHeight="1">
      <c r="CF51" s="538">
        <v>11</v>
      </c>
    </row>
    <row r="52" spans="1:84" ht="11.45" customHeight="1">
      <c r="CF52" s="538">
        <v>11</v>
      </c>
    </row>
    <row r="53" spans="1:84" ht="11.45" customHeight="1">
      <c r="CF53" s="538">
        <v>11</v>
      </c>
    </row>
    <row r="54" spans="1:84" ht="11.45" customHeight="1">
      <c r="E54" s="1031"/>
      <c r="F54" s="1031"/>
      <c r="G54" s="1031"/>
      <c r="H54" s="1031"/>
      <c r="I54" s="1031"/>
      <c r="J54" s="1031"/>
      <c r="K54" s="1031"/>
      <c r="L54" s="1031"/>
      <c r="M54" s="1031"/>
      <c r="N54" s="1031"/>
      <c r="O54" s="1031"/>
      <c r="P54" s="1031"/>
      <c r="Q54" s="1031"/>
      <c r="R54" s="1031"/>
      <c r="CF54" s="538">
        <v>11</v>
      </c>
    </row>
    <row r="55" spans="1:84" ht="11.45" customHeight="1">
      <c r="CF55" s="538">
        <v>11</v>
      </c>
    </row>
    <row r="56" spans="1:84" ht="11.25" hidden="1" customHeight="1">
      <c r="A56" s="425" t="s">
        <v>81</v>
      </c>
      <c r="B56" s="536">
        <v>0</v>
      </c>
      <c r="C56" s="538">
        <v>3</v>
      </c>
      <c r="D56" s="538">
        <v>0</v>
      </c>
      <c r="E56" s="538">
        <v>7</v>
      </c>
      <c r="F56" s="538">
        <v>7</v>
      </c>
      <c r="G56" s="538">
        <v>29</v>
      </c>
      <c r="H56" s="538">
        <v>3</v>
      </c>
      <c r="I56" s="538">
        <v>5</v>
      </c>
      <c r="J56" s="538">
        <v>24</v>
      </c>
      <c r="K56" s="538">
        <v>24</v>
      </c>
      <c r="L56" s="538">
        <v>3</v>
      </c>
      <c r="M56" s="538">
        <v>6</v>
      </c>
      <c r="N56" s="538">
        <v>25</v>
      </c>
      <c r="O56" s="538">
        <v>18</v>
      </c>
      <c r="P56" s="538">
        <v>18</v>
      </c>
      <c r="Q56" s="538">
        <v>18</v>
      </c>
      <c r="R56" s="538">
        <v>18</v>
      </c>
      <c r="S56" s="538">
        <v>93</v>
      </c>
      <c r="T56" s="538">
        <v>10</v>
      </c>
      <c r="U56" s="577">
        <v>10</v>
      </c>
      <c r="V56" s="577">
        <v>11</v>
      </c>
      <c r="W56" s="536">
        <v>10</v>
      </c>
      <c r="X56" s="536">
        <v>10</v>
      </c>
      <c r="Y56" s="536">
        <v>10</v>
      </c>
      <c r="Z56" s="536">
        <v>10</v>
      </c>
      <c r="AA56" s="536">
        <v>10</v>
      </c>
      <c r="AB56" s="538">
        <v>8</v>
      </c>
      <c r="AC56" s="538">
        <v>8</v>
      </c>
      <c r="AD56" s="538">
        <v>8</v>
      </c>
      <c r="AE56" s="538">
        <v>8</v>
      </c>
      <c r="AF56" s="538">
        <v>8</v>
      </c>
      <c r="AG56" s="538">
        <v>8</v>
      </c>
      <c r="AH56" s="538">
        <v>8</v>
      </c>
      <c r="AI56" s="538">
        <v>8</v>
      </c>
      <c r="AJ56" s="538">
        <v>8</v>
      </c>
      <c r="AK56" s="538">
        <v>8</v>
      </c>
      <c r="AL56" s="538">
        <v>8</v>
      </c>
      <c r="AM56" s="538">
        <v>8</v>
      </c>
      <c r="AN56" s="538">
        <v>8</v>
      </c>
      <c r="AO56" s="538">
        <v>8</v>
      </c>
      <c r="AP56" s="538">
        <v>8</v>
      </c>
      <c r="AQ56" s="538">
        <v>8</v>
      </c>
      <c r="AR56" s="538">
        <v>8</v>
      </c>
      <c r="AS56" s="538">
        <v>8</v>
      </c>
      <c r="AT56" s="538">
        <v>8</v>
      </c>
      <c r="AU56" s="538">
        <v>8</v>
      </c>
      <c r="AV56" s="538">
        <v>8</v>
      </c>
      <c r="AW56" s="538">
        <v>8</v>
      </c>
      <c r="AX56" s="538">
        <v>8</v>
      </c>
      <c r="AY56" s="538">
        <v>8</v>
      </c>
      <c r="AZ56" s="538">
        <v>8</v>
      </c>
      <c r="BA56" s="538">
        <v>8</v>
      </c>
      <c r="BB56" s="538">
        <v>8</v>
      </c>
      <c r="BC56" s="538">
        <v>8</v>
      </c>
      <c r="BD56" s="538">
        <v>8</v>
      </c>
      <c r="BE56" s="538">
        <v>8</v>
      </c>
      <c r="BF56" s="538">
        <v>8</v>
      </c>
      <c r="BG56" s="538">
        <v>8</v>
      </c>
      <c r="BH56" s="538">
        <v>8</v>
      </c>
      <c r="BI56" s="538">
        <v>8</v>
      </c>
      <c r="BJ56" s="538">
        <v>8</v>
      </c>
      <c r="BK56" s="538">
        <v>8</v>
      </c>
      <c r="BL56" s="538">
        <v>8</v>
      </c>
      <c r="BM56" s="538">
        <v>8</v>
      </c>
      <c r="BN56" s="538">
        <v>8</v>
      </c>
      <c r="BO56" s="538">
        <v>8</v>
      </c>
      <c r="BP56" s="538">
        <v>8</v>
      </c>
      <c r="BQ56" s="538">
        <v>8</v>
      </c>
      <c r="BR56" s="538">
        <v>8</v>
      </c>
      <c r="BS56" s="538">
        <v>8</v>
      </c>
      <c r="BT56" s="538">
        <v>8</v>
      </c>
      <c r="BU56" s="538">
        <v>8</v>
      </c>
      <c r="BV56" s="538">
        <v>8</v>
      </c>
      <c r="BW56" s="538">
        <v>8</v>
      </c>
      <c r="BX56" s="538">
        <v>8</v>
      </c>
      <c r="BY56" s="538">
        <v>8</v>
      </c>
      <c r="BZ56" s="538">
        <v>8</v>
      </c>
      <c r="CA56" s="538">
        <v>8</v>
      </c>
      <c r="CB56" s="538">
        <v>8</v>
      </c>
      <c r="CC56" s="538">
        <v>8</v>
      </c>
      <c r="CD56" s="538">
        <v>8</v>
      </c>
      <c r="CE56" s="538">
        <v>8</v>
      </c>
      <c r="CF56" s="538">
        <v>11</v>
      </c>
    </row>
  </sheetData>
  <sheetProtection formatColumns="0" formatRows="0" insertRows="0" deleteColumns="0" deleteRows="0" sort="0" autoFilter="0"/>
  <mergeCells count="64">
    <mergeCell ref="E5:K5"/>
    <mergeCell ref="E6:K6"/>
    <mergeCell ref="E9:R9"/>
    <mergeCell ref="S9:S10"/>
    <mergeCell ref="E10:F10"/>
    <mergeCell ref="H10:I10"/>
    <mergeCell ref="L10:M10"/>
    <mergeCell ref="D14:D22"/>
    <mergeCell ref="H14:R14"/>
    <mergeCell ref="H15:R15"/>
    <mergeCell ref="H16:R16"/>
    <mergeCell ref="E54:R54"/>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E29:P29"/>
    <mergeCell ref="AC23:AC28"/>
    <mergeCell ref="E24:G24"/>
    <mergeCell ref="H24:R24"/>
    <mergeCell ref="E25:G25"/>
    <mergeCell ref="H25:R25"/>
    <mergeCell ref="E26:P26"/>
    <mergeCell ref="U26:U28"/>
    <mergeCell ref="V26:V28"/>
    <mergeCell ref="U38:U40"/>
    <mergeCell ref="V38:V40"/>
    <mergeCell ref="D32:D40"/>
    <mergeCell ref="E32:G32"/>
    <mergeCell ref="H32:R32"/>
    <mergeCell ref="E38:P38"/>
    <mergeCell ref="AC32:AC37"/>
    <mergeCell ref="E33:G33"/>
    <mergeCell ref="H33:R33"/>
    <mergeCell ref="E34:G34"/>
    <mergeCell ref="H34:R34"/>
    <mergeCell ref="E35:P35"/>
    <mergeCell ref="U35:U37"/>
    <mergeCell ref="V35:V37"/>
    <mergeCell ref="U47:U49"/>
    <mergeCell ref="V47:V49"/>
    <mergeCell ref="D41:D49"/>
    <mergeCell ref="E41:G41"/>
    <mergeCell ref="H41:R41"/>
    <mergeCell ref="E47:P47"/>
    <mergeCell ref="AC41:AC46"/>
    <mergeCell ref="E42:G42"/>
    <mergeCell ref="H42:R42"/>
    <mergeCell ref="E43:G43"/>
    <mergeCell ref="H43:R43"/>
    <mergeCell ref="E44:P44"/>
    <mergeCell ref="U44:U46"/>
    <mergeCell ref="V44:V4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N204"/>
  <sheetViews>
    <sheetView showGridLines="0" zoomScale="90" workbookViewId="0">
      <pane xSplit="12" ySplit="14" topLeftCell="P15" activePane="bottomRight" state="frozen"/>
      <selection pane="topRight" activeCell="M1" sqref="M1"/>
      <selection pane="bottomLeft" activeCell="A15" sqref="A15"/>
      <selection pane="bottomRight" activeCell="Q9" sqref="Q9"/>
    </sheetView>
  </sheetViews>
  <sheetFormatPr defaultColWidth="9.140625" defaultRowHeight="11.25" customHeight="1"/>
  <cols>
    <col min="1" max="5" width="10.7109375" style="1029" hidden="1" customWidth="1"/>
    <col min="6" max="6" width="16.85546875" style="1029" hidden="1" customWidth="1"/>
    <col min="7" max="7" width="5.5703125" style="1029" hidden="1" customWidth="1"/>
    <col min="8" max="8" width="3" style="1029" customWidth="1"/>
    <col min="9" max="9" width="7" style="1029" customWidth="1"/>
    <col min="10" max="10" width="56" style="1029" customWidth="1"/>
    <col min="11" max="11" width="10" style="1029" customWidth="1"/>
    <col min="12" max="12" width="40.5703125" style="1029" hidden="1" customWidth="1"/>
    <col min="13" max="13" width="40.7109375" style="1029" customWidth="1"/>
    <col min="14" max="16" width="40.5703125" style="1029" customWidth="1"/>
    <col min="17" max="17" width="9.7109375" style="1029" hidden="1" customWidth="1"/>
    <col min="18" max="18" width="102" style="1029" customWidth="1"/>
    <col min="19" max="19" width="9" style="1029" customWidth="1"/>
    <col min="20" max="20" width="5" style="1029" customWidth="1"/>
    <col min="21" max="25" width="3" style="1029" customWidth="1"/>
    <col min="26" max="26" width="10" style="1029" customWidth="1"/>
    <col min="27" max="27" width="34" style="1029" customWidth="1"/>
    <col min="28" max="28" width="9" style="1029" customWidth="1"/>
    <col min="29" max="39" width="8" style="1029" customWidth="1"/>
    <col min="40" max="40" width="5.42578125" style="1029" hidden="1" customWidth="1"/>
  </cols>
  <sheetData>
    <row r="1" spans="2:40" ht="33.75" hidden="1" customHeight="1">
      <c r="L1" s="555">
        <v>4</v>
      </c>
      <c r="M1" s="555">
        <v>4</v>
      </c>
      <c r="N1" s="9">
        <v>4</v>
      </c>
      <c r="O1" s="9">
        <v>4</v>
      </c>
      <c r="P1" s="9">
        <v>4</v>
      </c>
      <c r="AN1" s="555" t="s">
        <v>14</v>
      </c>
    </row>
    <row r="2" spans="2:40" ht="78.75" hidden="1" customHeight="1">
      <c r="B2" s="951" t="s">
        <v>636</v>
      </c>
      <c r="C2" s="951" t="s">
        <v>637</v>
      </c>
      <c r="D2" s="952" t="s">
        <v>638</v>
      </c>
      <c r="E2" s="457" t="e">
        <f>RIGHT(I2,LEN(I2)-SEARCH("#",SUBSTITUTE(I2,".","#",LEN(I2)-LEN(SUBSTITUTE(I2,".","")))))</f>
        <v>#VALUE!</v>
      </c>
      <c r="F2" s="457">
        <f>J2</f>
        <v>0</v>
      </c>
      <c r="I2" s="55"/>
      <c r="J2" s="37"/>
      <c r="K2" s="542" t="s">
        <v>567</v>
      </c>
      <c r="L2" s="311"/>
      <c r="M2" s="311"/>
      <c r="N2" s="311"/>
      <c r="O2" s="311"/>
      <c r="P2" s="311"/>
      <c r="R2" s="795" t="s">
        <v>568</v>
      </c>
      <c r="AN2" s="555">
        <v>0</v>
      </c>
    </row>
    <row r="3" spans="2:40" ht="11.25" hidden="1" customHeight="1">
      <c r="E3" s="458" t="s">
        <v>639</v>
      </c>
      <c r="L3" s="538">
        <f>0</f>
        <v>0</v>
      </c>
      <c r="M3" s="538">
        <v>1</v>
      </c>
      <c r="N3" s="3">
        <f>0</f>
        <v>0</v>
      </c>
      <c r="O3" s="3">
        <f>0</f>
        <v>0</v>
      </c>
      <c r="P3" s="3">
        <f>0</f>
        <v>0</v>
      </c>
      <c r="AN3" s="538">
        <v>0</v>
      </c>
    </row>
    <row r="4" spans="2:40" ht="11.25" hidden="1" customHeight="1">
      <c r="N4"/>
      <c r="O4"/>
      <c r="P4"/>
      <c r="R4" s="536">
        <v>4</v>
      </c>
      <c r="AN4" s="536">
        <v>0</v>
      </c>
    </row>
    <row r="5" spans="2:40" ht="11.45" customHeight="1">
      <c r="N5"/>
      <c r="O5"/>
      <c r="P5"/>
      <c r="AN5" s="538">
        <v>11</v>
      </c>
    </row>
    <row r="6" spans="2:40" ht="57.75" customHeight="1">
      <c r="I6" s="1140" t="s">
        <v>640</v>
      </c>
      <c r="J6" s="1140"/>
      <c r="K6" s="1140"/>
      <c r="L6" s="1140"/>
      <c r="M6" s="1140"/>
      <c r="N6" s="76"/>
      <c r="O6" s="76"/>
      <c r="P6" s="76"/>
      <c r="AN6" s="538">
        <v>55</v>
      </c>
    </row>
    <row r="7" spans="2:40" ht="25.15" customHeight="1">
      <c r="I7" s="1127" t="str">
        <f>IF(org=0,"Не определено",org)</f>
        <v>АО "НИЖЕГОРОДСКИЙ ВОДОКАНАЛ"</v>
      </c>
      <c r="J7" s="1127"/>
      <c r="K7" s="1127"/>
      <c r="L7" s="1127"/>
      <c r="M7" s="1127"/>
      <c r="N7" s="77"/>
      <c r="O7" s="77"/>
      <c r="P7" s="77"/>
      <c r="AN7" s="538">
        <v>24</v>
      </c>
    </row>
    <row r="8" spans="2:40" ht="11.45" customHeight="1">
      <c r="N8" t="s">
        <v>22</v>
      </c>
      <c r="O8" t="s">
        <v>22</v>
      </c>
      <c r="P8" t="s">
        <v>22</v>
      </c>
      <c r="AN8" s="538">
        <v>11</v>
      </c>
    </row>
    <row r="9" spans="2:40" ht="30" hidden="1" customHeight="1">
      <c r="L9" s="918"/>
      <c r="M9" s="918" t="s">
        <v>122</v>
      </c>
      <c r="N9" s="404" t="s">
        <v>130</v>
      </c>
      <c r="O9" s="404" t="s">
        <v>132</v>
      </c>
      <c r="P9" s="404" t="s">
        <v>127</v>
      </c>
      <c r="AN9" s="577">
        <v>1</v>
      </c>
    </row>
    <row r="10" spans="2:40" ht="11.45" customHeight="1">
      <c r="E10" s="459" t="s">
        <v>641</v>
      </c>
      <c r="I10" s="897"/>
      <c r="J10" s="1275" t="s">
        <v>110</v>
      </c>
      <c r="K10" s="1276"/>
      <c r="L10" s="919" t="str">
        <f>IF(L9="","",INDEX(DIFFERENTIATION_UNMERGE_VD,MATCH(L9,DIFFERENTIATION_ID_DIFF,0)))</f>
        <v/>
      </c>
      <c r="M10" s="919" t="str">
        <f>IF(M9="","",INDEX(DIFFERENTIATION_UNMERGE_VD,MATCH(M9,DIFFERENTIATION_ID_DIFF,0)))</f>
        <v>Холодное водоснабжение. Питьевая вода</v>
      </c>
      <c r="N10" s="405" t="str">
        <f>IF(N9="","",INDEX(DIFFERENTIATION_UNMERGE_VD,MATCH(N9,DIFFERENTIATION_ID_DIFF,0)))</f>
        <v>Холодное водоснабжение. Техническая вода</v>
      </c>
      <c r="O10" s="405" t="str">
        <f>IF(O9="","",INDEX(DIFFERENTIATION_UNMERGE_VD,MATCH(O9,DIFFERENTIATION_ID_DIFF,0)))</f>
        <v>Подключение (технологическое присоединение) к централизованной системе водоснабжения</v>
      </c>
      <c r="P10" s="405" t="str">
        <f>IF(P9="","",INDEX(DIFFERENTIATION_UNMERGE_VD,MATCH(P9,DIFFERENTIATION_ID_DIFF,0)))</f>
        <v>Холодное водоснабжение. Питьевая вода</v>
      </c>
      <c r="R10" s="1066" t="s">
        <v>312</v>
      </c>
      <c r="AN10" s="538">
        <v>11</v>
      </c>
    </row>
    <row r="11" spans="2:40" ht="11.45" customHeight="1">
      <c r="E11" s="459" t="s">
        <v>642</v>
      </c>
      <c r="I11" s="897"/>
      <c r="J11" s="1275" t="s">
        <v>575</v>
      </c>
      <c r="K11" s="1276"/>
      <c r="L11" s="919" t="str">
        <f>IF(L9="","",INDEX(DIFFERENTIATION_UNMERGE_AREA,MATCH(L9,DIFFERENTIATION_ID_DIFF,0)))</f>
        <v/>
      </c>
      <c r="M11" s="919" t="str">
        <f>IF(M9="","",INDEX(DIFFERENTIATION_UNMERGE_AREA,MATCH(M9,DIFFERENTIATION_ID_DIFF,0)))</f>
        <v>Территория 1</v>
      </c>
      <c r="N11" s="405" t="str">
        <f>IF(N9="","",INDEX(DIFFERENTIATION_UNMERGE_AREA,MATCH(N9,DIFFERENTIATION_ID_DIFF,0)))</f>
        <v>Территория 1</v>
      </c>
      <c r="O11" s="405" t="str">
        <f>IF(O9="","",INDEX(DIFFERENTIATION_UNMERGE_AREA,MATCH(O9,DIFFERENTIATION_ID_DIFF,0)))</f>
        <v>без дифференциации</v>
      </c>
      <c r="P11" s="405" t="str">
        <f>IF(P9="","",INDEX(DIFFERENTIATION_UNMERGE_AREA,MATCH(P9,DIFFERENTIATION_ID_DIFF,0)))</f>
        <v>Территория 2</v>
      </c>
      <c r="R11" s="1066"/>
      <c r="AN11" s="538">
        <v>11</v>
      </c>
    </row>
    <row r="12" spans="2:40" ht="11.45" customHeight="1">
      <c r="E12" s="459" t="s">
        <v>643</v>
      </c>
      <c r="I12" s="939"/>
      <c r="J12" s="1275" t="s">
        <v>576</v>
      </c>
      <c r="K12" s="1276"/>
      <c r="L12" s="919" t="str">
        <f>IF(L9="","",INDEX(DIFFERENTIATION_UNMERGE_SYSTEM,MATCH(L9,DIFFERENTIATION_ID_DIFF,0)))</f>
        <v/>
      </c>
      <c r="M12" s="919" t="str">
        <f>IF(M9="","",INDEX(DIFFERENTIATION_UNMERGE_SYSTEM,MATCH(M9,DIFFERENTIATION_ID_DIFF,0)))</f>
        <v>Централизованная система водоснабжения города Нижнего Новгорода (1)</v>
      </c>
      <c r="N12" s="405" t="str">
        <f>IF(N9="","",INDEX(DIFFERENTIATION_UNMERGE_SYSTEM,MATCH(N9,DIFFERENTIATION_ID_DIFF,0)))</f>
        <v>Централизованная система водоснабжения города Нижнего Новгорода (2)</v>
      </c>
      <c r="O12" s="405" t="str">
        <f>IF(O9="","",INDEX(DIFFERENTIATION_UNMERGE_SYSTEM,MATCH(O9,DIFFERENTIATION_ID_DIFF,0)))</f>
        <v>без дифференциации</v>
      </c>
      <c r="P12" s="405" t="str">
        <f>IF(P9="","",INDEX(DIFFERENTIATION_UNMERGE_SYSTEM,MATCH(P9,DIFFERENTIATION_ID_DIFF,0)))</f>
        <v>Централизованная система водоснабжения Кстовского муниципального района</v>
      </c>
      <c r="R12" s="1066"/>
      <c r="AN12" s="538">
        <v>11</v>
      </c>
    </row>
    <row r="13" spans="2:40" ht="11.45" customHeight="1">
      <c r="E13" s="459" t="s">
        <v>644</v>
      </c>
      <c r="F13" s="459" t="s">
        <v>645</v>
      </c>
      <c r="I13" s="1277" t="s">
        <v>311</v>
      </c>
      <c r="J13" s="1278"/>
      <c r="K13" s="1278"/>
      <c r="L13" s="898"/>
      <c r="M13" s="953"/>
      <c r="N13" s="380"/>
      <c r="O13" s="380"/>
      <c r="P13" s="380"/>
      <c r="R13" s="1066"/>
      <c r="AN13" s="538">
        <v>11</v>
      </c>
    </row>
    <row r="14" spans="2:40" ht="24" customHeight="1">
      <c r="I14" s="583" t="s">
        <v>87</v>
      </c>
      <c r="J14" s="583" t="s">
        <v>313</v>
      </c>
      <c r="K14" s="583" t="s">
        <v>577</v>
      </c>
      <c r="L14" s="543" t="s">
        <v>314</v>
      </c>
      <c r="M14" s="583" t="s">
        <v>314</v>
      </c>
      <c r="N14" s="5" t="s">
        <v>314</v>
      </c>
      <c r="O14" s="5" t="s">
        <v>314</v>
      </c>
      <c r="P14" s="5" t="s">
        <v>314</v>
      </c>
      <c r="R14" s="1066"/>
      <c r="AN14" s="538">
        <v>23</v>
      </c>
    </row>
    <row r="15" spans="2:40" ht="24" customHeight="1">
      <c r="B15" s="951" t="s">
        <v>646</v>
      </c>
      <c r="C15" s="951" t="s">
        <v>647</v>
      </c>
      <c r="D15" s="952" t="s">
        <v>648</v>
      </c>
      <c r="E15" s="457" t="s">
        <v>649</v>
      </c>
      <c r="F15" s="457" t="s">
        <v>649</v>
      </c>
      <c r="G15" s="577" t="s">
        <v>606</v>
      </c>
      <c r="I15" s="427">
        <v>1</v>
      </c>
      <c r="J15" s="619" t="s">
        <v>650</v>
      </c>
      <c r="K15" s="583" t="s">
        <v>317</v>
      </c>
      <c r="L15" s="998"/>
      <c r="M15" s="997"/>
      <c r="N15" s="998"/>
      <c r="O15" s="998"/>
      <c r="P15" s="998"/>
      <c r="Q15" s="941" t="s">
        <v>651</v>
      </c>
      <c r="R15" s="795" t="s">
        <v>652</v>
      </c>
      <c r="S15" s="941" t="s">
        <v>651</v>
      </c>
      <c r="AN15" s="538">
        <v>23</v>
      </c>
    </row>
    <row r="16" spans="2:40" ht="35.65" customHeight="1">
      <c r="B16" s="951" t="s">
        <v>653</v>
      </c>
      <c r="C16" s="951" t="s">
        <v>654</v>
      </c>
      <c r="D16" s="952" t="s">
        <v>638</v>
      </c>
      <c r="E16" s="457" t="s">
        <v>649</v>
      </c>
      <c r="F16" s="457" t="s">
        <v>649</v>
      </c>
      <c r="I16" s="433">
        <v>2</v>
      </c>
      <c r="J16" s="622" t="s">
        <v>655</v>
      </c>
      <c r="K16" s="617" t="s">
        <v>567</v>
      </c>
      <c r="L16" s="460"/>
      <c r="M16" s="430"/>
      <c r="N16" s="460"/>
      <c r="O16" s="460"/>
      <c r="P16" s="460"/>
      <c r="Q16" s="941" t="s">
        <v>651</v>
      </c>
      <c r="R16" s="795" t="s">
        <v>656</v>
      </c>
      <c r="S16" s="941" t="s">
        <v>651</v>
      </c>
      <c r="AN16" s="538">
        <v>34</v>
      </c>
    </row>
    <row r="17" spans="2:40" ht="17.25" hidden="1" customHeight="1">
      <c r="I17" s="584" t="s">
        <v>657</v>
      </c>
      <c r="J17" s="927"/>
      <c r="K17" s="584"/>
      <c r="L17" s="413"/>
      <c r="M17" s="413"/>
      <c r="N17" s="413"/>
      <c r="O17" s="413"/>
      <c r="P17" s="413"/>
      <c r="R17" s="862"/>
      <c r="AN17" s="577">
        <v>1</v>
      </c>
    </row>
    <row r="18" spans="2:40" ht="24" customHeight="1">
      <c r="I18" s="409"/>
      <c r="J18" s="63" t="s">
        <v>604</v>
      </c>
      <c r="K18" s="761"/>
      <c r="L18" s="954"/>
      <c r="M18" s="905"/>
      <c r="N18" s="461"/>
      <c r="O18" s="461"/>
      <c r="P18" s="461"/>
      <c r="R18" s="795" t="s">
        <v>605</v>
      </c>
      <c r="AN18" s="555">
        <v>23</v>
      </c>
    </row>
    <row r="19" spans="2:40" ht="19.899999999999999" customHeight="1">
      <c r="B19" s="951" t="s">
        <v>658</v>
      </c>
      <c r="C19" s="951" t="s">
        <v>659</v>
      </c>
      <c r="D19" s="952" t="s">
        <v>638</v>
      </c>
      <c r="E19" s="457" t="s">
        <v>649</v>
      </c>
      <c r="F19" s="457" t="s">
        <v>649</v>
      </c>
      <c r="I19" s="428">
        <v>3</v>
      </c>
      <c r="J19" s="619" t="s">
        <v>659</v>
      </c>
      <c r="K19" s="580" t="s">
        <v>567</v>
      </c>
      <c r="L19" s="453"/>
      <c r="M19" s="406"/>
      <c r="N19" s="453"/>
      <c r="O19" s="453"/>
      <c r="P19" s="453"/>
      <c r="R19" s="795" t="s">
        <v>660</v>
      </c>
      <c r="AN19" s="538">
        <v>19</v>
      </c>
    </row>
    <row r="20" spans="2:40" ht="77.650000000000006" customHeight="1">
      <c r="B20" s="951" t="s">
        <v>661</v>
      </c>
      <c r="C20" s="951" t="s">
        <v>662</v>
      </c>
      <c r="D20" s="952" t="s">
        <v>638</v>
      </c>
      <c r="E20" s="457" t="s">
        <v>649</v>
      </c>
      <c r="F20" s="457" t="s">
        <v>649</v>
      </c>
      <c r="I20" s="428">
        <v>4</v>
      </c>
      <c r="J20" s="619" t="s">
        <v>663</v>
      </c>
      <c r="K20" s="580" t="s">
        <v>601</v>
      </c>
      <c r="L20" s="453"/>
      <c r="M20" s="406"/>
      <c r="N20" s="453"/>
      <c r="O20" s="453"/>
      <c r="P20" s="453"/>
      <c r="R20" s="795"/>
      <c r="AN20" s="538">
        <v>74</v>
      </c>
    </row>
    <row r="21" spans="2:40" ht="35.65" customHeight="1">
      <c r="B21" s="951" t="s">
        <v>664</v>
      </c>
      <c r="C21" s="951" t="s">
        <v>665</v>
      </c>
      <c r="D21" s="952" t="s">
        <v>638</v>
      </c>
      <c r="E21" s="457" t="s">
        <v>649</v>
      </c>
      <c r="F21" s="457" t="s">
        <v>649</v>
      </c>
      <c r="I21" s="428">
        <v>5</v>
      </c>
      <c r="J21" s="619" t="s">
        <v>666</v>
      </c>
      <c r="K21" s="580" t="s">
        <v>601</v>
      </c>
      <c r="L21" s="453"/>
      <c r="M21" s="406"/>
      <c r="N21" s="453"/>
      <c r="O21" s="453"/>
      <c r="P21" s="453"/>
      <c r="R21" s="795" t="s">
        <v>660</v>
      </c>
      <c r="AN21" s="538">
        <v>34</v>
      </c>
    </row>
    <row r="22" spans="2:40" ht="48.2" customHeight="1">
      <c r="B22" s="951" t="s">
        <v>667</v>
      </c>
      <c r="C22" s="951" t="s">
        <v>668</v>
      </c>
      <c r="D22" s="952" t="s">
        <v>638</v>
      </c>
      <c r="E22" s="457" t="s">
        <v>649</v>
      </c>
      <c r="F22" s="457" t="s">
        <v>649</v>
      </c>
      <c r="I22" s="428">
        <v>6</v>
      </c>
      <c r="J22" s="619" t="s">
        <v>669</v>
      </c>
      <c r="K22" s="580" t="s">
        <v>601</v>
      </c>
      <c r="L22" s="453"/>
      <c r="M22" s="406"/>
      <c r="N22" s="453"/>
      <c r="O22" s="453"/>
      <c r="P22" s="453"/>
      <c r="R22" s="795" t="s">
        <v>670</v>
      </c>
      <c r="AN22" s="538">
        <v>46</v>
      </c>
    </row>
    <row r="23" spans="2:40" ht="19.899999999999999" customHeight="1">
      <c r="B23" s="951" t="s">
        <v>671</v>
      </c>
      <c r="C23" s="951" t="s">
        <v>672</v>
      </c>
      <c r="D23" s="952" t="s">
        <v>638</v>
      </c>
      <c r="E23" s="457" t="s">
        <v>649</v>
      </c>
      <c r="F23" s="457" t="s">
        <v>649</v>
      </c>
      <c r="I23" s="428" t="s">
        <v>673</v>
      </c>
      <c r="J23" s="888" t="s">
        <v>674</v>
      </c>
      <c r="K23" s="580" t="s">
        <v>601</v>
      </c>
      <c r="L23" s="453"/>
      <c r="M23" s="406"/>
      <c r="N23" s="453"/>
      <c r="O23" s="453"/>
      <c r="P23" s="453"/>
      <c r="R23" s="795" t="s">
        <v>660</v>
      </c>
      <c r="AN23" s="538">
        <v>19</v>
      </c>
    </row>
    <row r="24" spans="2:40" ht="19.899999999999999" customHeight="1">
      <c r="B24" s="951" t="s">
        <v>675</v>
      </c>
      <c r="C24" s="951" t="s">
        <v>676</v>
      </c>
      <c r="D24" s="952" t="s">
        <v>638</v>
      </c>
      <c r="E24" s="457" t="s">
        <v>649</v>
      </c>
      <c r="F24" s="457" t="s">
        <v>649</v>
      </c>
      <c r="I24" s="428" t="s">
        <v>677</v>
      </c>
      <c r="J24" s="888" t="s">
        <v>678</v>
      </c>
      <c r="K24" s="580" t="s">
        <v>601</v>
      </c>
      <c r="L24" s="453"/>
      <c r="M24" s="406"/>
      <c r="N24" s="453"/>
      <c r="O24" s="453"/>
      <c r="P24" s="453"/>
      <c r="R24" s="795"/>
      <c r="AN24" s="538">
        <v>19</v>
      </c>
    </row>
    <row r="25" spans="2:40" ht="24" customHeight="1">
      <c r="B25" s="951" t="s">
        <v>679</v>
      </c>
      <c r="C25" s="951" t="s">
        <v>680</v>
      </c>
      <c r="D25" s="952" t="s">
        <v>638</v>
      </c>
      <c r="E25" s="457" t="s">
        <v>649</v>
      </c>
      <c r="F25" s="457" t="s">
        <v>649</v>
      </c>
      <c r="I25" s="428" t="s">
        <v>681</v>
      </c>
      <c r="J25" s="888" t="s">
        <v>682</v>
      </c>
      <c r="K25" s="580" t="s">
        <v>601</v>
      </c>
      <c r="L25" s="453"/>
      <c r="M25" s="406"/>
      <c r="N25" s="453"/>
      <c r="O25" s="453"/>
      <c r="P25" s="453"/>
      <c r="R25" s="795"/>
      <c r="AN25" s="538">
        <v>23</v>
      </c>
    </row>
    <row r="26" spans="2:40" ht="24" customHeight="1">
      <c r="B26" s="951" t="s">
        <v>683</v>
      </c>
      <c r="C26" s="951" t="s">
        <v>684</v>
      </c>
      <c r="D26" s="952" t="s">
        <v>638</v>
      </c>
      <c r="E26" s="457" t="s">
        <v>649</v>
      </c>
      <c r="F26" s="457" t="s">
        <v>649</v>
      </c>
      <c r="I26" s="428">
        <v>7</v>
      </c>
      <c r="J26" s="619" t="s">
        <v>684</v>
      </c>
      <c r="K26" s="580" t="s">
        <v>685</v>
      </c>
      <c r="L26" s="453"/>
      <c r="M26" s="406"/>
      <c r="N26" s="453"/>
      <c r="O26" s="453"/>
      <c r="P26" s="453"/>
      <c r="R26" s="795"/>
      <c r="AN26" s="538">
        <v>23</v>
      </c>
    </row>
    <row r="27" spans="2:40" ht="24" customHeight="1">
      <c r="B27" s="951" t="s">
        <v>686</v>
      </c>
      <c r="C27" s="951" t="s">
        <v>687</v>
      </c>
      <c r="D27" s="952" t="s">
        <v>638</v>
      </c>
      <c r="E27" s="457" t="s">
        <v>649</v>
      </c>
      <c r="F27" s="457" t="s">
        <v>649</v>
      </c>
      <c r="I27" s="428">
        <v>8</v>
      </c>
      <c r="J27" s="619" t="s">
        <v>687</v>
      </c>
      <c r="K27" s="580" t="s">
        <v>607</v>
      </c>
      <c r="L27" s="453"/>
      <c r="M27" s="406"/>
      <c r="N27" s="453"/>
      <c r="O27" s="453"/>
      <c r="P27" s="453"/>
      <c r="R27" s="795"/>
      <c r="AN27" s="538">
        <v>23</v>
      </c>
    </row>
    <row r="28" spans="2:40" ht="35.65" customHeight="1">
      <c r="B28" s="951" t="s">
        <v>688</v>
      </c>
      <c r="C28" s="951" t="s">
        <v>689</v>
      </c>
      <c r="D28" s="952" t="s">
        <v>638</v>
      </c>
      <c r="E28" s="457" t="s">
        <v>649</v>
      </c>
      <c r="F28" s="457" t="s">
        <v>649</v>
      </c>
      <c r="I28" s="429">
        <v>9</v>
      </c>
      <c r="J28" s="619" t="s">
        <v>690</v>
      </c>
      <c r="K28" s="580" t="s">
        <v>571</v>
      </c>
      <c r="L28" s="453"/>
      <c r="M28" s="406"/>
      <c r="N28" s="453"/>
      <c r="O28" s="453"/>
      <c r="P28" s="453"/>
      <c r="R28" s="795"/>
      <c r="AN28" s="538">
        <v>34</v>
      </c>
    </row>
    <row r="29" spans="2:40" ht="35.65" customHeight="1">
      <c r="B29" s="951" t="s">
        <v>691</v>
      </c>
      <c r="C29" s="951" t="s">
        <v>692</v>
      </c>
      <c r="D29" s="952" t="s">
        <v>638</v>
      </c>
      <c r="E29" s="457" t="s">
        <v>649</v>
      </c>
      <c r="F29" s="457" t="s">
        <v>649</v>
      </c>
      <c r="I29" s="429">
        <v>10</v>
      </c>
      <c r="J29" s="619" t="s">
        <v>693</v>
      </c>
      <c r="K29" s="580" t="s">
        <v>571</v>
      </c>
      <c r="L29" s="453"/>
      <c r="M29" s="406"/>
      <c r="N29" s="453"/>
      <c r="O29" s="453"/>
      <c r="P29" s="453"/>
      <c r="R29" s="795"/>
      <c r="AN29" s="538">
        <v>34</v>
      </c>
    </row>
    <row r="30" spans="2:40" ht="24" customHeight="1">
      <c r="B30" s="951" t="s">
        <v>694</v>
      </c>
      <c r="C30" s="951" t="s">
        <v>695</v>
      </c>
      <c r="D30" s="952" t="s">
        <v>638</v>
      </c>
      <c r="E30" s="457" t="s">
        <v>649</v>
      </c>
      <c r="F30" s="457" t="s">
        <v>649</v>
      </c>
      <c r="I30" s="429">
        <v>11</v>
      </c>
      <c r="J30" s="619" t="s">
        <v>695</v>
      </c>
      <c r="K30" s="580" t="s">
        <v>608</v>
      </c>
      <c r="L30" s="462"/>
      <c r="M30" s="124"/>
      <c r="N30" s="462"/>
      <c r="O30" s="462"/>
      <c r="P30" s="462"/>
      <c r="R30" s="795"/>
      <c r="AN30" s="538">
        <v>23</v>
      </c>
    </row>
    <row r="31" spans="2:40" ht="24" customHeight="1">
      <c r="B31" s="951" t="s">
        <v>696</v>
      </c>
      <c r="C31" s="951" t="s">
        <v>697</v>
      </c>
      <c r="D31" s="952" t="s">
        <v>638</v>
      </c>
      <c r="E31" s="457" t="s">
        <v>649</v>
      </c>
      <c r="F31" s="457" t="s">
        <v>649</v>
      </c>
      <c r="I31" s="429">
        <v>12</v>
      </c>
      <c r="J31" s="619" t="s">
        <v>697</v>
      </c>
      <c r="K31" s="580" t="s">
        <v>608</v>
      </c>
      <c r="L31" s="462"/>
      <c r="M31" s="124"/>
      <c r="N31" s="462"/>
      <c r="O31" s="462"/>
      <c r="P31" s="462"/>
      <c r="R31" s="795"/>
      <c r="AN31" s="538">
        <v>23</v>
      </c>
    </row>
    <row r="32" spans="2:40" ht="48.2" customHeight="1">
      <c r="B32" s="951" t="s">
        <v>698</v>
      </c>
      <c r="C32" s="951" t="s">
        <v>699</v>
      </c>
      <c r="D32" s="952" t="s">
        <v>638</v>
      </c>
      <c r="E32" s="457" t="s">
        <v>649</v>
      </c>
      <c r="F32" s="457" t="s">
        <v>649</v>
      </c>
      <c r="I32" s="429">
        <v>13</v>
      </c>
      <c r="J32" s="619" t="s">
        <v>700</v>
      </c>
      <c r="K32" s="580" t="s">
        <v>618</v>
      </c>
      <c r="L32" s="453"/>
      <c r="M32" s="406"/>
      <c r="N32" s="453"/>
      <c r="O32" s="453"/>
      <c r="P32" s="453"/>
      <c r="R32" s="795" t="s">
        <v>660</v>
      </c>
      <c r="AN32" s="538">
        <v>46</v>
      </c>
    </row>
    <row r="33" spans="2:40" ht="48.2" customHeight="1">
      <c r="B33" s="951" t="s">
        <v>701</v>
      </c>
      <c r="C33" s="951" t="s">
        <v>702</v>
      </c>
      <c r="D33" s="952" t="s">
        <v>638</v>
      </c>
      <c r="E33" s="457" t="s">
        <v>649</v>
      </c>
      <c r="F33" s="457" t="s">
        <v>649</v>
      </c>
      <c r="I33" s="429">
        <v>14</v>
      </c>
      <c r="J33" s="622" t="s">
        <v>703</v>
      </c>
      <c r="K33" s="614" t="s">
        <v>704</v>
      </c>
      <c r="L33" s="453"/>
      <c r="M33" s="406"/>
      <c r="N33" s="453"/>
      <c r="O33" s="453"/>
      <c r="P33" s="453"/>
      <c r="R33" s="795" t="s">
        <v>660</v>
      </c>
      <c r="AN33" s="555">
        <v>46</v>
      </c>
    </row>
    <row r="34" spans="2:40" ht="108" customHeight="1">
      <c r="B34" s="951" t="s">
        <v>705</v>
      </c>
      <c r="C34" s="951" t="s">
        <v>706</v>
      </c>
      <c r="D34" s="952" t="s">
        <v>648</v>
      </c>
      <c r="E34" s="457" t="s">
        <v>649</v>
      </c>
      <c r="F34" s="457" t="s">
        <v>649</v>
      </c>
      <c r="G34" s="577" t="s">
        <v>606</v>
      </c>
      <c r="I34" s="55">
        <v>15</v>
      </c>
      <c r="J34" s="619" t="s">
        <v>707</v>
      </c>
      <c r="K34" s="580" t="s">
        <v>317</v>
      </c>
      <c r="L34" s="296"/>
      <c r="M34" s="133"/>
      <c r="N34" s="296"/>
      <c r="O34" s="296"/>
      <c r="P34" s="296"/>
      <c r="R34" s="795" t="s">
        <v>652</v>
      </c>
      <c r="AN34" s="538">
        <v>103</v>
      </c>
    </row>
    <row r="35" spans="2:40" ht="11.45" customHeight="1">
      <c r="N35"/>
      <c r="O35"/>
      <c r="P35"/>
      <c r="AN35" s="681">
        <v>11</v>
      </c>
    </row>
    <row r="36" spans="2:40" ht="11.45" customHeight="1">
      <c r="N36"/>
      <c r="O36"/>
      <c r="P36"/>
      <c r="AN36" s="681">
        <v>11</v>
      </c>
    </row>
    <row r="37" spans="2:40" ht="11.45" customHeight="1">
      <c r="N37"/>
      <c r="O37"/>
      <c r="P37"/>
      <c r="AN37" s="681">
        <v>11</v>
      </c>
    </row>
    <row r="38" spans="2:40" ht="11.45" customHeight="1">
      <c r="N38"/>
      <c r="O38"/>
      <c r="P38"/>
      <c r="AN38" s="681">
        <v>11</v>
      </c>
    </row>
    <row r="39" spans="2:40" ht="11.45" customHeight="1">
      <c r="N39"/>
      <c r="O39"/>
      <c r="P39"/>
      <c r="AN39" s="681">
        <v>11</v>
      </c>
    </row>
    <row r="40" spans="2:40" ht="11.45" customHeight="1">
      <c r="N40"/>
      <c r="O40"/>
      <c r="P40"/>
      <c r="AN40" s="681">
        <v>11</v>
      </c>
    </row>
    <row r="41" spans="2:40" ht="11.45" customHeight="1">
      <c r="AN41" s="681">
        <v>11</v>
      </c>
    </row>
    <row r="42" spans="2:40" ht="11.45" customHeight="1">
      <c r="AN42" s="681">
        <v>11</v>
      </c>
    </row>
    <row r="43" spans="2:40" ht="11.45" customHeight="1">
      <c r="AN43" s="681">
        <v>11</v>
      </c>
    </row>
    <row r="44" spans="2:40" ht="11.45" customHeight="1">
      <c r="AN44" s="681">
        <v>11</v>
      </c>
    </row>
    <row r="45" spans="2:40" ht="11.45" customHeight="1">
      <c r="AN45" s="681">
        <v>11</v>
      </c>
    </row>
    <row r="46" spans="2:40" ht="11.45" customHeight="1">
      <c r="AN46" s="681">
        <v>11</v>
      </c>
    </row>
    <row r="47" spans="2:40" ht="11.45" customHeight="1">
      <c r="AN47" s="681">
        <v>11</v>
      </c>
    </row>
    <row r="48" spans="2:40" ht="11.45" customHeight="1">
      <c r="AN48" s="681">
        <v>11</v>
      </c>
    </row>
    <row r="49" spans="40:40" ht="11.45" customHeight="1">
      <c r="AN49" s="681">
        <v>11</v>
      </c>
    </row>
    <row r="50" spans="40:40" ht="11.45" customHeight="1">
      <c r="AN50" s="681">
        <v>11</v>
      </c>
    </row>
    <row r="51" spans="40:40" ht="11.45" customHeight="1">
      <c r="AN51" s="681">
        <v>11</v>
      </c>
    </row>
    <row r="52" spans="40:40" ht="11.45" customHeight="1">
      <c r="AN52" s="681">
        <v>11</v>
      </c>
    </row>
    <row r="53" spans="40:40" ht="11.45" customHeight="1">
      <c r="AN53" s="681">
        <v>11</v>
      </c>
    </row>
    <row r="54" spans="40:40" ht="11.45" customHeight="1">
      <c r="AN54" s="681">
        <v>11</v>
      </c>
    </row>
    <row r="55" spans="40:40" ht="11.45" customHeight="1">
      <c r="AN55" s="681">
        <v>11</v>
      </c>
    </row>
    <row r="56" spans="40:40" ht="11.45" customHeight="1">
      <c r="AN56" s="681">
        <v>11</v>
      </c>
    </row>
    <row r="57" spans="40:40" ht="11.45" customHeight="1">
      <c r="AN57" s="681">
        <v>11</v>
      </c>
    </row>
    <row r="58" spans="40:40" ht="11.45" customHeight="1">
      <c r="AN58" s="681">
        <v>11</v>
      </c>
    </row>
    <row r="59" spans="40:40" ht="11.45" customHeight="1">
      <c r="AN59" s="681">
        <v>11</v>
      </c>
    </row>
    <row r="60" spans="40:40" ht="11.45" customHeight="1">
      <c r="AN60" s="681">
        <v>11</v>
      </c>
    </row>
    <row r="61" spans="40:40" ht="11.45" customHeight="1">
      <c r="AN61" s="681">
        <v>11</v>
      </c>
    </row>
    <row r="62" spans="40:40" ht="11.45" customHeight="1">
      <c r="AN62" s="681">
        <v>11</v>
      </c>
    </row>
    <row r="63" spans="40:40" ht="11.45" customHeight="1">
      <c r="AN63" s="681">
        <v>11</v>
      </c>
    </row>
    <row r="64" spans="40:40" ht="11.45" customHeight="1">
      <c r="AN64" s="681">
        <v>11</v>
      </c>
    </row>
    <row r="65" spans="40:40" ht="11.45" customHeight="1">
      <c r="AN65" s="681">
        <v>11</v>
      </c>
    </row>
    <row r="66" spans="40:40" ht="11.45" customHeight="1">
      <c r="AN66" s="681">
        <v>11</v>
      </c>
    </row>
    <row r="67" spans="40:40" ht="11.45" customHeight="1">
      <c r="AN67" s="681">
        <v>11</v>
      </c>
    </row>
    <row r="68" spans="40:40" ht="11.45" customHeight="1">
      <c r="AN68" s="681">
        <v>11</v>
      </c>
    </row>
    <row r="69" spans="40:40" ht="11.45" customHeight="1">
      <c r="AN69" s="681">
        <v>11</v>
      </c>
    </row>
    <row r="70" spans="40:40" ht="11.45" customHeight="1">
      <c r="AN70" s="681">
        <v>11</v>
      </c>
    </row>
    <row r="71" spans="40:40" ht="11.45" customHeight="1">
      <c r="AN71" s="681">
        <v>11</v>
      </c>
    </row>
    <row r="72" spans="40:40" ht="11.45" customHeight="1">
      <c r="AN72" s="681">
        <v>11</v>
      </c>
    </row>
    <row r="73" spans="40:40" ht="11.45" customHeight="1">
      <c r="AN73" s="681">
        <v>11</v>
      </c>
    </row>
    <row r="74" spans="40:40" ht="11.45" customHeight="1">
      <c r="AN74" s="681">
        <v>11</v>
      </c>
    </row>
    <row r="75" spans="40:40" ht="11.45" customHeight="1">
      <c r="AN75" s="681">
        <v>11</v>
      </c>
    </row>
    <row r="76" spans="40:40" ht="11.45" customHeight="1">
      <c r="AN76" s="681">
        <v>11</v>
      </c>
    </row>
    <row r="77" spans="40:40" ht="11.45" customHeight="1">
      <c r="AN77" s="681">
        <v>11</v>
      </c>
    </row>
    <row r="78" spans="40:40" ht="11.45" customHeight="1">
      <c r="AN78" s="681">
        <v>11</v>
      </c>
    </row>
    <row r="79" spans="40:40" ht="11.45" customHeight="1">
      <c r="AN79" s="681">
        <v>11</v>
      </c>
    </row>
    <row r="80" spans="40:40" ht="11.45" customHeight="1">
      <c r="AN80" s="681">
        <v>11</v>
      </c>
    </row>
    <row r="81" spans="40:40" ht="11.45" customHeight="1">
      <c r="AN81" s="681">
        <v>11</v>
      </c>
    </row>
    <row r="82" spans="40:40" ht="11.45" customHeight="1">
      <c r="AN82" s="681">
        <v>11</v>
      </c>
    </row>
    <row r="83" spans="40:40" ht="11.45" customHeight="1">
      <c r="AN83" s="681">
        <v>11</v>
      </c>
    </row>
    <row r="84" spans="40:40" ht="11.45" customHeight="1">
      <c r="AN84" s="681">
        <v>11</v>
      </c>
    </row>
    <row r="85" spans="40:40" ht="11.45" customHeight="1">
      <c r="AN85" s="681">
        <v>11</v>
      </c>
    </row>
    <row r="86" spans="40:40" ht="11.45" customHeight="1">
      <c r="AN86" s="681">
        <v>11</v>
      </c>
    </row>
    <row r="87" spans="40:40" ht="11.45" customHeight="1">
      <c r="AN87" s="681">
        <v>11</v>
      </c>
    </row>
    <row r="88" spans="40:40" ht="11.45" customHeight="1">
      <c r="AN88" s="681">
        <v>11</v>
      </c>
    </row>
    <row r="89" spans="40:40" ht="11.45" customHeight="1">
      <c r="AN89" s="681">
        <v>11</v>
      </c>
    </row>
    <row r="90" spans="40:40" ht="11.45" customHeight="1">
      <c r="AN90" s="681">
        <v>11</v>
      </c>
    </row>
    <row r="91" spans="40:40" ht="11.45" customHeight="1">
      <c r="AN91" s="681">
        <v>11</v>
      </c>
    </row>
    <row r="92" spans="40:40" ht="11.45" customHeight="1">
      <c r="AN92" s="681">
        <v>11</v>
      </c>
    </row>
    <row r="93" spans="40:40" ht="11.45" customHeight="1">
      <c r="AN93" s="681">
        <v>11</v>
      </c>
    </row>
    <row r="94" spans="40:40" ht="11.45" customHeight="1">
      <c r="AN94" s="681">
        <v>11</v>
      </c>
    </row>
    <row r="95" spans="40:40" ht="11.45" customHeight="1">
      <c r="AN95" s="681">
        <v>11</v>
      </c>
    </row>
    <row r="96" spans="40:40" ht="11.45" customHeight="1">
      <c r="AN96" s="681">
        <v>11</v>
      </c>
    </row>
    <row r="97" spans="40:40" ht="11.45" customHeight="1">
      <c r="AN97" s="681">
        <v>11</v>
      </c>
    </row>
    <row r="98" spans="40:40" ht="11.45" customHeight="1">
      <c r="AN98" s="681">
        <v>11</v>
      </c>
    </row>
    <row r="99" spans="40:40" ht="11.45" customHeight="1">
      <c r="AN99" s="681">
        <v>11</v>
      </c>
    </row>
    <row r="100" spans="40:40" ht="11.45" customHeight="1">
      <c r="AN100" s="681">
        <v>11</v>
      </c>
    </row>
    <row r="101" spans="40:40" ht="11.45" customHeight="1">
      <c r="AN101" s="681">
        <v>11</v>
      </c>
    </row>
    <row r="102" spans="40:40" ht="11.45" customHeight="1">
      <c r="AN102" s="681">
        <v>11</v>
      </c>
    </row>
    <row r="103" spans="40:40" ht="11.45" customHeight="1">
      <c r="AN103" s="681">
        <v>11</v>
      </c>
    </row>
    <row r="104" spans="40:40" ht="11.45" customHeight="1">
      <c r="AN104" s="681">
        <v>11</v>
      </c>
    </row>
    <row r="105" spans="40:40" ht="11.45" customHeight="1">
      <c r="AN105" s="681">
        <v>11</v>
      </c>
    </row>
    <row r="106" spans="40:40" ht="11.45" customHeight="1">
      <c r="AN106" s="681">
        <v>11</v>
      </c>
    </row>
    <row r="107" spans="40:40" ht="11.45" customHeight="1">
      <c r="AN107" s="681">
        <v>11</v>
      </c>
    </row>
    <row r="108" spans="40:40" ht="11.45" customHeight="1">
      <c r="AN108" s="681">
        <v>11</v>
      </c>
    </row>
    <row r="109" spans="40:40" ht="11.45" customHeight="1">
      <c r="AN109" s="681">
        <v>11</v>
      </c>
    </row>
    <row r="110" spans="40:40" ht="11.45" customHeight="1">
      <c r="AN110" s="681">
        <v>11</v>
      </c>
    </row>
    <row r="111" spans="40:40" ht="11.45" customHeight="1">
      <c r="AN111" s="681">
        <v>11</v>
      </c>
    </row>
    <row r="112" spans="40:40" ht="11.45" customHeight="1">
      <c r="AN112" s="681">
        <v>11</v>
      </c>
    </row>
    <row r="113" spans="40:40" ht="11.45" customHeight="1">
      <c r="AN113" s="681">
        <v>11</v>
      </c>
    </row>
    <row r="114" spans="40:40" ht="11.45" customHeight="1">
      <c r="AN114" s="681">
        <v>11</v>
      </c>
    </row>
    <row r="115" spans="40:40" ht="11.45" customHeight="1">
      <c r="AN115" s="681">
        <v>11</v>
      </c>
    </row>
    <row r="116" spans="40:40" ht="11.45" customHeight="1">
      <c r="AN116" s="681">
        <v>11</v>
      </c>
    </row>
    <row r="117" spans="40:40" ht="11.45" customHeight="1">
      <c r="AN117" s="681">
        <v>11</v>
      </c>
    </row>
    <row r="118" spans="40:40" ht="11.45" customHeight="1">
      <c r="AN118" s="681">
        <v>11</v>
      </c>
    </row>
    <row r="119" spans="40:40" ht="11.45" customHeight="1">
      <c r="AN119" s="681">
        <v>11</v>
      </c>
    </row>
    <row r="120" spans="40:40" ht="11.45" customHeight="1">
      <c r="AN120" s="681">
        <v>11</v>
      </c>
    </row>
    <row r="121" spans="40:40" ht="11.45" customHeight="1">
      <c r="AN121" s="681">
        <v>11</v>
      </c>
    </row>
    <row r="122" spans="40:40" ht="11.45" customHeight="1">
      <c r="AN122" s="681">
        <v>11</v>
      </c>
    </row>
    <row r="123" spans="40:40" ht="11.45" customHeight="1">
      <c r="AN123" s="681">
        <v>11</v>
      </c>
    </row>
    <row r="124" spans="40:40" ht="11.45" customHeight="1">
      <c r="AN124" s="681">
        <v>11</v>
      </c>
    </row>
    <row r="125" spans="40:40" ht="11.45" customHeight="1">
      <c r="AN125" s="681">
        <v>11</v>
      </c>
    </row>
    <row r="126" spans="40:40" ht="11.45" customHeight="1">
      <c r="AN126" s="681">
        <v>11</v>
      </c>
    </row>
    <row r="127" spans="40:40" ht="11.45" customHeight="1">
      <c r="AN127" s="681">
        <v>11</v>
      </c>
    </row>
    <row r="128" spans="40:40" ht="11.45" customHeight="1">
      <c r="AN128" s="681">
        <v>11</v>
      </c>
    </row>
    <row r="129" spans="40:40" ht="11.45" customHeight="1">
      <c r="AN129" s="681">
        <v>11</v>
      </c>
    </row>
    <row r="130" spans="40:40" ht="11.45" customHeight="1">
      <c r="AN130" s="681">
        <v>11</v>
      </c>
    </row>
    <row r="131" spans="40:40" ht="11.45" customHeight="1">
      <c r="AN131" s="681">
        <v>11</v>
      </c>
    </row>
    <row r="132" spans="40:40" ht="11.45" customHeight="1">
      <c r="AN132" s="681">
        <v>11</v>
      </c>
    </row>
    <row r="133" spans="40:40" ht="11.45" customHeight="1">
      <c r="AN133" s="681">
        <v>11</v>
      </c>
    </row>
    <row r="134" spans="40:40" ht="11.45" customHeight="1">
      <c r="AN134" s="681">
        <v>11</v>
      </c>
    </row>
    <row r="135" spans="40:40" ht="11.45" customHeight="1">
      <c r="AN135" s="681">
        <v>11</v>
      </c>
    </row>
    <row r="136" spans="40:40" ht="11.45" customHeight="1">
      <c r="AN136" s="681">
        <v>11</v>
      </c>
    </row>
    <row r="137" spans="40:40" ht="11.45" customHeight="1">
      <c r="AN137" s="681">
        <v>11</v>
      </c>
    </row>
    <row r="138" spans="40:40" ht="11.45" customHeight="1">
      <c r="AN138" s="681">
        <v>11</v>
      </c>
    </row>
    <row r="139" spans="40:40" ht="11.45" customHeight="1">
      <c r="AN139" s="681">
        <v>11</v>
      </c>
    </row>
    <row r="140" spans="40:40" ht="11.45" customHeight="1">
      <c r="AN140" s="681">
        <v>11</v>
      </c>
    </row>
    <row r="141" spans="40:40" ht="11.45" customHeight="1">
      <c r="AN141" s="681">
        <v>11</v>
      </c>
    </row>
    <row r="142" spans="40:40" ht="11.45" customHeight="1">
      <c r="AN142" s="681">
        <v>11</v>
      </c>
    </row>
    <row r="143" spans="40:40" ht="11.45" customHeight="1">
      <c r="AN143" s="681">
        <v>11</v>
      </c>
    </row>
    <row r="144" spans="40:40" ht="11.45" customHeight="1">
      <c r="AN144" s="681">
        <v>11</v>
      </c>
    </row>
    <row r="145" spans="40:40" ht="11.45" customHeight="1">
      <c r="AN145" s="681">
        <v>11</v>
      </c>
    </row>
    <row r="146" spans="40:40" ht="11.45" customHeight="1">
      <c r="AN146" s="681">
        <v>11</v>
      </c>
    </row>
    <row r="147" spans="40:40" ht="11.45" customHeight="1">
      <c r="AN147" s="681">
        <v>11</v>
      </c>
    </row>
    <row r="148" spans="40:40" ht="11.45" customHeight="1">
      <c r="AN148" s="681">
        <v>11</v>
      </c>
    </row>
    <row r="149" spans="40:40" ht="11.45" customHeight="1">
      <c r="AN149" s="681">
        <v>11</v>
      </c>
    </row>
    <row r="150" spans="40:40" ht="11.45" customHeight="1">
      <c r="AN150" s="681">
        <v>11</v>
      </c>
    </row>
    <row r="151" spans="40:40" ht="11.45" customHeight="1">
      <c r="AN151" s="681">
        <v>11</v>
      </c>
    </row>
    <row r="152" spans="40:40" ht="11.45" customHeight="1">
      <c r="AN152" s="681">
        <v>11</v>
      </c>
    </row>
    <row r="153" spans="40:40" ht="11.45" customHeight="1">
      <c r="AN153" s="681">
        <v>11</v>
      </c>
    </row>
    <row r="154" spans="40:40" ht="11.45" customHeight="1">
      <c r="AN154" s="681">
        <v>11</v>
      </c>
    </row>
    <row r="155" spans="40:40" ht="11.45" customHeight="1">
      <c r="AN155" s="681">
        <v>11</v>
      </c>
    </row>
    <row r="156" spans="40:40" ht="11.45" customHeight="1">
      <c r="AN156" s="681">
        <v>11</v>
      </c>
    </row>
    <row r="157" spans="40:40" ht="11.45" customHeight="1">
      <c r="AN157" s="681">
        <v>11</v>
      </c>
    </row>
    <row r="158" spans="40:40" ht="11.45" customHeight="1">
      <c r="AN158" s="681">
        <v>11</v>
      </c>
    </row>
    <row r="159" spans="40:40" ht="11.45" customHeight="1">
      <c r="AN159" s="681">
        <v>11</v>
      </c>
    </row>
    <row r="160" spans="40:40" ht="11.45" customHeight="1">
      <c r="AN160" s="681">
        <v>11</v>
      </c>
    </row>
    <row r="161" spans="40:40" ht="11.45" customHeight="1">
      <c r="AN161" s="681">
        <v>11</v>
      </c>
    </row>
    <row r="162" spans="40:40" ht="11.45" customHeight="1">
      <c r="AN162" s="681">
        <v>11</v>
      </c>
    </row>
    <row r="163" spans="40:40" ht="11.45" customHeight="1">
      <c r="AN163" s="681">
        <v>11</v>
      </c>
    </row>
    <row r="164" spans="40:40" ht="11.45" customHeight="1">
      <c r="AN164" s="681">
        <v>11</v>
      </c>
    </row>
    <row r="165" spans="40:40" ht="11.45" customHeight="1">
      <c r="AN165" s="681">
        <v>11</v>
      </c>
    </row>
    <row r="166" spans="40:40" ht="11.45" customHeight="1">
      <c r="AN166" s="681">
        <v>11</v>
      </c>
    </row>
    <row r="167" spans="40:40" ht="11.45" customHeight="1">
      <c r="AN167" s="681">
        <v>11</v>
      </c>
    </row>
    <row r="168" spans="40:40" ht="11.45" customHeight="1">
      <c r="AN168" s="681">
        <v>11</v>
      </c>
    </row>
    <row r="169" spans="40:40" ht="11.45" customHeight="1">
      <c r="AN169" s="681">
        <v>11</v>
      </c>
    </row>
    <row r="170" spans="40:40" ht="11.45" customHeight="1">
      <c r="AN170" s="681">
        <v>11</v>
      </c>
    </row>
    <row r="171" spans="40:40" ht="11.45" customHeight="1">
      <c r="AN171" s="681">
        <v>11</v>
      </c>
    </row>
    <row r="172" spans="40:40" ht="11.45" customHeight="1">
      <c r="AN172" s="681">
        <v>11</v>
      </c>
    </row>
    <row r="173" spans="40:40" ht="11.45" customHeight="1">
      <c r="AN173" s="681">
        <v>11</v>
      </c>
    </row>
    <row r="174" spans="40:40" ht="11.45" customHeight="1">
      <c r="AN174" s="681">
        <v>11</v>
      </c>
    </row>
    <row r="175" spans="40:40" ht="11.45" customHeight="1">
      <c r="AN175" s="681">
        <v>11</v>
      </c>
    </row>
    <row r="176" spans="40:40" ht="11.45" customHeight="1">
      <c r="AN176" s="681">
        <v>11</v>
      </c>
    </row>
    <row r="177" spans="40:40" ht="11.45" customHeight="1">
      <c r="AN177" s="681">
        <v>11</v>
      </c>
    </row>
    <row r="178" spans="40:40" ht="11.45" customHeight="1">
      <c r="AN178" s="681">
        <v>11</v>
      </c>
    </row>
    <row r="179" spans="40:40" ht="11.45" customHeight="1">
      <c r="AN179" s="681">
        <v>11</v>
      </c>
    </row>
    <row r="180" spans="40:40" ht="11.45" customHeight="1">
      <c r="AN180" s="681">
        <v>11</v>
      </c>
    </row>
    <row r="181" spans="40:40" ht="11.45" customHeight="1">
      <c r="AN181" s="681">
        <v>11</v>
      </c>
    </row>
    <row r="182" spans="40:40" ht="11.45" customHeight="1">
      <c r="AN182" s="681">
        <v>11</v>
      </c>
    </row>
    <row r="183" spans="40:40" ht="11.45" customHeight="1">
      <c r="AN183" s="681">
        <v>11</v>
      </c>
    </row>
    <row r="184" spans="40:40" ht="11.45" customHeight="1">
      <c r="AN184" s="681">
        <v>11</v>
      </c>
    </row>
    <row r="185" spans="40:40" ht="11.45" customHeight="1">
      <c r="AN185" s="681">
        <v>11</v>
      </c>
    </row>
    <row r="186" spans="40:40" ht="11.45" customHeight="1">
      <c r="AN186" s="681">
        <v>11</v>
      </c>
    </row>
    <row r="187" spans="40:40" ht="11.45" customHeight="1">
      <c r="AN187" s="681">
        <v>11</v>
      </c>
    </row>
    <row r="188" spans="40:40" ht="11.45" customHeight="1">
      <c r="AN188" s="681">
        <v>11</v>
      </c>
    </row>
    <row r="189" spans="40:40" ht="11.45" customHeight="1">
      <c r="AN189" s="681">
        <v>11</v>
      </c>
    </row>
    <row r="190" spans="40:40" ht="11.45" customHeight="1">
      <c r="AN190" s="538">
        <v>11</v>
      </c>
    </row>
    <row r="191" spans="40:40" ht="11.45" customHeight="1">
      <c r="AN191" s="538">
        <v>11</v>
      </c>
    </row>
    <row r="192" spans="40:40" ht="11.45" customHeight="1">
      <c r="AN192" s="538">
        <v>11</v>
      </c>
    </row>
    <row r="193" spans="1:40" ht="11.45" customHeight="1">
      <c r="AN193" s="538">
        <v>11</v>
      </c>
    </row>
    <row r="194" spans="1:40" ht="11.45" customHeight="1">
      <c r="AN194" s="538">
        <v>11</v>
      </c>
    </row>
    <row r="195" spans="1:40" ht="11.45" customHeight="1">
      <c r="AN195" s="538">
        <v>11</v>
      </c>
    </row>
    <row r="196" spans="1:40" ht="11.45" customHeight="1">
      <c r="AN196" s="538">
        <v>11</v>
      </c>
    </row>
    <row r="197" spans="1:40" ht="11.45" customHeight="1">
      <c r="AN197" s="538">
        <v>11</v>
      </c>
    </row>
    <row r="198" spans="1:40" ht="11.45" customHeight="1">
      <c r="AN198" s="538">
        <v>11</v>
      </c>
    </row>
    <row r="199" spans="1:40" ht="11.45" customHeight="1">
      <c r="AN199" s="538">
        <v>11</v>
      </c>
    </row>
    <row r="200" spans="1:40" ht="11.45" customHeight="1">
      <c r="AN200" s="538">
        <v>11</v>
      </c>
    </row>
    <row r="201" spans="1:40" ht="11.45" customHeight="1">
      <c r="AN201" s="538">
        <v>11</v>
      </c>
    </row>
    <row r="202" spans="1:40" ht="11.45" customHeight="1">
      <c r="AN202" s="538">
        <v>11</v>
      </c>
    </row>
    <row r="203" spans="1:40" ht="11.45" customHeight="1">
      <c r="AN203" s="538">
        <v>11</v>
      </c>
    </row>
    <row r="204" spans="1:40" ht="12.75" hidden="1" customHeight="1">
      <c r="A204" s="423" t="s">
        <v>81</v>
      </c>
      <c r="B204" s="423" t="s">
        <v>162</v>
      </c>
      <c r="C204" s="423" t="s">
        <v>162</v>
      </c>
      <c r="D204" s="423" t="s">
        <v>162</v>
      </c>
      <c r="E204" s="423" t="s">
        <v>162</v>
      </c>
      <c r="F204" s="538">
        <v>16</v>
      </c>
      <c r="G204" s="577">
        <v>0</v>
      </c>
      <c r="H204" s="538">
        <v>3</v>
      </c>
      <c r="I204" s="538">
        <v>7</v>
      </c>
      <c r="J204" s="538">
        <v>56</v>
      </c>
      <c r="K204" s="538">
        <v>10</v>
      </c>
      <c r="L204" s="538">
        <v>40</v>
      </c>
      <c r="M204" s="538">
        <v>40</v>
      </c>
      <c r="N204" s="3">
        <v>40</v>
      </c>
      <c r="O204" s="3">
        <v>40</v>
      </c>
      <c r="P204" s="3">
        <v>40</v>
      </c>
      <c r="Q204" s="555">
        <v>9</v>
      </c>
      <c r="R204" s="538">
        <v>102</v>
      </c>
      <c r="S204" s="555">
        <v>9</v>
      </c>
      <c r="T204" s="577">
        <v>5</v>
      </c>
      <c r="U204" s="577">
        <v>3</v>
      </c>
      <c r="V204" s="555">
        <v>3</v>
      </c>
      <c r="W204" s="555">
        <v>3</v>
      </c>
      <c r="X204" s="555">
        <v>3</v>
      </c>
      <c r="Y204" s="555">
        <v>3</v>
      </c>
      <c r="Z204" s="577">
        <v>10</v>
      </c>
      <c r="AA204" s="555">
        <v>34</v>
      </c>
      <c r="AB204" s="555">
        <v>9</v>
      </c>
      <c r="AC204" s="936">
        <v>8</v>
      </c>
      <c r="AD204" s="555">
        <v>8</v>
      </c>
      <c r="AE204" s="555">
        <v>8</v>
      </c>
      <c r="AF204" s="555">
        <v>8</v>
      </c>
      <c r="AG204" s="555">
        <v>8</v>
      </c>
      <c r="AH204" s="555">
        <v>8</v>
      </c>
      <c r="AI204" s="536">
        <v>8</v>
      </c>
      <c r="AJ204" s="536">
        <v>8</v>
      </c>
      <c r="AK204" s="536">
        <v>8</v>
      </c>
      <c r="AL204" s="536">
        <v>8</v>
      </c>
      <c r="AM204" s="536">
        <v>8</v>
      </c>
      <c r="AN204" s="538">
        <v>11</v>
      </c>
    </row>
  </sheetData>
  <sheetProtection insertRows="0" deleteColumns="0" deleteRows="0" sort="0" autoFilter="0"/>
  <mergeCells count="7">
    <mergeCell ref="I6:M6"/>
    <mergeCell ref="I7:M7"/>
    <mergeCell ref="J10:K10"/>
    <mergeCell ref="R10:R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P15 L34:P34">
      <formula1>900</formula1>
    </dataValidation>
    <dataValidation type="whole" allowBlank="1" showErrorMessage="1" errorTitle="Ошибка" error="Допускается ввод только неотрицательных целых чисел!" sqref="L30: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P17">
      <formula1>900</formula1>
    </dataValidation>
    <dataValidation type="decimal" allowBlank="1" showErrorMessage="1" errorTitle="Ошибка" error="Допускается ввод только неотрицательных чисел!" sqref="L32:P33 L19:P29 L16:P16 L2:P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029" hidden="1"/>
    <col min="5" max="7" width="9.140625" style="1029" hidden="1" customWidth="1"/>
    <col min="8" max="8" width="3" style="1029" customWidth="1"/>
    <col min="9" max="9" width="6" style="1029" customWidth="1"/>
    <col min="10" max="10" width="63" style="1029" customWidth="1"/>
    <col min="11" max="11" width="9" style="1029" customWidth="1"/>
    <col min="12" max="12" width="39" style="1029" customWidth="1"/>
    <col min="13" max="13" width="89" style="1029" customWidth="1"/>
    <col min="14" max="22" width="10" style="1029" customWidth="1"/>
    <col min="23" max="23" width="10.5703125" style="1029" hidden="1"/>
  </cols>
  <sheetData>
    <row r="1" spans="1:23" ht="22.5" hidden="1" customHeight="1">
      <c r="W1" s="538" t="s">
        <v>14</v>
      </c>
    </row>
    <row r="2" spans="1:23" ht="22.5" hidden="1" customHeight="1">
      <c r="B2" s="951" t="s">
        <v>708</v>
      </c>
      <c r="C2" s="951" t="s">
        <v>709</v>
      </c>
      <c r="D2" s="952" t="s">
        <v>648</v>
      </c>
      <c r="E2" s="457">
        <f>I2-3</f>
        <v>-3</v>
      </c>
      <c r="F2" s="457">
        <f>J2</f>
        <v>0</v>
      </c>
      <c r="H2" s="374" t="s">
        <v>103</v>
      </c>
      <c r="I2" s="91"/>
      <c r="J2" s="103"/>
      <c r="K2" s="580" t="s">
        <v>317</v>
      </c>
      <c r="L2" s="133"/>
      <c r="M2" s="831"/>
      <c r="W2" s="538">
        <v>0</v>
      </c>
    </row>
    <row r="3" spans="1:23" ht="14.25" hidden="1" customHeight="1">
      <c r="W3" s="538">
        <v>0</v>
      </c>
    </row>
    <row r="4" spans="1:23" ht="6.4" customHeight="1">
      <c r="H4" s="756"/>
      <c r="I4" s="556"/>
      <c r="J4" s="556"/>
      <c r="K4" s="556"/>
      <c r="L4" s="813"/>
      <c r="M4" s="813"/>
      <c r="W4" s="538">
        <v>6</v>
      </c>
    </row>
    <row r="5" spans="1:23" ht="50.25" customHeight="1">
      <c r="H5" s="756"/>
      <c r="I5" s="1178" t="s">
        <v>710</v>
      </c>
      <c r="J5" s="1178"/>
      <c r="K5" s="1178"/>
      <c r="L5" s="1178"/>
      <c r="W5" s="538">
        <v>48</v>
      </c>
    </row>
    <row r="6" spans="1:23" ht="18" customHeight="1">
      <c r="H6" s="756"/>
      <c r="I6" s="1127" t="str">
        <f>IF(org=0,"Не определено",org)</f>
        <v>АО "НИЖЕГОРОДСКИЙ ВОДОКАНАЛ"</v>
      </c>
      <c r="J6" s="1127"/>
      <c r="K6" s="1127"/>
      <c r="L6" s="1127"/>
      <c r="W6" s="538">
        <v>17</v>
      </c>
    </row>
    <row r="7" spans="1:23" ht="14.65" customHeight="1">
      <c r="H7" s="756"/>
      <c r="I7" s="556"/>
      <c r="J7" s="551"/>
      <c r="K7" s="551"/>
      <c r="L7" s="629"/>
      <c r="M7" s="814"/>
      <c r="W7" s="538">
        <v>14</v>
      </c>
    </row>
    <row r="8" spans="1:23" ht="14.65" customHeight="1">
      <c r="H8" s="756"/>
      <c r="I8" s="1292" t="s">
        <v>311</v>
      </c>
      <c r="J8" s="1293"/>
      <c r="K8" s="1293"/>
      <c r="L8" s="1294"/>
      <c r="M8" s="1295" t="s">
        <v>312</v>
      </c>
      <c r="W8" s="538">
        <v>14</v>
      </c>
    </row>
    <row r="9" spans="1:23" ht="35.65" customHeight="1">
      <c r="E9" s="458" t="s">
        <v>639</v>
      </c>
      <c r="F9" s="458" t="s">
        <v>645</v>
      </c>
      <c r="H9" s="756"/>
      <c r="I9" s="632" t="s">
        <v>87</v>
      </c>
      <c r="J9" s="602" t="s">
        <v>313</v>
      </c>
      <c r="K9" s="673" t="s">
        <v>577</v>
      </c>
      <c r="L9" s="602" t="s">
        <v>314</v>
      </c>
      <c r="M9" s="1295"/>
      <c r="W9" s="538">
        <v>34</v>
      </c>
    </row>
    <row r="10" spans="1:23" ht="35.65" customHeight="1">
      <c r="B10" s="951" t="s">
        <v>711</v>
      </c>
      <c r="C10" s="951" t="s">
        <v>712</v>
      </c>
      <c r="D10" s="952" t="s">
        <v>648</v>
      </c>
      <c r="E10" s="457" t="s">
        <v>649</v>
      </c>
      <c r="F10" s="457" t="s">
        <v>649</v>
      </c>
      <c r="H10" s="756"/>
      <c r="I10" s="91" t="s">
        <v>114</v>
      </c>
      <c r="J10" s="894" t="s">
        <v>713</v>
      </c>
      <c r="K10" s="580" t="s">
        <v>317</v>
      </c>
      <c r="L10" s="307"/>
      <c r="M10" s="831" t="s">
        <v>714</v>
      </c>
      <c r="W10" s="538">
        <v>34</v>
      </c>
    </row>
    <row r="11" spans="1:23" ht="50.25" customHeight="1">
      <c r="B11" s="951" t="s">
        <v>715</v>
      </c>
      <c r="C11" s="951" t="s">
        <v>716</v>
      </c>
      <c r="D11" s="952" t="s">
        <v>648</v>
      </c>
      <c r="E11" s="457" t="s">
        <v>649</v>
      </c>
      <c r="F11" s="457" t="s">
        <v>649</v>
      </c>
      <c r="H11" s="756"/>
      <c r="I11" s="91" t="s">
        <v>102</v>
      </c>
      <c r="J11" s="894" t="s">
        <v>717</v>
      </c>
      <c r="K11" s="580" t="s">
        <v>317</v>
      </c>
      <c r="L11" s="307"/>
      <c r="M11" s="831" t="s">
        <v>714</v>
      </c>
      <c r="W11" s="538">
        <v>48</v>
      </c>
    </row>
    <row r="12" spans="1:23" ht="48.2" customHeight="1">
      <c r="B12" s="951" t="s">
        <v>718</v>
      </c>
      <c r="C12" s="951" t="s">
        <v>719</v>
      </c>
      <c r="D12" s="952" t="s">
        <v>648</v>
      </c>
      <c r="E12" s="457" t="s">
        <v>649</v>
      </c>
      <c r="F12" s="457" t="s">
        <v>649</v>
      </c>
      <c r="H12" s="653"/>
      <c r="I12" s="91" t="s">
        <v>89</v>
      </c>
      <c r="J12" s="796" t="s">
        <v>720</v>
      </c>
      <c r="K12" s="580" t="s">
        <v>317</v>
      </c>
      <c r="L12" s="307"/>
      <c r="M12" s="831" t="s">
        <v>721</v>
      </c>
      <c r="W12" s="538">
        <v>46</v>
      </c>
    </row>
    <row r="13" spans="1:23" ht="14.65" customHeight="1">
      <c r="H13" s="756"/>
      <c r="I13" s="760"/>
      <c r="J13" s="49" t="s">
        <v>722</v>
      </c>
      <c r="K13" s="63"/>
      <c r="L13" s="295"/>
      <c r="M13" s="831"/>
      <c r="W13" s="538">
        <v>14</v>
      </c>
    </row>
    <row r="14" spans="1:23" ht="14.65" customHeight="1">
      <c r="H14" s="756"/>
      <c r="I14" s="895"/>
      <c r="J14" s="377"/>
      <c r="K14" s="378"/>
      <c r="L14" s="379"/>
      <c r="W14" s="538">
        <v>14</v>
      </c>
    </row>
    <row r="15" spans="1:23" ht="14.65" customHeight="1">
      <c r="J15" s="1031"/>
      <c r="K15" s="1031"/>
      <c r="L15" s="1031"/>
      <c r="M15" s="1031"/>
      <c r="W15" s="538">
        <v>14</v>
      </c>
    </row>
    <row r="16" spans="1:23" ht="21" hidden="1" customHeight="1">
      <c r="A16" s="300" t="s">
        <v>81</v>
      </c>
      <c r="B16" s="538">
        <v>9</v>
      </c>
      <c r="C16" s="538">
        <v>9</v>
      </c>
      <c r="D16" s="538">
        <v>9</v>
      </c>
      <c r="E16" s="300" t="s">
        <v>161</v>
      </c>
      <c r="F16" s="300" t="s">
        <v>161</v>
      </c>
      <c r="H16" s="821">
        <v>3</v>
      </c>
      <c r="I16" s="538">
        <v>6</v>
      </c>
      <c r="J16" s="538">
        <v>63</v>
      </c>
      <c r="K16" s="538">
        <v>9</v>
      </c>
      <c r="L16" s="538">
        <v>39</v>
      </c>
      <c r="M16" s="538">
        <v>89</v>
      </c>
      <c r="N16" s="538">
        <v>10</v>
      </c>
      <c r="O16" s="582">
        <v>10</v>
      </c>
      <c r="P16" s="582">
        <v>10</v>
      </c>
      <c r="Q16" s="538">
        <v>10</v>
      </c>
      <c r="R16" s="538">
        <v>10</v>
      </c>
      <c r="S16" s="538">
        <v>10</v>
      </c>
      <c r="T16" s="538">
        <v>10</v>
      </c>
      <c r="U16" s="538">
        <v>10</v>
      </c>
      <c r="V16" s="538">
        <v>10</v>
      </c>
      <c r="W16" s="53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217"/>
  <sheetViews>
    <sheetView showGridLines="0" zoomScale="90" workbookViewId="0">
      <pane xSplit="8" ySplit="14" topLeftCell="M15" activePane="bottomRight" state="frozen"/>
      <selection pane="topRight" activeCell="I1" sqref="I1"/>
      <selection pane="bottomLeft" activeCell="A15" sqref="A15"/>
      <selection pane="bottomRight" activeCell="M9" sqref="M9"/>
    </sheetView>
  </sheetViews>
  <sheetFormatPr defaultColWidth="9.140625" defaultRowHeight="11.25" customHeight="1"/>
  <cols>
    <col min="1" max="1" width="10.7109375" style="1029" hidden="1" customWidth="1"/>
    <col min="2" max="2" width="16.85546875" style="1029" hidden="1" customWidth="1"/>
    <col min="3" max="3" width="5.5703125" style="1029" hidden="1" customWidth="1"/>
    <col min="4" max="4" width="3" style="1029" customWidth="1"/>
    <col min="5" max="5" width="7" style="1029" customWidth="1"/>
    <col min="6" max="6" width="56" style="1029" customWidth="1"/>
    <col min="7" max="7" width="10" style="1029" customWidth="1"/>
    <col min="8" max="8" width="40.7109375" style="1029" hidden="1" customWidth="1"/>
    <col min="9" max="9" width="40" style="1029" customWidth="1"/>
    <col min="10" max="12" width="40.7109375" style="1029" customWidth="1"/>
    <col min="13" max="13" width="102" style="1029" customWidth="1"/>
    <col min="14" max="14" width="9" style="1029" customWidth="1"/>
    <col min="15" max="15" width="5" style="1029" customWidth="1"/>
    <col min="16" max="20" width="3" style="1029" customWidth="1"/>
    <col min="21" max="21" width="10" style="1029" customWidth="1"/>
    <col min="22" max="22" width="34" style="1029" customWidth="1"/>
    <col min="23" max="23" width="9" style="1029" customWidth="1"/>
    <col min="24" max="34" width="8" style="1029" customWidth="1"/>
    <col min="35" max="35" width="10.42578125" style="1029" hidden="1" customWidth="1"/>
  </cols>
  <sheetData>
    <row r="1" spans="5:35" ht="22.5" hidden="1" customHeight="1">
      <c r="H1" s="555">
        <v>4</v>
      </c>
      <c r="I1" s="555">
        <v>4</v>
      </c>
      <c r="J1" s="9">
        <v>4</v>
      </c>
      <c r="K1" s="9">
        <v>4</v>
      </c>
      <c r="L1" s="9">
        <v>4</v>
      </c>
      <c r="AI1" s="555" t="s">
        <v>14</v>
      </c>
    </row>
    <row r="2" spans="5:35" ht="22.5" hidden="1" customHeight="1">
      <c r="E2" s="583"/>
      <c r="F2" s="37"/>
      <c r="G2" s="583" t="s">
        <v>563</v>
      </c>
      <c r="H2" s="311"/>
      <c r="I2" s="311"/>
      <c r="J2" s="311"/>
      <c r="K2" s="311"/>
      <c r="L2" s="311"/>
      <c r="M2" s="916" t="s">
        <v>723</v>
      </c>
      <c r="AI2" s="555">
        <v>0</v>
      </c>
    </row>
    <row r="3" spans="5:35" ht="11.25" hidden="1" customHeight="1">
      <c r="J3"/>
      <c r="K3"/>
      <c r="L3"/>
      <c r="AI3" s="538">
        <v>0</v>
      </c>
    </row>
    <row r="4" spans="5:35" ht="11.25" hidden="1" customHeight="1">
      <c r="J4"/>
      <c r="K4"/>
      <c r="L4"/>
      <c r="M4" s="536">
        <v>4</v>
      </c>
      <c r="AI4" s="536">
        <v>0</v>
      </c>
    </row>
    <row r="5" spans="5:35" ht="11.45" customHeight="1">
      <c r="J5"/>
      <c r="K5"/>
      <c r="L5"/>
      <c r="AI5" s="538">
        <v>11</v>
      </c>
    </row>
    <row r="6" spans="5:35" ht="31.5" customHeight="1">
      <c r="E6" s="1140" t="s">
        <v>724</v>
      </c>
      <c r="F6" s="1140"/>
      <c r="G6" s="1140"/>
      <c r="H6" s="1140"/>
      <c r="I6" s="1140"/>
      <c r="J6" s="76"/>
      <c r="K6" s="76"/>
      <c r="L6" s="76"/>
      <c r="AI6" s="538">
        <v>30</v>
      </c>
    </row>
    <row r="7" spans="5:35" ht="11.45" customHeight="1">
      <c r="E7" s="1127" t="str">
        <f>IF(org=0,"Не определено",org)</f>
        <v>АО "НИЖЕГОРОДСКИЙ ВОДОКАНАЛ"</v>
      </c>
      <c r="F7" s="1127"/>
      <c r="G7" s="1127"/>
      <c r="H7" s="1127"/>
      <c r="I7" s="1127"/>
      <c r="J7" s="77"/>
      <c r="K7" s="77"/>
      <c r="L7" s="77"/>
      <c r="AI7" s="538">
        <v>11</v>
      </c>
    </row>
    <row r="8" spans="5:35" ht="11.45" customHeight="1">
      <c r="J8" t="s">
        <v>22</v>
      </c>
      <c r="K8" t="s">
        <v>22</v>
      </c>
      <c r="L8" t="s">
        <v>22</v>
      </c>
      <c r="AI8" s="538">
        <v>11</v>
      </c>
    </row>
    <row r="9" spans="5:35" ht="4.1500000000000004" customHeight="1">
      <c r="H9" s="918"/>
      <c r="I9" s="918" t="s">
        <v>122</v>
      </c>
      <c r="J9" s="404" t="s">
        <v>130</v>
      </c>
      <c r="K9" s="404" t="s">
        <v>132</v>
      </c>
      <c r="L9" s="404" t="s">
        <v>127</v>
      </c>
      <c r="AI9" s="577">
        <v>4</v>
      </c>
    </row>
    <row r="10" spans="5:35" ht="11.45" customHeight="1">
      <c r="E10" s="897"/>
      <c r="F10" s="1275" t="s">
        <v>110</v>
      </c>
      <c r="G10" s="1276"/>
      <c r="H10" s="919" t="str">
        <f>IF(H9="","",INDEX(DIFFERENTIATION_UNMERGE_VD,MATCH(H9,DIFFERENTIATION_ID_DIFF,0)))</f>
        <v/>
      </c>
      <c r="I10" s="919" t="str">
        <f>IF(I9="","",INDEX(DIFFERENTIATION_UNMERGE_VD,MATCH(I9,DIFFERENTIATION_ID_DIFF,0)))</f>
        <v>Холодное водоснабжение. Питьевая вода</v>
      </c>
      <c r="J10" s="405" t="str">
        <f>IF(J9="","",INDEX(DIFFERENTIATION_UNMERGE_VD,MATCH(J9,DIFFERENTIATION_ID_DIFF,0)))</f>
        <v>Холодное водоснабжение. Техническая вода</v>
      </c>
      <c r="K10" s="405" t="str">
        <f>IF(K9="","",INDEX(DIFFERENTIATION_UNMERGE_VD,MATCH(K9,DIFFERENTIATION_ID_DIFF,0)))</f>
        <v>Подключение (технологическое присоединение) к централизованной системе водоснабжения</v>
      </c>
      <c r="L10" s="405" t="str">
        <f>IF(L9="","",INDEX(DIFFERENTIATION_UNMERGE_VD,MATCH(L9,DIFFERENTIATION_ID_DIFF,0)))</f>
        <v>Холодное водоснабжение. Питьевая вода</v>
      </c>
      <c r="M10" s="1066"/>
      <c r="AI10" s="538">
        <v>11</v>
      </c>
    </row>
    <row r="11" spans="5:35" ht="11.45" customHeight="1">
      <c r="E11" s="897"/>
      <c r="F11" s="1275" t="s">
        <v>575</v>
      </c>
      <c r="G11" s="1276"/>
      <c r="H11" s="919" t="str">
        <f>IF(H9="","",INDEX(DIFFERENTIATION_UNMERGE_AREA,MATCH(H9,DIFFERENTIATION_ID_DIFF,0)))</f>
        <v/>
      </c>
      <c r="I11" s="919" t="str">
        <f>IF(I9="","",INDEX(DIFFERENTIATION_UNMERGE_AREA,MATCH(I9,DIFFERENTIATION_ID_DIFF,0)))</f>
        <v>Территория 1</v>
      </c>
      <c r="J11" s="405" t="str">
        <f>IF(J9="","",INDEX(DIFFERENTIATION_UNMERGE_AREA,MATCH(J9,DIFFERENTIATION_ID_DIFF,0)))</f>
        <v>Территория 1</v>
      </c>
      <c r="K11" s="405" t="str">
        <f>IF(K9="","",INDEX(DIFFERENTIATION_UNMERGE_AREA,MATCH(K9,DIFFERENTIATION_ID_DIFF,0)))</f>
        <v>без дифференциации</v>
      </c>
      <c r="L11" s="405" t="str">
        <f>IF(L9="","",INDEX(DIFFERENTIATION_UNMERGE_AREA,MATCH(L9,DIFFERENTIATION_ID_DIFF,0)))</f>
        <v>Территория 2</v>
      </c>
      <c r="M11" s="1066"/>
      <c r="AI11" s="538">
        <v>11</v>
      </c>
    </row>
    <row r="12" spans="5:35" ht="1.1499999999999999" customHeight="1">
      <c r="E12" s="939"/>
      <c r="F12" s="1296" t="s">
        <v>576</v>
      </c>
      <c r="G12" s="1297"/>
      <c r="H12" s="940" t="str">
        <f>IF(H9="","",INDEX(DIFFERENTIATION_UNMERGE_SYSTEM,MATCH(H9,DIFFERENTIATION_ID_DIFF,0)))</f>
        <v/>
      </c>
      <c r="I12" s="940" t="str">
        <f>IF(I9="","",INDEX(DIFFERENTIATION_UNMERGE_SYSTEM,MATCH(I9,DIFFERENTIATION_ID_DIFF,0)))</f>
        <v>Централизованная система водоснабжения города Нижнего Новгорода (1)</v>
      </c>
      <c r="J12" s="426" t="str">
        <f>IF(J9="","",INDEX(DIFFERENTIATION_UNMERGE_SYSTEM,MATCH(J9,DIFFERENTIATION_ID_DIFF,0)))</f>
        <v>Централизованная система водоснабжения города Нижнего Новгорода (2)</v>
      </c>
      <c r="K12" s="426" t="str">
        <f>IF(K9="","",INDEX(DIFFERENTIATION_UNMERGE_SYSTEM,MATCH(K9,DIFFERENTIATION_ID_DIFF,0)))</f>
        <v>без дифференциации</v>
      </c>
      <c r="L12" s="426" t="str">
        <f>IF(L9="","",INDEX(DIFFERENTIATION_UNMERGE_SYSTEM,MATCH(L9,DIFFERENTIATION_ID_DIFF,0)))</f>
        <v>Централизованная система водоснабжения Кстовского муниципального района</v>
      </c>
      <c r="M12" s="1066"/>
      <c r="AI12" s="538">
        <v>1</v>
      </c>
    </row>
    <row r="13" spans="5:35" ht="11.45" customHeight="1">
      <c r="E13" s="1277" t="s">
        <v>311</v>
      </c>
      <c r="F13" s="1278"/>
      <c r="G13" s="1278"/>
      <c r="H13" s="898"/>
      <c r="I13" s="898"/>
      <c r="J13" s="380"/>
      <c r="K13" s="380"/>
      <c r="L13" s="380"/>
      <c r="M13" s="1066"/>
      <c r="AI13" s="538">
        <v>11</v>
      </c>
    </row>
    <row r="14" spans="5:35" ht="24" customHeight="1">
      <c r="E14" s="583" t="s">
        <v>87</v>
      </c>
      <c r="F14" s="583" t="s">
        <v>313</v>
      </c>
      <c r="G14" s="583" t="s">
        <v>577</v>
      </c>
      <c r="H14" s="583" t="s">
        <v>314</v>
      </c>
      <c r="I14" s="583" t="s">
        <v>314</v>
      </c>
      <c r="J14" s="35" t="s">
        <v>314</v>
      </c>
      <c r="K14" s="35" t="s">
        <v>314</v>
      </c>
      <c r="L14" s="35" t="s">
        <v>314</v>
      </c>
      <c r="M14" s="1066"/>
      <c r="AI14" s="538">
        <v>23</v>
      </c>
    </row>
    <row r="15" spans="5:35" ht="19.899999999999999" customHeight="1">
      <c r="E15" s="427" t="s">
        <v>114</v>
      </c>
      <c r="F15" s="619" t="s">
        <v>725</v>
      </c>
      <c r="G15" s="583" t="s">
        <v>563</v>
      </c>
      <c r="H15" s="406"/>
      <c r="I15" s="406"/>
      <c r="J15" s="406"/>
      <c r="K15" s="406"/>
      <c r="L15" s="406"/>
      <c r="M15" s="795" t="s">
        <v>726</v>
      </c>
      <c r="N15" s="941" t="s">
        <v>651</v>
      </c>
      <c r="AI15" s="538">
        <v>19</v>
      </c>
    </row>
    <row r="16" spans="5:35" ht="35.65" customHeight="1">
      <c r="E16" s="427" t="s">
        <v>102</v>
      </c>
      <c r="F16" s="619" t="s">
        <v>727</v>
      </c>
      <c r="G16" s="583" t="s">
        <v>563</v>
      </c>
      <c r="H16" s="262">
        <f>SUM(H17,H20,H23,H26,H29:H32,H35)</f>
        <v>0</v>
      </c>
      <c r="I16" s="262">
        <f>SUM(I17,I20,I23,I26,I29:I32,I35)</f>
        <v>0</v>
      </c>
      <c r="J16" s="262">
        <f>SUM(J17,J20,J23,J26,J29:J32,J35)</f>
        <v>0</v>
      </c>
      <c r="K16" s="262">
        <f>SUM(K17,K20,K23,K26,K29:K32,K35)</f>
        <v>0</v>
      </c>
      <c r="L16" s="262">
        <f>SUM(L17,L20,L23,L26,L29:L32,L35)</f>
        <v>0</v>
      </c>
      <c r="M16" s="795" t="s">
        <v>728</v>
      </c>
      <c r="N16" s="941" t="s">
        <v>651</v>
      </c>
      <c r="AI16" s="538">
        <v>34</v>
      </c>
    </row>
    <row r="17" spans="5:35" ht="19.899999999999999" customHeight="1">
      <c r="E17" s="428" t="s">
        <v>729</v>
      </c>
      <c r="F17" s="888" t="s">
        <v>730</v>
      </c>
      <c r="G17" s="542" t="s">
        <v>563</v>
      </c>
      <c r="H17" s="406"/>
      <c r="I17" s="406"/>
      <c r="J17" s="406"/>
      <c r="K17" s="406"/>
      <c r="L17" s="406"/>
      <c r="M17" s="795" t="s">
        <v>731</v>
      </c>
      <c r="AI17" s="538">
        <v>19</v>
      </c>
    </row>
    <row r="18" spans="5:35" ht="24" customHeight="1">
      <c r="E18" s="428" t="s">
        <v>732</v>
      </c>
      <c r="F18" s="925" t="s">
        <v>733</v>
      </c>
      <c r="G18" s="542" t="s">
        <v>563</v>
      </c>
      <c r="H18" s="406"/>
      <c r="I18" s="406"/>
      <c r="J18" s="406"/>
      <c r="K18" s="406"/>
      <c r="L18" s="406"/>
      <c r="M18" s="795" t="s">
        <v>734</v>
      </c>
      <c r="AI18" s="538">
        <v>23</v>
      </c>
    </row>
    <row r="19" spans="5:35" ht="35.65" customHeight="1">
      <c r="E19" s="428" t="s">
        <v>735</v>
      </c>
      <c r="F19" s="925" t="s">
        <v>736</v>
      </c>
      <c r="G19" s="542" t="s">
        <v>563</v>
      </c>
      <c r="H19" s="406"/>
      <c r="I19" s="406"/>
      <c r="J19" s="406"/>
      <c r="K19" s="406"/>
      <c r="L19" s="406"/>
      <c r="M19" s="795"/>
      <c r="AI19" s="538">
        <v>34</v>
      </c>
    </row>
    <row r="20" spans="5:35" ht="19.899999999999999" customHeight="1">
      <c r="E20" s="428" t="s">
        <v>318</v>
      </c>
      <c r="F20" s="888" t="s">
        <v>737</v>
      </c>
      <c r="G20" s="542" t="s">
        <v>563</v>
      </c>
      <c r="H20" s="406"/>
      <c r="I20" s="406"/>
      <c r="J20" s="406"/>
      <c r="K20" s="406"/>
      <c r="L20" s="406"/>
      <c r="M20" s="795" t="s">
        <v>738</v>
      </c>
      <c r="AI20" s="538">
        <v>19</v>
      </c>
    </row>
    <row r="21" spans="5:35" ht="19.899999999999999" customHeight="1">
      <c r="E21" s="428" t="s">
        <v>739</v>
      </c>
      <c r="F21" s="925" t="s">
        <v>740</v>
      </c>
      <c r="G21" s="542" t="s">
        <v>563</v>
      </c>
      <c r="H21" s="406"/>
      <c r="I21" s="406"/>
      <c r="J21" s="406"/>
      <c r="K21" s="406"/>
      <c r="L21" s="406"/>
      <c r="M21" s="795"/>
      <c r="AI21" s="538">
        <v>19</v>
      </c>
    </row>
    <row r="22" spans="5:35" ht="19.899999999999999" customHeight="1">
      <c r="E22" s="428" t="s">
        <v>741</v>
      </c>
      <c r="F22" s="925" t="s">
        <v>742</v>
      </c>
      <c r="G22" s="542" t="s">
        <v>563</v>
      </c>
      <c r="H22" s="406"/>
      <c r="I22" s="406"/>
      <c r="J22" s="406"/>
      <c r="K22" s="406"/>
      <c r="L22" s="406"/>
      <c r="M22" s="795"/>
      <c r="AI22" s="538">
        <v>19</v>
      </c>
    </row>
    <row r="23" spans="5:35" ht="24" customHeight="1">
      <c r="E23" s="428" t="s">
        <v>321</v>
      </c>
      <c r="F23" s="888" t="s">
        <v>743</v>
      </c>
      <c r="G23" s="542" t="s">
        <v>563</v>
      </c>
      <c r="H23" s="406"/>
      <c r="I23" s="406"/>
      <c r="J23" s="406"/>
      <c r="K23" s="406"/>
      <c r="L23" s="406"/>
      <c r="M23" s="795" t="s">
        <v>744</v>
      </c>
      <c r="AI23" s="538">
        <v>23</v>
      </c>
    </row>
    <row r="24" spans="5:35" ht="19.899999999999999" customHeight="1">
      <c r="E24" s="428" t="s">
        <v>745</v>
      </c>
      <c r="F24" s="925" t="s">
        <v>746</v>
      </c>
      <c r="G24" s="542" t="s">
        <v>563</v>
      </c>
      <c r="H24" s="406"/>
      <c r="I24" s="406"/>
      <c r="J24" s="406"/>
      <c r="K24" s="406"/>
      <c r="L24" s="406"/>
      <c r="M24" s="795"/>
      <c r="AI24" s="538">
        <v>19</v>
      </c>
    </row>
    <row r="25" spans="5:35" ht="35.65" customHeight="1">
      <c r="E25" s="428" t="s">
        <v>747</v>
      </c>
      <c r="F25" s="925" t="s">
        <v>748</v>
      </c>
      <c r="G25" s="542" t="s">
        <v>563</v>
      </c>
      <c r="H25" s="406"/>
      <c r="I25" s="406"/>
      <c r="J25" s="406"/>
      <c r="K25" s="406"/>
      <c r="L25" s="406"/>
      <c r="M25" s="795"/>
      <c r="AI25" s="538">
        <v>34</v>
      </c>
    </row>
    <row r="26" spans="5:35" ht="24" customHeight="1">
      <c r="E26" s="428" t="s">
        <v>749</v>
      </c>
      <c r="F26" s="888" t="s">
        <v>750</v>
      </c>
      <c r="G26" s="542" t="s">
        <v>563</v>
      </c>
      <c r="H26" s="406"/>
      <c r="I26" s="406"/>
      <c r="J26" s="406"/>
      <c r="K26" s="406"/>
      <c r="L26" s="406"/>
      <c r="M26" s="795" t="s">
        <v>751</v>
      </c>
      <c r="AI26" s="538">
        <v>23</v>
      </c>
    </row>
    <row r="27" spans="5:35" ht="19.899999999999999" customHeight="1">
      <c r="E27" s="429" t="s">
        <v>752</v>
      </c>
      <c r="F27" s="925" t="s">
        <v>753</v>
      </c>
      <c r="G27" s="542" t="s">
        <v>563</v>
      </c>
      <c r="H27" s="430"/>
      <c r="I27" s="430"/>
      <c r="J27" s="430"/>
      <c r="K27" s="430"/>
      <c r="L27" s="430"/>
      <c r="M27" s="795"/>
      <c r="AI27" s="538">
        <v>19</v>
      </c>
    </row>
    <row r="28" spans="5:35" ht="19.899999999999999" customHeight="1">
      <c r="E28" s="429" t="s">
        <v>754</v>
      </c>
      <c r="F28" s="925" t="s">
        <v>755</v>
      </c>
      <c r="G28" s="542" t="s">
        <v>563</v>
      </c>
      <c r="H28" s="430"/>
      <c r="I28" s="430"/>
      <c r="J28" s="430"/>
      <c r="K28" s="430"/>
      <c r="L28" s="430"/>
      <c r="M28" s="795"/>
      <c r="AI28" s="538">
        <v>19</v>
      </c>
    </row>
    <row r="29" spans="5:35" ht="19.899999999999999" customHeight="1">
      <c r="E29" s="429" t="s">
        <v>756</v>
      </c>
      <c r="F29" s="888" t="s">
        <v>757</v>
      </c>
      <c r="G29" s="542" t="s">
        <v>563</v>
      </c>
      <c r="H29" s="430"/>
      <c r="I29" s="430"/>
      <c r="J29" s="430"/>
      <c r="K29" s="430"/>
      <c r="L29" s="430"/>
      <c r="M29" s="795"/>
      <c r="AI29" s="538">
        <v>19</v>
      </c>
    </row>
    <row r="30" spans="5:35" ht="19.899999999999999" customHeight="1">
      <c r="E30" s="429" t="s">
        <v>758</v>
      </c>
      <c r="F30" s="888" t="s">
        <v>759</v>
      </c>
      <c r="G30" s="542" t="s">
        <v>563</v>
      </c>
      <c r="H30" s="430"/>
      <c r="I30" s="430"/>
      <c r="J30" s="430"/>
      <c r="K30" s="430"/>
      <c r="L30" s="430"/>
      <c r="M30" s="795"/>
      <c r="AI30" s="538">
        <v>19</v>
      </c>
    </row>
    <row r="31" spans="5:35" ht="19.899999999999999" customHeight="1">
      <c r="E31" s="429" t="s">
        <v>760</v>
      </c>
      <c r="F31" s="888" t="s">
        <v>761</v>
      </c>
      <c r="G31" s="542" t="s">
        <v>563</v>
      </c>
      <c r="H31" s="430"/>
      <c r="I31" s="430"/>
      <c r="J31" s="430"/>
      <c r="K31" s="430"/>
      <c r="L31" s="430"/>
      <c r="M31" s="795"/>
      <c r="AI31" s="538">
        <v>19</v>
      </c>
    </row>
    <row r="32" spans="5:35" ht="35.65" customHeight="1">
      <c r="E32" s="429" t="s">
        <v>762</v>
      </c>
      <c r="F32" s="888" t="s">
        <v>763</v>
      </c>
      <c r="G32" s="617" t="s">
        <v>563</v>
      </c>
      <c r="H32" s="412">
        <f>SUM(H33:H34)</f>
        <v>0</v>
      </c>
      <c r="I32" s="412">
        <f>SUM(I33:I34)</f>
        <v>0</v>
      </c>
      <c r="J32" s="412">
        <f>SUM(J33:J34)</f>
        <v>0</v>
      </c>
      <c r="K32" s="412">
        <f>SUM(K33:K34)</f>
        <v>0</v>
      </c>
      <c r="L32" s="412">
        <f>SUM(L33:L34)</f>
        <v>0</v>
      </c>
      <c r="M32" s="795" t="s">
        <v>764</v>
      </c>
      <c r="AI32" s="555">
        <v>34</v>
      </c>
    </row>
    <row r="33" spans="1:35" ht="1.1499999999999999" customHeight="1">
      <c r="E33" s="584" t="str">
        <f>E32&amp;".0"</f>
        <v>2.8.0</v>
      </c>
      <c r="F33" s="927"/>
      <c r="G33" s="584"/>
      <c r="H33" s="413"/>
      <c r="I33" s="413"/>
      <c r="J33" s="413"/>
      <c r="K33" s="413"/>
      <c r="L33" s="413"/>
      <c r="M33" s="928"/>
      <c r="AI33" s="577">
        <v>1</v>
      </c>
    </row>
    <row r="34" spans="1:35" ht="19.899999999999999" customHeight="1">
      <c r="E34" s="409"/>
      <c r="F34" s="431" t="s">
        <v>594</v>
      </c>
      <c r="G34" s="761"/>
      <c r="H34" s="905"/>
      <c r="I34" s="905"/>
      <c r="J34" s="394"/>
      <c r="K34" s="394"/>
      <c r="L34" s="394"/>
      <c r="M34" s="817" t="s">
        <v>765</v>
      </c>
      <c r="AI34" s="555">
        <v>19</v>
      </c>
    </row>
    <row r="35" spans="1:35" ht="60" customHeight="1">
      <c r="E35" s="429" t="s">
        <v>766</v>
      </c>
      <c r="F35" s="888" t="s">
        <v>767</v>
      </c>
      <c r="G35" s="542" t="s">
        <v>563</v>
      </c>
      <c r="H35" s="430"/>
      <c r="I35" s="430"/>
      <c r="J35" s="430"/>
      <c r="K35" s="430"/>
      <c r="L35" s="430"/>
      <c r="M35" s="795" t="s">
        <v>768</v>
      </c>
      <c r="AI35" s="538">
        <v>57</v>
      </c>
    </row>
    <row r="36" spans="1:35" ht="24" customHeight="1">
      <c r="A36" s="410" t="s">
        <v>595</v>
      </c>
      <c r="E36" s="428" t="s">
        <v>89</v>
      </c>
      <c r="F36" s="619" t="s">
        <v>769</v>
      </c>
      <c r="G36" s="542" t="s">
        <v>563</v>
      </c>
      <c r="H36" s="406"/>
      <c r="I36" s="406"/>
      <c r="J36" s="406"/>
      <c r="K36" s="406"/>
      <c r="L36" s="406"/>
      <c r="M36" s="795" t="s">
        <v>770</v>
      </c>
      <c r="AI36" s="555">
        <v>23</v>
      </c>
    </row>
    <row r="37" spans="1:35" ht="35.65" customHeight="1">
      <c r="A37" s="410"/>
      <c r="E37" s="428" t="s">
        <v>335</v>
      </c>
      <c r="F37" s="888" t="s">
        <v>771</v>
      </c>
      <c r="G37" s="542"/>
      <c r="H37" s="406"/>
      <c r="I37" s="406"/>
      <c r="J37" s="406"/>
      <c r="K37" s="406"/>
      <c r="L37" s="406"/>
      <c r="M37" s="795"/>
      <c r="AI37" s="555">
        <v>34</v>
      </c>
    </row>
    <row r="38" spans="1:35" ht="19.899999999999999" customHeight="1">
      <c r="E38" s="428" t="s">
        <v>90</v>
      </c>
      <c r="F38" s="619" t="s">
        <v>772</v>
      </c>
      <c r="G38" s="542" t="s">
        <v>563</v>
      </c>
      <c r="H38" s="406"/>
      <c r="I38" s="406"/>
      <c r="J38" s="406"/>
      <c r="K38" s="406"/>
      <c r="L38" s="406"/>
      <c r="M38" s="795" t="s">
        <v>773</v>
      </c>
      <c r="AI38" s="555">
        <v>19</v>
      </c>
    </row>
    <row r="39" spans="1:35" ht="24" customHeight="1">
      <c r="E39" s="428" t="s">
        <v>774</v>
      </c>
      <c r="F39" s="888" t="s">
        <v>775</v>
      </c>
      <c r="G39" s="542" t="s">
        <v>563</v>
      </c>
      <c r="H39" s="406"/>
      <c r="I39" s="406"/>
      <c r="J39" s="406"/>
      <c r="K39" s="406"/>
      <c r="L39" s="406"/>
      <c r="M39" s="795" t="s">
        <v>776</v>
      </c>
      <c r="AI39" s="555">
        <v>23</v>
      </c>
    </row>
    <row r="40" spans="1:35" ht="24" customHeight="1">
      <c r="E40" s="428" t="s">
        <v>777</v>
      </c>
      <c r="F40" s="925" t="s">
        <v>778</v>
      </c>
      <c r="G40" s="542" t="s">
        <v>563</v>
      </c>
      <c r="H40" s="406"/>
      <c r="I40" s="406"/>
      <c r="J40" s="406"/>
      <c r="K40" s="406"/>
      <c r="L40" s="406"/>
      <c r="M40" s="795" t="s">
        <v>779</v>
      </c>
      <c r="AI40" s="555">
        <v>23</v>
      </c>
    </row>
    <row r="41" spans="1:35" ht="24" customHeight="1">
      <c r="E41" s="428" t="s">
        <v>780</v>
      </c>
      <c r="F41" s="925" t="s">
        <v>781</v>
      </c>
      <c r="G41" s="542" t="s">
        <v>563</v>
      </c>
      <c r="H41" s="406"/>
      <c r="I41" s="406"/>
      <c r="J41" s="406"/>
      <c r="K41" s="406"/>
      <c r="L41" s="406"/>
      <c r="M41" s="795" t="s">
        <v>782</v>
      </c>
      <c r="AI41" s="555">
        <v>23</v>
      </c>
    </row>
    <row r="42" spans="1:35" ht="24" customHeight="1">
      <c r="E42" s="428" t="s">
        <v>783</v>
      </c>
      <c r="F42" s="925" t="s">
        <v>784</v>
      </c>
      <c r="G42" s="542" t="s">
        <v>563</v>
      </c>
      <c r="H42" s="406"/>
      <c r="I42" s="406"/>
      <c r="J42" s="406"/>
      <c r="K42" s="406"/>
      <c r="L42" s="406"/>
      <c r="M42" s="795" t="s">
        <v>785</v>
      </c>
      <c r="AI42" s="555">
        <v>23</v>
      </c>
    </row>
    <row r="43" spans="1:35" ht="35.65" customHeight="1">
      <c r="C43" s="577" t="s">
        <v>606</v>
      </c>
      <c r="E43" s="428" t="s">
        <v>115</v>
      </c>
      <c r="F43" s="619" t="s">
        <v>650</v>
      </c>
      <c r="G43" s="583" t="s">
        <v>786</v>
      </c>
      <c r="H43" s="997"/>
      <c r="I43" s="997"/>
      <c r="J43" s="997"/>
      <c r="K43" s="997"/>
      <c r="L43" s="997"/>
      <c r="M43" s="795" t="s">
        <v>787</v>
      </c>
      <c r="AI43" s="555">
        <v>34</v>
      </c>
    </row>
    <row r="44" spans="1:35" ht="35.65" customHeight="1">
      <c r="E44" s="428" t="s">
        <v>91</v>
      </c>
      <c r="F44" s="619" t="s">
        <v>788</v>
      </c>
      <c r="G44" s="542" t="s">
        <v>789</v>
      </c>
      <c r="H44" s="403"/>
      <c r="I44" s="403"/>
      <c r="J44" s="403"/>
      <c r="K44" s="403"/>
      <c r="L44" s="403"/>
      <c r="M44" s="795" t="s">
        <v>790</v>
      </c>
      <c r="AI44" s="555">
        <v>34</v>
      </c>
    </row>
    <row r="45" spans="1:35" ht="24" customHeight="1">
      <c r="E45" s="428" t="s">
        <v>92</v>
      </c>
      <c r="F45" s="619" t="s">
        <v>791</v>
      </c>
      <c r="G45" s="542" t="s">
        <v>792</v>
      </c>
      <c r="H45" s="403"/>
      <c r="I45" s="403"/>
      <c r="J45" s="403"/>
      <c r="K45" s="403"/>
      <c r="L45" s="403"/>
      <c r="M45" s="795" t="s">
        <v>793</v>
      </c>
      <c r="AI45" s="555">
        <v>23</v>
      </c>
    </row>
    <row r="46" spans="1:35" ht="19.899999999999999" customHeight="1">
      <c r="E46" s="428" t="s">
        <v>116</v>
      </c>
      <c r="F46" s="619" t="s">
        <v>794</v>
      </c>
      <c r="G46" s="542" t="s">
        <v>608</v>
      </c>
      <c r="H46" s="411"/>
      <c r="I46" s="411"/>
      <c r="J46" s="411"/>
      <c r="K46" s="411"/>
      <c r="L46" s="411"/>
      <c r="M46" s="795"/>
      <c r="AI46" s="555">
        <v>19</v>
      </c>
    </row>
    <row r="47" spans="1:35" ht="11.45" customHeight="1">
      <c r="AI47" s="538">
        <v>11</v>
      </c>
    </row>
    <row r="48" spans="1:35" ht="11.45" customHeight="1">
      <c r="AI48" s="681">
        <v>11</v>
      </c>
    </row>
    <row r="49" spans="35:35" ht="11.45" customHeight="1">
      <c r="AI49" s="681">
        <v>11</v>
      </c>
    </row>
    <row r="50" spans="35:35" ht="11.45" customHeight="1">
      <c r="AI50" s="681">
        <v>11</v>
      </c>
    </row>
    <row r="51" spans="35:35" ht="11.45" customHeight="1">
      <c r="AI51" s="681">
        <v>11</v>
      </c>
    </row>
    <row r="52" spans="35:35" ht="11.45" customHeight="1">
      <c r="AI52" s="681">
        <v>11</v>
      </c>
    </row>
    <row r="53" spans="35:35" ht="11.45" customHeight="1">
      <c r="AI53" s="681">
        <v>11</v>
      </c>
    </row>
    <row r="54" spans="35:35" ht="11.45" customHeight="1">
      <c r="AI54" s="681">
        <v>11</v>
      </c>
    </row>
    <row r="55" spans="35:35" ht="11.45" customHeight="1">
      <c r="AI55" s="681">
        <v>11</v>
      </c>
    </row>
    <row r="56" spans="35:35" ht="11.45" customHeight="1">
      <c r="AI56" s="681">
        <v>11</v>
      </c>
    </row>
    <row r="57" spans="35:35" ht="11.45" customHeight="1">
      <c r="AI57" s="681">
        <v>11</v>
      </c>
    </row>
    <row r="58" spans="35:35" ht="11.45" customHeight="1">
      <c r="AI58" s="681">
        <v>11</v>
      </c>
    </row>
    <row r="59" spans="35:35" ht="11.45" customHeight="1">
      <c r="AI59" s="681">
        <v>11</v>
      </c>
    </row>
    <row r="60" spans="35:35" ht="11.45" customHeight="1">
      <c r="AI60" s="681">
        <v>11</v>
      </c>
    </row>
    <row r="61" spans="35:35" ht="11.45" customHeight="1">
      <c r="AI61" s="681">
        <v>11</v>
      </c>
    </row>
    <row r="62" spans="35:35" ht="11.45" customHeight="1">
      <c r="AI62" s="681">
        <v>11</v>
      </c>
    </row>
    <row r="63" spans="35:35" ht="11.45" customHeight="1">
      <c r="AI63" s="681">
        <v>11</v>
      </c>
    </row>
    <row r="64" spans="35:35" ht="11.45" customHeight="1">
      <c r="AI64" s="681">
        <v>11</v>
      </c>
    </row>
    <row r="65" spans="35:35" ht="11.45" customHeight="1">
      <c r="AI65" s="681">
        <v>11</v>
      </c>
    </row>
    <row r="66" spans="35:35" ht="11.45" customHeight="1">
      <c r="AI66" s="681">
        <v>11</v>
      </c>
    </row>
    <row r="67" spans="35:35" ht="11.45" customHeight="1">
      <c r="AI67" s="681">
        <v>11</v>
      </c>
    </row>
    <row r="68" spans="35:35" ht="11.45" customHeight="1">
      <c r="AI68" s="681">
        <v>11</v>
      </c>
    </row>
    <row r="69" spans="35:35" ht="11.45" customHeight="1">
      <c r="AI69" s="681">
        <v>11</v>
      </c>
    </row>
    <row r="70" spans="35:35" ht="11.45" customHeight="1">
      <c r="AI70" s="681">
        <v>11</v>
      </c>
    </row>
    <row r="71" spans="35:35" ht="11.45" customHeight="1">
      <c r="AI71" s="681">
        <v>11</v>
      </c>
    </row>
    <row r="72" spans="35:35" ht="11.45" customHeight="1">
      <c r="AI72" s="681">
        <v>11</v>
      </c>
    </row>
    <row r="73" spans="35:35" ht="11.45" customHeight="1">
      <c r="AI73" s="681">
        <v>11</v>
      </c>
    </row>
    <row r="74" spans="35:35" ht="11.45" customHeight="1">
      <c r="AI74" s="681">
        <v>11</v>
      </c>
    </row>
    <row r="75" spans="35:35" ht="11.45" customHeight="1">
      <c r="AI75" s="681">
        <v>11</v>
      </c>
    </row>
    <row r="76" spans="35:35" ht="11.45" customHeight="1">
      <c r="AI76" s="681">
        <v>11</v>
      </c>
    </row>
    <row r="77" spans="35:35" ht="11.45" customHeight="1">
      <c r="AI77" s="681">
        <v>11</v>
      </c>
    </row>
    <row r="78" spans="35:35" ht="11.45" customHeight="1">
      <c r="AI78" s="681">
        <v>11</v>
      </c>
    </row>
    <row r="79" spans="35:35" ht="11.45" customHeight="1">
      <c r="AI79" s="681">
        <v>11</v>
      </c>
    </row>
    <row r="80" spans="35:35" ht="11.45" customHeight="1">
      <c r="AI80" s="681">
        <v>11</v>
      </c>
    </row>
    <row r="81" spans="35:35" ht="11.45" customHeight="1">
      <c r="AI81" s="681">
        <v>11</v>
      </c>
    </row>
    <row r="82" spans="35:35" ht="11.45" customHeight="1">
      <c r="AI82" s="681">
        <v>11</v>
      </c>
    </row>
    <row r="83" spans="35:35" ht="11.45" customHeight="1">
      <c r="AI83" s="681">
        <v>11</v>
      </c>
    </row>
    <row r="84" spans="35:35" ht="11.45" customHeight="1">
      <c r="AI84" s="681">
        <v>11</v>
      </c>
    </row>
    <row r="85" spans="35:35" ht="11.45" customHeight="1">
      <c r="AI85" s="681">
        <v>11</v>
      </c>
    </row>
    <row r="86" spans="35:35" ht="11.45" customHeight="1">
      <c r="AI86" s="681">
        <v>11</v>
      </c>
    </row>
    <row r="87" spans="35:35" ht="11.45" customHeight="1">
      <c r="AI87" s="681">
        <v>11</v>
      </c>
    </row>
    <row r="88" spans="35:35" ht="11.45" customHeight="1">
      <c r="AI88" s="681">
        <v>11</v>
      </c>
    </row>
    <row r="89" spans="35:35" ht="11.45" customHeight="1">
      <c r="AI89" s="681">
        <v>11</v>
      </c>
    </row>
    <row r="90" spans="35:35" ht="11.45" customHeight="1">
      <c r="AI90" s="681">
        <v>11</v>
      </c>
    </row>
    <row r="91" spans="35:35" ht="11.45" customHeight="1">
      <c r="AI91" s="681">
        <v>11</v>
      </c>
    </row>
    <row r="92" spans="35:35" ht="11.45" customHeight="1">
      <c r="AI92" s="681">
        <v>11</v>
      </c>
    </row>
    <row r="93" spans="35:35" ht="11.45" customHeight="1">
      <c r="AI93" s="681">
        <v>11</v>
      </c>
    </row>
    <row r="94" spans="35:35" ht="11.45" customHeight="1">
      <c r="AI94" s="681">
        <v>11</v>
      </c>
    </row>
    <row r="95" spans="35:35" ht="11.45" customHeight="1">
      <c r="AI95" s="681">
        <v>11</v>
      </c>
    </row>
    <row r="96" spans="35:35" ht="11.45" customHeight="1">
      <c r="AI96" s="681">
        <v>11</v>
      </c>
    </row>
    <row r="97" spans="35:35" ht="11.45" customHeight="1">
      <c r="AI97" s="681">
        <v>11</v>
      </c>
    </row>
    <row r="98" spans="35:35" ht="11.45" customHeight="1">
      <c r="AI98" s="681">
        <v>11</v>
      </c>
    </row>
    <row r="99" spans="35:35" ht="11.45" customHeight="1">
      <c r="AI99" s="681">
        <v>11</v>
      </c>
    </row>
    <row r="100" spans="35:35" ht="11.45" customHeight="1">
      <c r="AI100" s="681">
        <v>11</v>
      </c>
    </row>
    <row r="101" spans="35:35" ht="11.45" customHeight="1">
      <c r="AI101" s="681">
        <v>11</v>
      </c>
    </row>
    <row r="102" spans="35:35" ht="11.45" customHeight="1">
      <c r="AI102" s="681">
        <v>11</v>
      </c>
    </row>
    <row r="103" spans="35:35" ht="11.45" customHeight="1">
      <c r="AI103" s="681">
        <v>11</v>
      </c>
    </row>
    <row r="104" spans="35:35" ht="11.45" customHeight="1">
      <c r="AI104" s="681">
        <v>11</v>
      </c>
    </row>
    <row r="105" spans="35:35" ht="11.45" customHeight="1">
      <c r="AI105" s="681">
        <v>11</v>
      </c>
    </row>
    <row r="106" spans="35:35" ht="11.45" customHeight="1">
      <c r="AI106" s="681">
        <v>11</v>
      </c>
    </row>
    <row r="107" spans="35:35" ht="11.45" customHeight="1">
      <c r="AI107" s="681">
        <v>11</v>
      </c>
    </row>
    <row r="108" spans="35:35" ht="11.45" customHeight="1">
      <c r="AI108" s="681">
        <v>11</v>
      </c>
    </row>
    <row r="109" spans="35:35" ht="11.45" customHeight="1">
      <c r="AI109" s="681">
        <v>11</v>
      </c>
    </row>
    <row r="110" spans="35:35" ht="11.45" customHeight="1">
      <c r="AI110" s="681">
        <v>11</v>
      </c>
    </row>
    <row r="111" spans="35:35" ht="11.45" customHeight="1">
      <c r="AI111" s="681">
        <v>11</v>
      </c>
    </row>
    <row r="112" spans="35:35" ht="11.45" customHeight="1">
      <c r="AI112" s="681">
        <v>11</v>
      </c>
    </row>
    <row r="113" spans="35:35" ht="11.45" customHeight="1">
      <c r="AI113" s="681">
        <v>11</v>
      </c>
    </row>
    <row r="114" spans="35:35" ht="11.45" customHeight="1">
      <c r="AI114" s="681">
        <v>11</v>
      </c>
    </row>
    <row r="115" spans="35:35" ht="11.45" customHeight="1">
      <c r="AI115" s="681">
        <v>11</v>
      </c>
    </row>
    <row r="116" spans="35:35" ht="11.45" customHeight="1">
      <c r="AI116" s="681">
        <v>11</v>
      </c>
    </row>
    <row r="117" spans="35:35" ht="11.45" customHeight="1">
      <c r="AI117" s="681">
        <v>11</v>
      </c>
    </row>
    <row r="118" spans="35:35" ht="11.45" customHeight="1">
      <c r="AI118" s="681">
        <v>11</v>
      </c>
    </row>
    <row r="119" spans="35:35" ht="11.45" customHeight="1">
      <c r="AI119" s="681">
        <v>11</v>
      </c>
    </row>
    <row r="120" spans="35:35" ht="11.45" customHeight="1">
      <c r="AI120" s="681">
        <v>11</v>
      </c>
    </row>
    <row r="121" spans="35:35" ht="11.45" customHeight="1">
      <c r="AI121" s="681">
        <v>11</v>
      </c>
    </row>
    <row r="122" spans="35:35" ht="11.45" customHeight="1">
      <c r="AI122" s="681">
        <v>11</v>
      </c>
    </row>
    <row r="123" spans="35:35" ht="11.45" customHeight="1">
      <c r="AI123" s="681">
        <v>11</v>
      </c>
    </row>
    <row r="124" spans="35:35" ht="11.45" customHeight="1">
      <c r="AI124" s="681">
        <v>11</v>
      </c>
    </row>
    <row r="125" spans="35:35" ht="11.45" customHeight="1">
      <c r="AI125" s="681">
        <v>11</v>
      </c>
    </row>
    <row r="126" spans="35:35" ht="11.45" customHeight="1">
      <c r="AI126" s="681">
        <v>11</v>
      </c>
    </row>
    <row r="127" spans="35:35" ht="11.45" customHeight="1">
      <c r="AI127" s="681">
        <v>11</v>
      </c>
    </row>
    <row r="128" spans="35:35" ht="11.45" customHeight="1">
      <c r="AI128" s="681">
        <v>11</v>
      </c>
    </row>
    <row r="129" spans="35:35" ht="11.45" customHeight="1">
      <c r="AI129" s="681">
        <v>11</v>
      </c>
    </row>
    <row r="130" spans="35:35" ht="11.45" customHeight="1">
      <c r="AI130" s="681">
        <v>11</v>
      </c>
    </row>
    <row r="131" spans="35:35" ht="11.45" customHeight="1">
      <c r="AI131" s="681">
        <v>11</v>
      </c>
    </row>
    <row r="132" spans="35:35" ht="11.45" customHeight="1">
      <c r="AI132" s="681">
        <v>11</v>
      </c>
    </row>
    <row r="133" spans="35:35" ht="11.45" customHeight="1">
      <c r="AI133" s="681">
        <v>11</v>
      </c>
    </row>
    <row r="134" spans="35:35" ht="11.45" customHeight="1">
      <c r="AI134" s="681">
        <v>11</v>
      </c>
    </row>
    <row r="135" spans="35:35" ht="11.45" customHeight="1">
      <c r="AI135" s="681">
        <v>11</v>
      </c>
    </row>
    <row r="136" spans="35:35" ht="11.45" customHeight="1">
      <c r="AI136" s="681">
        <v>11</v>
      </c>
    </row>
    <row r="137" spans="35:35" ht="11.45" customHeight="1">
      <c r="AI137" s="681">
        <v>11</v>
      </c>
    </row>
    <row r="138" spans="35:35" ht="11.45" customHeight="1">
      <c r="AI138" s="681">
        <v>11</v>
      </c>
    </row>
    <row r="139" spans="35:35" ht="11.45" customHeight="1">
      <c r="AI139" s="681">
        <v>11</v>
      </c>
    </row>
    <row r="140" spans="35:35" ht="11.45" customHeight="1">
      <c r="AI140" s="681">
        <v>11</v>
      </c>
    </row>
    <row r="141" spans="35:35" ht="11.45" customHeight="1">
      <c r="AI141" s="681">
        <v>11</v>
      </c>
    </row>
    <row r="142" spans="35:35" ht="11.45" customHeight="1">
      <c r="AI142" s="681">
        <v>11</v>
      </c>
    </row>
    <row r="143" spans="35:35" ht="11.45" customHeight="1">
      <c r="AI143" s="681">
        <v>11</v>
      </c>
    </row>
    <row r="144" spans="35:35" ht="11.45" customHeight="1">
      <c r="AI144" s="681">
        <v>11</v>
      </c>
    </row>
    <row r="145" spans="35:35" ht="11.45" customHeight="1">
      <c r="AI145" s="681">
        <v>11</v>
      </c>
    </row>
    <row r="146" spans="35:35" ht="11.45" customHeight="1">
      <c r="AI146" s="681">
        <v>11</v>
      </c>
    </row>
    <row r="147" spans="35:35" ht="11.45" customHeight="1">
      <c r="AI147" s="681">
        <v>11</v>
      </c>
    </row>
    <row r="148" spans="35:35" ht="11.45" customHeight="1">
      <c r="AI148" s="681">
        <v>11</v>
      </c>
    </row>
    <row r="149" spans="35:35" ht="11.45" customHeight="1">
      <c r="AI149" s="681">
        <v>11</v>
      </c>
    </row>
    <row r="150" spans="35:35" ht="11.45" customHeight="1">
      <c r="AI150" s="681">
        <v>11</v>
      </c>
    </row>
    <row r="151" spans="35:35" ht="11.45" customHeight="1">
      <c r="AI151" s="681">
        <v>11</v>
      </c>
    </row>
    <row r="152" spans="35:35" ht="11.45" customHeight="1">
      <c r="AI152" s="681">
        <v>11</v>
      </c>
    </row>
    <row r="153" spans="35:35" ht="11.45" customHeight="1">
      <c r="AI153" s="681">
        <v>11</v>
      </c>
    </row>
    <row r="154" spans="35:35" ht="11.45" customHeight="1">
      <c r="AI154" s="681">
        <v>11</v>
      </c>
    </row>
    <row r="155" spans="35:35" ht="11.45" customHeight="1">
      <c r="AI155" s="681">
        <v>11</v>
      </c>
    </row>
    <row r="156" spans="35:35" ht="11.45" customHeight="1">
      <c r="AI156" s="681">
        <v>11</v>
      </c>
    </row>
    <row r="157" spans="35:35" ht="11.45" customHeight="1">
      <c r="AI157" s="681">
        <v>11</v>
      </c>
    </row>
    <row r="158" spans="35:35" ht="11.45" customHeight="1">
      <c r="AI158" s="681">
        <v>11</v>
      </c>
    </row>
    <row r="159" spans="35:35" ht="11.45" customHeight="1">
      <c r="AI159" s="681">
        <v>11</v>
      </c>
    </row>
    <row r="160" spans="35:35" ht="11.45" customHeight="1">
      <c r="AI160" s="681">
        <v>11</v>
      </c>
    </row>
    <row r="161" spans="35:35" ht="11.45" customHeight="1">
      <c r="AI161" s="681">
        <v>11</v>
      </c>
    </row>
    <row r="162" spans="35:35" ht="11.45" customHeight="1">
      <c r="AI162" s="681">
        <v>11</v>
      </c>
    </row>
    <row r="163" spans="35:35" ht="11.45" customHeight="1">
      <c r="AI163" s="681">
        <v>11</v>
      </c>
    </row>
    <row r="164" spans="35:35" ht="11.45" customHeight="1">
      <c r="AI164" s="681">
        <v>11</v>
      </c>
    </row>
    <row r="165" spans="35:35" ht="11.45" customHeight="1">
      <c r="AI165" s="681">
        <v>11</v>
      </c>
    </row>
    <row r="166" spans="35:35" ht="11.45" customHeight="1">
      <c r="AI166" s="681">
        <v>11</v>
      </c>
    </row>
    <row r="167" spans="35:35" ht="11.45" customHeight="1">
      <c r="AI167" s="681">
        <v>11</v>
      </c>
    </row>
    <row r="168" spans="35:35" ht="11.45" customHeight="1">
      <c r="AI168" s="681">
        <v>11</v>
      </c>
    </row>
    <row r="169" spans="35:35" ht="11.45" customHeight="1">
      <c r="AI169" s="681">
        <v>11</v>
      </c>
    </row>
    <row r="170" spans="35:35" ht="11.45" customHeight="1">
      <c r="AI170" s="681">
        <v>11</v>
      </c>
    </row>
    <row r="171" spans="35:35" ht="11.45" customHeight="1">
      <c r="AI171" s="681">
        <v>11</v>
      </c>
    </row>
    <row r="172" spans="35:35" ht="11.45" customHeight="1">
      <c r="AI172" s="681">
        <v>11</v>
      </c>
    </row>
    <row r="173" spans="35:35" ht="11.45" customHeight="1">
      <c r="AI173" s="681">
        <v>11</v>
      </c>
    </row>
    <row r="174" spans="35:35" ht="11.45" customHeight="1">
      <c r="AI174" s="681">
        <v>11</v>
      </c>
    </row>
    <row r="175" spans="35:35" ht="11.45" customHeight="1">
      <c r="AI175" s="681">
        <v>11</v>
      </c>
    </row>
    <row r="176" spans="35:35" ht="11.45" customHeight="1">
      <c r="AI176" s="681">
        <v>11</v>
      </c>
    </row>
    <row r="177" spans="35:35" ht="11.45" customHeight="1">
      <c r="AI177" s="681">
        <v>11</v>
      </c>
    </row>
    <row r="178" spans="35:35" ht="11.45" customHeight="1">
      <c r="AI178" s="681">
        <v>11</v>
      </c>
    </row>
    <row r="179" spans="35:35" ht="11.45" customHeight="1">
      <c r="AI179" s="681">
        <v>11</v>
      </c>
    </row>
    <row r="180" spans="35:35" ht="11.45" customHeight="1">
      <c r="AI180" s="681">
        <v>11</v>
      </c>
    </row>
    <row r="181" spans="35:35" ht="11.45" customHeight="1">
      <c r="AI181" s="681">
        <v>11</v>
      </c>
    </row>
    <row r="182" spans="35:35" ht="11.45" customHeight="1">
      <c r="AI182" s="681">
        <v>11</v>
      </c>
    </row>
    <row r="183" spans="35:35" ht="11.45" customHeight="1">
      <c r="AI183" s="681">
        <v>11</v>
      </c>
    </row>
    <row r="184" spans="35:35" ht="11.45" customHeight="1">
      <c r="AI184" s="681">
        <v>11</v>
      </c>
    </row>
    <row r="185" spans="35:35" ht="11.45" customHeight="1">
      <c r="AI185" s="681">
        <v>11</v>
      </c>
    </row>
    <row r="186" spans="35:35" ht="11.45" customHeight="1">
      <c r="AI186" s="681">
        <v>11</v>
      </c>
    </row>
    <row r="187" spans="35:35" ht="11.45" customHeight="1">
      <c r="AI187" s="681">
        <v>11</v>
      </c>
    </row>
    <row r="188" spans="35:35" ht="11.45" customHeight="1">
      <c r="AI188" s="681">
        <v>11</v>
      </c>
    </row>
    <row r="189" spans="35:35" ht="11.45" customHeight="1">
      <c r="AI189" s="681">
        <v>11</v>
      </c>
    </row>
    <row r="190" spans="35:35" ht="11.45" customHeight="1">
      <c r="AI190" s="681">
        <v>11</v>
      </c>
    </row>
    <row r="191" spans="35:35" ht="11.45" customHeight="1">
      <c r="AI191" s="681">
        <v>11</v>
      </c>
    </row>
    <row r="192" spans="35:35" ht="11.45" customHeight="1">
      <c r="AI192" s="681">
        <v>11</v>
      </c>
    </row>
    <row r="193" spans="35:35" ht="11.45" customHeight="1">
      <c r="AI193" s="681">
        <v>11</v>
      </c>
    </row>
    <row r="194" spans="35:35" ht="11.45" customHeight="1">
      <c r="AI194" s="681">
        <v>11</v>
      </c>
    </row>
    <row r="195" spans="35:35" ht="11.45" customHeight="1">
      <c r="AI195" s="681">
        <v>11</v>
      </c>
    </row>
    <row r="196" spans="35:35" ht="11.45" customHeight="1">
      <c r="AI196" s="681">
        <v>11</v>
      </c>
    </row>
    <row r="197" spans="35:35" ht="11.45" customHeight="1">
      <c r="AI197" s="681">
        <v>11</v>
      </c>
    </row>
    <row r="198" spans="35:35" ht="11.45" customHeight="1">
      <c r="AI198" s="681">
        <v>11</v>
      </c>
    </row>
    <row r="199" spans="35:35" ht="11.45" customHeight="1">
      <c r="AI199" s="681">
        <v>11</v>
      </c>
    </row>
    <row r="200" spans="35:35" ht="11.45" customHeight="1">
      <c r="AI200" s="681">
        <v>11</v>
      </c>
    </row>
    <row r="201" spans="35:35" ht="11.45" customHeight="1">
      <c r="AI201" s="681">
        <v>11</v>
      </c>
    </row>
    <row r="202" spans="35:35" ht="11.45" customHeight="1">
      <c r="AI202" s="681">
        <v>11</v>
      </c>
    </row>
    <row r="203" spans="35:35" ht="11.45" customHeight="1">
      <c r="AI203" s="538">
        <v>11</v>
      </c>
    </row>
    <row r="204" spans="35:35" ht="11.45" customHeight="1">
      <c r="AI204" s="538">
        <v>11</v>
      </c>
    </row>
    <row r="205" spans="35:35" ht="11.45" customHeight="1">
      <c r="AI205" s="538">
        <v>11</v>
      </c>
    </row>
    <row r="206" spans="35:35" ht="11.45" customHeight="1">
      <c r="AI206" s="538">
        <v>11</v>
      </c>
    </row>
    <row r="207" spans="35:35" ht="11.45" customHeight="1">
      <c r="AI207" s="538">
        <v>11</v>
      </c>
    </row>
    <row r="208" spans="35:35" ht="11.45" customHeight="1">
      <c r="AI208" s="538">
        <v>11</v>
      </c>
    </row>
    <row r="209" spans="1:35" ht="11.45" customHeight="1">
      <c r="AI209" s="538">
        <v>11</v>
      </c>
    </row>
    <row r="210" spans="1:35" ht="11.45" customHeight="1">
      <c r="AI210" s="538">
        <v>11</v>
      </c>
    </row>
    <row r="211" spans="1:35" ht="11.45" customHeight="1">
      <c r="AI211" s="538">
        <v>11</v>
      </c>
    </row>
    <row r="212" spans="1:35" ht="11.45" customHeight="1">
      <c r="AI212" s="538">
        <v>11</v>
      </c>
    </row>
    <row r="213" spans="1:35" ht="11.45" customHeight="1">
      <c r="AI213" s="538">
        <v>11</v>
      </c>
    </row>
    <row r="214" spans="1:35" ht="11.45" customHeight="1">
      <c r="AI214" s="538">
        <v>11</v>
      </c>
    </row>
    <row r="215" spans="1:35" ht="11.45" customHeight="1">
      <c r="AI215" s="538">
        <v>11</v>
      </c>
    </row>
    <row r="216" spans="1:35" ht="11.45" customHeight="1">
      <c r="AI216" s="538">
        <v>11</v>
      </c>
    </row>
    <row r="217" spans="1:35" ht="11.25" hidden="1" customHeight="1">
      <c r="A217" s="423" t="s">
        <v>81</v>
      </c>
      <c r="B217" s="555">
        <v>0</v>
      </c>
      <c r="C217" s="577">
        <v>0</v>
      </c>
      <c r="D217" s="538">
        <v>3</v>
      </c>
      <c r="E217" s="538">
        <v>7</v>
      </c>
      <c r="F217" s="538">
        <v>56</v>
      </c>
      <c r="G217" s="538">
        <v>10</v>
      </c>
      <c r="H217" s="538">
        <v>0</v>
      </c>
      <c r="I217" s="538">
        <v>40</v>
      </c>
      <c r="J217" s="3">
        <v>0</v>
      </c>
      <c r="K217" s="3">
        <v>0</v>
      </c>
      <c r="L217" s="3">
        <v>0</v>
      </c>
      <c r="M217" s="538">
        <v>102</v>
      </c>
      <c r="N217" s="555">
        <v>9</v>
      </c>
      <c r="O217" s="577">
        <v>5</v>
      </c>
      <c r="P217" s="577">
        <v>3</v>
      </c>
      <c r="Q217" s="555">
        <v>3</v>
      </c>
      <c r="R217" s="555">
        <v>3</v>
      </c>
      <c r="S217" s="555">
        <v>3</v>
      </c>
      <c r="T217" s="555">
        <v>3</v>
      </c>
      <c r="U217" s="577">
        <v>10</v>
      </c>
      <c r="V217" s="555">
        <v>34</v>
      </c>
      <c r="W217" s="555">
        <v>9</v>
      </c>
      <c r="X217" s="936">
        <v>8</v>
      </c>
      <c r="Y217" s="555">
        <v>8</v>
      </c>
      <c r="Z217" s="555">
        <v>8</v>
      </c>
      <c r="AA217" s="555">
        <v>8</v>
      </c>
      <c r="AB217" s="555">
        <v>8</v>
      </c>
      <c r="AC217" s="555">
        <v>8</v>
      </c>
      <c r="AD217" s="536">
        <v>8</v>
      </c>
      <c r="AE217" s="536">
        <v>8</v>
      </c>
      <c r="AF217" s="536">
        <v>8</v>
      </c>
      <c r="AG217" s="536">
        <v>8</v>
      </c>
      <c r="AH217" s="536">
        <v>8</v>
      </c>
      <c r="AI217" s="538">
        <v>11</v>
      </c>
    </row>
  </sheetData>
  <sheetProtection formatColumns="0" formatRows="0" insertRows="0" deleteColumns="0" deleteRows="0" sort="0" autoFilter="0"/>
  <mergeCells count="7">
    <mergeCell ref="E6:I6"/>
    <mergeCell ref="E7:I7"/>
    <mergeCell ref="F10:G10"/>
    <mergeCell ref="M10:M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L33">
      <formula1>900</formula1>
    </dataValidation>
    <dataValidation type="decimal" allowBlank="1" showErrorMessage="1" errorTitle="Ошибка" error="Допускается ввод только неотрицательных чисел!" sqref="H38:L39 H2:L2 H15:L15 H17:L32 H35:L35 H44:L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L43">
      <formula1>900</formula1>
    </dataValidation>
    <dataValidation type="decimal" allowBlank="1" showErrorMessage="1" errorTitle="Ошибка" error="Допускается ввод только действительных чисел!" sqref="H36:L37">
      <formula1>-9.99999999999999E+23</formula1>
      <formula2>9.99999999999999E+23</formula2>
    </dataValidation>
    <dataValidation type="decimal" allowBlank="1" showErrorMessage="1" errorTitle="Ошибка" error="Допускается ввод только действительных чисел!" sqref="H40:L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210"/>
  <sheetViews>
    <sheetView showGridLines="0" zoomScale="90" workbookViewId="0">
      <pane xSplit="8" ySplit="14" topLeftCell="M15" activePane="bottomRight" state="frozen"/>
      <selection pane="topRight" activeCell="I1" sqref="I1"/>
      <selection pane="bottomLeft" activeCell="A15" sqref="A15"/>
      <selection pane="bottomRight" activeCell="M9" sqref="M9"/>
    </sheetView>
  </sheetViews>
  <sheetFormatPr defaultColWidth="9.140625" defaultRowHeight="11.25" customHeight="1"/>
  <cols>
    <col min="1" max="1" width="10.7109375" style="1029" hidden="1" customWidth="1"/>
    <col min="2" max="2" width="16.85546875" style="1029" hidden="1" customWidth="1"/>
    <col min="3" max="3" width="5.5703125" style="1029" hidden="1" customWidth="1"/>
    <col min="4" max="4" width="3" style="1029" customWidth="1"/>
    <col min="5" max="5" width="7" style="1029" customWidth="1"/>
    <col min="6" max="6" width="54" style="1029" customWidth="1"/>
    <col min="7" max="7" width="10" style="1029" customWidth="1"/>
    <col min="8" max="8" width="40.7109375" style="1029" hidden="1" customWidth="1"/>
    <col min="9" max="9" width="40" style="1029" customWidth="1"/>
    <col min="10" max="12" width="40.7109375" style="1029" customWidth="1"/>
    <col min="13" max="13" width="102" style="1029" customWidth="1"/>
    <col min="14" max="14" width="9" style="1029" customWidth="1"/>
    <col min="15" max="15" width="5" style="1029" customWidth="1"/>
    <col min="16" max="20" width="3" style="1029" customWidth="1"/>
    <col min="21" max="21" width="10" style="1029" customWidth="1"/>
    <col min="22" max="22" width="34" style="1029" customWidth="1"/>
    <col min="23" max="23" width="9" style="1029" customWidth="1"/>
    <col min="24" max="34" width="8" style="1029" customWidth="1"/>
    <col min="35" max="35" width="9.140625" style="1029" hidden="1"/>
  </cols>
  <sheetData>
    <row r="1" spans="5:35" ht="22.5" hidden="1" customHeight="1">
      <c r="H1" s="555">
        <v>4</v>
      </c>
      <c r="I1" s="555">
        <v>4</v>
      </c>
      <c r="J1" s="9">
        <v>4</v>
      </c>
      <c r="K1" s="9">
        <v>4</v>
      </c>
      <c r="L1" s="9">
        <v>4</v>
      </c>
      <c r="AI1" s="555" t="s">
        <v>14</v>
      </c>
    </row>
    <row r="2" spans="5:35" ht="22.5" hidden="1" customHeight="1">
      <c r="E2" s="583"/>
      <c r="F2" s="37"/>
      <c r="G2" s="583" t="s">
        <v>563</v>
      </c>
      <c r="H2" s="311"/>
      <c r="I2" s="311"/>
      <c r="J2" s="311"/>
      <c r="K2" s="311"/>
      <c r="L2" s="311"/>
      <c r="M2" s="916" t="s">
        <v>566</v>
      </c>
      <c r="AI2" s="555">
        <v>0</v>
      </c>
    </row>
    <row r="3" spans="5:35" ht="11.25" hidden="1" customHeight="1">
      <c r="J3"/>
      <c r="K3"/>
      <c r="L3"/>
      <c r="AI3" s="538">
        <v>0</v>
      </c>
    </row>
    <row r="4" spans="5:35" ht="11.25" hidden="1" customHeight="1">
      <c r="J4"/>
      <c r="K4"/>
      <c r="L4"/>
      <c r="M4" s="536">
        <v>4</v>
      </c>
      <c r="AI4" s="536">
        <v>0</v>
      </c>
    </row>
    <row r="5" spans="5:35" ht="11.45" customHeight="1">
      <c r="J5"/>
      <c r="K5"/>
      <c r="L5"/>
      <c r="AI5" s="538">
        <v>11</v>
      </c>
    </row>
    <row r="6" spans="5:35" ht="33.75" customHeight="1">
      <c r="E6" s="1178" t="s">
        <v>795</v>
      </c>
      <c r="F6" s="1178"/>
      <c r="G6" s="1178"/>
      <c r="H6" s="1178"/>
      <c r="I6" s="1178"/>
      <c r="J6" s="125"/>
      <c r="K6" s="125"/>
      <c r="L6" s="125"/>
      <c r="AI6" s="538">
        <v>32</v>
      </c>
    </row>
    <row r="7" spans="5:35" ht="25.15" customHeight="1">
      <c r="E7" s="1127" t="str">
        <f>IF(org=0,"Не определено",org)</f>
        <v>АО "НИЖЕГОРОДСКИЙ ВОДОКАНАЛ"</v>
      </c>
      <c r="F7" s="1127"/>
      <c r="G7" s="1127"/>
      <c r="H7" s="1127"/>
      <c r="I7" s="1127"/>
      <c r="J7" s="77"/>
      <c r="K7" s="77"/>
      <c r="L7" s="77"/>
      <c r="AI7" s="538">
        <v>24</v>
      </c>
    </row>
    <row r="8" spans="5:35" ht="11.45" customHeight="1">
      <c r="J8" t="s">
        <v>22</v>
      </c>
      <c r="K8" t="s">
        <v>22</v>
      </c>
      <c r="L8" t="s">
        <v>22</v>
      </c>
      <c r="AI8" s="538">
        <v>11</v>
      </c>
    </row>
    <row r="9" spans="5:35" ht="1.1499999999999999" customHeight="1">
      <c r="H9" s="918"/>
      <c r="I9" s="918" t="s">
        <v>122</v>
      </c>
      <c r="J9" s="404" t="s">
        <v>130</v>
      </c>
      <c r="K9" s="404" t="s">
        <v>132</v>
      </c>
      <c r="L9" s="404" t="s">
        <v>127</v>
      </c>
      <c r="AI9" s="577">
        <v>1</v>
      </c>
    </row>
    <row r="10" spans="5:35" ht="11.45" customHeight="1">
      <c r="E10" s="897"/>
      <c r="F10" s="1275" t="s">
        <v>110</v>
      </c>
      <c r="G10" s="1276"/>
      <c r="H10" s="919" t="str">
        <f>IF(H9="","",INDEX(DIFFERENTIATION_UNMERGE_VD,MATCH(H9,DIFFERENTIATION_ID_DIFF,0)))</f>
        <v/>
      </c>
      <c r="I10" s="919" t="str">
        <f>IF(I9="","",INDEX(DIFFERENTIATION_UNMERGE_VD,MATCH(I9,DIFFERENTIATION_ID_DIFF,0)))</f>
        <v>Холодное водоснабжение. Питьевая вода</v>
      </c>
      <c r="J10" s="405" t="str">
        <f>IF(J9="","",INDEX(DIFFERENTIATION_UNMERGE_VD,MATCH(J9,DIFFERENTIATION_ID_DIFF,0)))</f>
        <v>Холодное водоснабжение. Техническая вода</v>
      </c>
      <c r="K10" s="405" t="str">
        <f>IF(K9="","",INDEX(DIFFERENTIATION_UNMERGE_VD,MATCH(K9,DIFFERENTIATION_ID_DIFF,0)))</f>
        <v>Подключение (технологическое присоединение) к централизованной системе водоснабжения</v>
      </c>
      <c r="L10" s="405" t="str">
        <f>IF(L9="","",INDEX(DIFFERENTIATION_UNMERGE_VD,MATCH(L9,DIFFERENTIATION_ID_DIFF,0)))</f>
        <v>Холодное водоснабжение. Питьевая вода</v>
      </c>
      <c r="M10" s="1066"/>
      <c r="AI10" s="538">
        <v>11</v>
      </c>
    </row>
    <row r="11" spans="5:35" ht="11.45" customHeight="1">
      <c r="E11" s="897"/>
      <c r="F11" s="1275" t="s">
        <v>575</v>
      </c>
      <c r="G11" s="1276"/>
      <c r="H11" s="919" t="str">
        <f>IF(H9="","",INDEX(DIFFERENTIATION_UNMERGE_AREA,MATCH(H9,DIFFERENTIATION_ID_DIFF,0)))</f>
        <v/>
      </c>
      <c r="I11" s="919" t="str">
        <f>IF(I9="","",INDEX(DIFFERENTIATION_UNMERGE_AREA,MATCH(I9,DIFFERENTIATION_ID_DIFF,0)))</f>
        <v>Территория 1</v>
      </c>
      <c r="J11" s="405" t="str">
        <f>IF(J9="","",INDEX(DIFFERENTIATION_UNMERGE_AREA,MATCH(J9,DIFFERENTIATION_ID_DIFF,0)))</f>
        <v>Территория 1</v>
      </c>
      <c r="K11" s="405" t="str">
        <f>IF(K9="","",INDEX(DIFFERENTIATION_UNMERGE_AREA,MATCH(K9,DIFFERENTIATION_ID_DIFF,0)))</f>
        <v>без дифференциации</v>
      </c>
      <c r="L11" s="405" t="str">
        <f>IF(L9="","",INDEX(DIFFERENTIATION_UNMERGE_AREA,MATCH(L9,DIFFERENTIATION_ID_DIFF,0)))</f>
        <v>Территория 2</v>
      </c>
      <c r="M11" s="1066"/>
      <c r="AI11" s="538">
        <v>11</v>
      </c>
    </row>
    <row r="12" spans="5:35" ht="11.25" hidden="1" customHeight="1">
      <c r="E12" s="939"/>
      <c r="F12" s="1296" t="s">
        <v>576</v>
      </c>
      <c r="G12" s="1297"/>
      <c r="H12" s="940" t="str">
        <f>IF(H9="","",INDEX(DIFFERENTIATION_UNMERGE_SYSTEM,MATCH(H9,DIFFERENTIATION_ID_DIFF,0)))</f>
        <v/>
      </c>
      <c r="I12" s="940" t="str">
        <f>IF(I9="","",INDEX(DIFFERENTIATION_UNMERGE_SYSTEM,MATCH(I9,DIFFERENTIATION_ID_DIFF,0)))</f>
        <v>Централизованная система водоснабжения города Нижнего Новгорода (1)</v>
      </c>
      <c r="J12" s="426" t="str">
        <f>IF(J9="","",INDEX(DIFFERENTIATION_UNMERGE_SYSTEM,MATCH(J9,DIFFERENTIATION_ID_DIFF,0)))</f>
        <v>Централизованная система водоснабжения города Нижнего Новгорода (2)</v>
      </c>
      <c r="K12" s="426" t="str">
        <f>IF(K9="","",INDEX(DIFFERENTIATION_UNMERGE_SYSTEM,MATCH(K9,DIFFERENTIATION_ID_DIFF,0)))</f>
        <v>без дифференциации</v>
      </c>
      <c r="L12" s="426" t="str">
        <f>IF(L9="","",INDEX(DIFFERENTIATION_UNMERGE_SYSTEM,MATCH(L9,DIFFERENTIATION_ID_DIFF,0)))</f>
        <v>Централизованная система водоснабжения Кстовского муниципального района</v>
      </c>
      <c r="M12" s="1066"/>
      <c r="AI12" s="538">
        <v>0</v>
      </c>
    </row>
    <row r="13" spans="5:35" ht="11.45" customHeight="1">
      <c r="E13" s="1277" t="s">
        <v>311</v>
      </c>
      <c r="F13" s="1278"/>
      <c r="G13" s="1278"/>
      <c r="H13" s="898"/>
      <c r="I13" s="898"/>
      <c r="J13" s="380"/>
      <c r="K13" s="380"/>
      <c r="L13" s="380"/>
      <c r="M13" s="1066"/>
      <c r="AI13" s="538">
        <v>11</v>
      </c>
    </row>
    <row r="14" spans="5:35" ht="24" customHeight="1">
      <c r="E14" s="583" t="s">
        <v>87</v>
      </c>
      <c r="F14" s="583" t="s">
        <v>313</v>
      </c>
      <c r="G14" s="583" t="s">
        <v>577</v>
      </c>
      <c r="H14" s="583" t="s">
        <v>314</v>
      </c>
      <c r="I14" s="583" t="s">
        <v>314</v>
      </c>
      <c r="J14" s="35" t="s">
        <v>314</v>
      </c>
      <c r="K14" s="35" t="s">
        <v>314</v>
      </c>
      <c r="L14" s="35" t="s">
        <v>314</v>
      </c>
      <c r="M14" s="1066"/>
      <c r="AI14" s="538">
        <v>23</v>
      </c>
    </row>
    <row r="15" spans="5:35" ht="19.899999999999999" customHeight="1">
      <c r="E15" s="427" t="s">
        <v>114</v>
      </c>
      <c r="F15" s="619" t="s">
        <v>796</v>
      </c>
      <c r="G15" s="583" t="s">
        <v>563</v>
      </c>
      <c r="H15" s="406"/>
      <c r="I15" s="406"/>
      <c r="J15" s="406"/>
      <c r="K15" s="406"/>
      <c r="L15" s="406"/>
      <c r="M15" s="795" t="s">
        <v>797</v>
      </c>
      <c r="N15" s="941" t="s">
        <v>651</v>
      </c>
      <c r="AI15" s="538">
        <v>19</v>
      </c>
    </row>
    <row r="16" spans="5:35" ht="24" customHeight="1">
      <c r="E16" s="427" t="s">
        <v>102</v>
      </c>
      <c r="F16" s="622" t="s">
        <v>798</v>
      </c>
      <c r="G16" s="583" t="s">
        <v>563</v>
      </c>
      <c r="H16" s="262">
        <f>SUM(H17,H20:H27)</f>
        <v>0</v>
      </c>
      <c r="I16" s="262">
        <f>SUM(I17,I20:I27)</f>
        <v>0</v>
      </c>
      <c r="J16" s="262">
        <f>SUM(J17,J20:J27)</f>
        <v>0</v>
      </c>
      <c r="K16" s="262">
        <f>SUM(K17,K20:K27)</f>
        <v>0</v>
      </c>
      <c r="L16" s="262">
        <f>SUM(L17,L20:L27)</f>
        <v>0</v>
      </c>
      <c r="M16" s="795" t="s">
        <v>799</v>
      </c>
      <c r="N16" s="941" t="s">
        <v>651</v>
      </c>
      <c r="AI16" s="538">
        <v>23</v>
      </c>
    </row>
    <row r="17" spans="5:35" ht="35.65" customHeight="1">
      <c r="E17" s="428" t="s">
        <v>729</v>
      </c>
      <c r="F17" s="102" t="s">
        <v>800</v>
      </c>
      <c r="G17" s="542" t="s">
        <v>563</v>
      </c>
      <c r="H17" s="406"/>
      <c r="I17" s="406"/>
      <c r="J17" s="406"/>
      <c r="K17" s="406"/>
      <c r="L17" s="406"/>
      <c r="M17" s="795" t="s">
        <v>801</v>
      </c>
      <c r="AI17" s="538">
        <v>34</v>
      </c>
    </row>
    <row r="18" spans="5:35" ht="19.899999999999999" customHeight="1">
      <c r="E18" s="428" t="s">
        <v>732</v>
      </c>
      <c r="F18" s="432" t="s">
        <v>802</v>
      </c>
      <c r="G18" s="542" t="s">
        <v>563</v>
      </c>
      <c r="H18" s="406"/>
      <c r="I18" s="406"/>
      <c r="J18" s="406"/>
      <c r="K18" s="406"/>
      <c r="L18" s="406"/>
      <c r="M18" s="795"/>
      <c r="AI18" s="538">
        <v>19</v>
      </c>
    </row>
    <row r="19" spans="5:35" ht="24" customHeight="1">
      <c r="E19" s="428" t="s">
        <v>735</v>
      </c>
      <c r="F19" s="432" t="s">
        <v>803</v>
      </c>
      <c r="G19" s="542" t="s">
        <v>563</v>
      </c>
      <c r="H19" s="406"/>
      <c r="I19" s="406"/>
      <c r="J19" s="406"/>
      <c r="K19" s="406"/>
      <c r="L19" s="406"/>
      <c r="M19" s="795"/>
      <c r="AI19" s="538">
        <v>23</v>
      </c>
    </row>
    <row r="20" spans="5:35" ht="35.65" customHeight="1">
      <c r="E20" s="428" t="s">
        <v>318</v>
      </c>
      <c r="F20" s="102" t="s">
        <v>804</v>
      </c>
      <c r="G20" s="542" t="s">
        <v>563</v>
      </c>
      <c r="H20" s="406"/>
      <c r="I20" s="406"/>
      <c r="J20" s="406"/>
      <c r="K20" s="406"/>
      <c r="L20" s="406"/>
      <c r="M20" s="795"/>
      <c r="AI20" s="538">
        <v>34</v>
      </c>
    </row>
    <row r="21" spans="5:35" ht="48.2" customHeight="1">
      <c r="E21" s="428" t="s">
        <v>321</v>
      </c>
      <c r="F21" s="102" t="s">
        <v>805</v>
      </c>
      <c r="G21" s="542" t="s">
        <v>563</v>
      </c>
      <c r="H21" s="406"/>
      <c r="I21" s="406"/>
      <c r="J21" s="406"/>
      <c r="K21" s="406"/>
      <c r="L21" s="406"/>
      <c r="M21" s="795"/>
      <c r="AI21" s="538">
        <v>46</v>
      </c>
    </row>
    <row r="22" spans="5:35" ht="60" customHeight="1">
      <c r="E22" s="428" t="s">
        <v>749</v>
      </c>
      <c r="F22" s="102" t="s">
        <v>806</v>
      </c>
      <c r="G22" s="542" t="s">
        <v>563</v>
      </c>
      <c r="H22" s="406"/>
      <c r="I22" s="406"/>
      <c r="J22" s="406"/>
      <c r="K22" s="406"/>
      <c r="L22" s="406"/>
      <c r="M22" s="795"/>
      <c r="AI22" s="538">
        <v>57</v>
      </c>
    </row>
    <row r="23" spans="5:35" ht="35.65" customHeight="1">
      <c r="E23" s="428" t="s">
        <v>756</v>
      </c>
      <c r="F23" s="102" t="s">
        <v>807</v>
      </c>
      <c r="G23" s="542" t="s">
        <v>563</v>
      </c>
      <c r="H23" s="406"/>
      <c r="I23" s="406"/>
      <c r="J23" s="406"/>
      <c r="K23" s="406"/>
      <c r="L23" s="406"/>
      <c r="M23" s="795"/>
      <c r="AI23" s="538">
        <v>34</v>
      </c>
    </row>
    <row r="24" spans="5:35" ht="35.65" customHeight="1">
      <c r="E24" s="428" t="s">
        <v>758</v>
      </c>
      <c r="F24" s="102" t="s">
        <v>808</v>
      </c>
      <c r="G24" s="542" t="s">
        <v>563</v>
      </c>
      <c r="H24" s="406"/>
      <c r="I24" s="406"/>
      <c r="J24" s="406"/>
      <c r="K24" s="406"/>
      <c r="L24" s="406"/>
      <c r="M24" s="795"/>
      <c r="AI24" s="538">
        <v>34</v>
      </c>
    </row>
    <row r="25" spans="5:35" ht="24" customHeight="1">
      <c r="E25" s="428" t="s">
        <v>760</v>
      </c>
      <c r="F25" s="102" t="s">
        <v>809</v>
      </c>
      <c r="G25" s="542" t="s">
        <v>563</v>
      </c>
      <c r="H25" s="406"/>
      <c r="I25" s="406"/>
      <c r="J25" s="406"/>
      <c r="K25" s="406"/>
      <c r="L25" s="406"/>
      <c r="M25" s="795"/>
      <c r="AI25" s="538">
        <v>23</v>
      </c>
    </row>
    <row r="26" spans="5:35" ht="76.5" customHeight="1">
      <c r="E26" s="428" t="s">
        <v>762</v>
      </c>
      <c r="F26" s="102" t="s">
        <v>810</v>
      </c>
      <c r="G26" s="542" t="s">
        <v>563</v>
      </c>
      <c r="H26" s="406"/>
      <c r="I26" s="406"/>
      <c r="J26" s="406"/>
      <c r="K26" s="406"/>
      <c r="L26" s="406"/>
      <c r="M26" s="795"/>
      <c r="AI26" s="538">
        <v>73</v>
      </c>
    </row>
    <row r="27" spans="5:35" ht="35.65" customHeight="1">
      <c r="E27" s="433" t="s">
        <v>766</v>
      </c>
      <c r="F27" s="593" t="s">
        <v>811</v>
      </c>
      <c r="G27" s="617" t="s">
        <v>563</v>
      </c>
      <c r="H27" s="412">
        <f>SUM(H28:H29)</f>
        <v>0</v>
      </c>
      <c r="I27" s="412">
        <f>SUM(I28:I29)</f>
        <v>0</v>
      </c>
      <c r="J27" s="412">
        <f>SUM(J28:J29)</f>
        <v>0</v>
      </c>
      <c r="K27" s="412">
        <f>SUM(K28:K29)</f>
        <v>0</v>
      </c>
      <c r="L27" s="412">
        <f>SUM(L28:L29)</f>
        <v>0</v>
      </c>
      <c r="M27" s="795" t="s">
        <v>764</v>
      </c>
      <c r="AI27" s="555">
        <v>34</v>
      </c>
    </row>
    <row r="28" spans="5:35" ht="1.1499999999999999" customHeight="1">
      <c r="E28" s="584" t="str">
        <f>E27&amp;".0"</f>
        <v>2.9.0</v>
      </c>
      <c r="F28" s="927"/>
      <c r="G28" s="584"/>
      <c r="H28" s="413"/>
      <c r="I28" s="413"/>
      <c r="J28" s="413"/>
      <c r="K28" s="413"/>
      <c r="L28" s="413"/>
      <c r="M28" s="928"/>
      <c r="AI28" s="577">
        <v>1</v>
      </c>
    </row>
    <row r="29" spans="5:35" ht="19.899999999999999" customHeight="1">
      <c r="E29" s="409"/>
      <c r="F29" s="431" t="s">
        <v>594</v>
      </c>
      <c r="G29" s="761"/>
      <c r="H29" s="905"/>
      <c r="I29" s="905"/>
      <c r="J29" s="394"/>
      <c r="K29" s="394"/>
      <c r="L29" s="394"/>
      <c r="M29" s="817" t="s">
        <v>765</v>
      </c>
      <c r="AI29" s="555">
        <v>19</v>
      </c>
    </row>
    <row r="30" spans="5:35" ht="24" customHeight="1">
      <c r="E30" s="428" t="s">
        <v>89</v>
      </c>
      <c r="F30" s="393" t="s">
        <v>812</v>
      </c>
      <c r="G30" s="542" t="s">
        <v>563</v>
      </c>
      <c r="H30" s="406"/>
      <c r="I30" s="406"/>
      <c r="J30" s="406"/>
      <c r="K30" s="406"/>
      <c r="L30" s="406"/>
      <c r="M30" s="795"/>
      <c r="AI30" s="555">
        <v>23</v>
      </c>
    </row>
    <row r="31" spans="5:35" ht="35.65" customHeight="1">
      <c r="E31" s="428" t="s">
        <v>90</v>
      </c>
      <c r="F31" s="393" t="s">
        <v>813</v>
      </c>
      <c r="G31" s="542" t="s">
        <v>563</v>
      </c>
      <c r="H31" s="406"/>
      <c r="I31" s="406"/>
      <c r="J31" s="406"/>
      <c r="K31" s="406"/>
      <c r="L31" s="406"/>
      <c r="M31" s="795" t="s">
        <v>814</v>
      </c>
      <c r="AI31" s="555">
        <v>34</v>
      </c>
    </row>
    <row r="32" spans="5:35" ht="24" customHeight="1">
      <c r="E32" s="428" t="s">
        <v>774</v>
      </c>
      <c r="F32" s="102" t="s">
        <v>778</v>
      </c>
      <c r="G32" s="542" t="s">
        <v>563</v>
      </c>
      <c r="H32" s="406"/>
      <c r="I32" s="406"/>
      <c r="J32" s="406"/>
      <c r="K32" s="406"/>
      <c r="L32" s="406"/>
      <c r="M32" s="795" t="s">
        <v>815</v>
      </c>
      <c r="AI32" s="555">
        <v>23</v>
      </c>
    </row>
    <row r="33" spans="3:35" ht="24" customHeight="1">
      <c r="E33" s="428" t="s">
        <v>816</v>
      </c>
      <c r="F33" s="102" t="s">
        <v>817</v>
      </c>
      <c r="G33" s="542" t="s">
        <v>563</v>
      </c>
      <c r="H33" s="406"/>
      <c r="I33" s="406"/>
      <c r="J33" s="406"/>
      <c r="K33" s="406"/>
      <c r="L33" s="406"/>
      <c r="M33" s="795" t="s">
        <v>818</v>
      </c>
      <c r="AI33" s="555">
        <v>23</v>
      </c>
    </row>
    <row r="34" spans="3:35" ht="24" customHeight="1">
      <c r="E34" s="428" t="s">
        <v>819</v>
      </c>
      <c r="F34" s="102" t="s">
        <v>784</v>
      </c>
      <c r="G34" s="542" t="s">
        <v>563</v>
      </c>
      <c r="H34" s="406"/>
      <c r="I34" s="406"/>
      <c r="J34" s="406"/>
      <c r="K34" s="406"/>
      <c r="L34" s="406"/>
      <c r="M34" s="795" t="s">
        <v>820</v>
      </c>
      <c r="AI34" s="555">
        <v>23</v>
      </c>
    </row>
    <row r="35" spans="3:35" ht="35.65" customHeight="1">
      <c r="C35" s="577" t="s">
        <v>606</v>
      </c>
      <c r="E35" s="428" t="s">
        <v>115</v>
      </c>
      <c r="F35" s="393" t="s">
        <v>650</v>
      </c>
      <c r="G35" s="583" t="s">
        <v>317</v>
      </c>
      <c r="H35" s="997"/>
      <c r="I35" s="997"/>
      <c r="J35" s="997"/>
      <c r="K35" s="997"/>
      <c r="L35" s="997"/>
      <c r="M35" s="795" t="s">
        <v>821</v>
      </c>
      <c r="AI35" s="555">
        <v>34</v>
      </c>
    </row>
    <row r="36" spans="3:35" ht="35.65" customHeight="1">
      <c r="E36" s="428" t="s">
        <v>91</v>
      </c>
      <c r="F36" s="393" t="s">
        <v>822</v>
      </c>
      <c r="G36" s="542" t="s">
        <v>789</v>
      </c>
      <c r="H36" s="403"/>
      <c r="I36" s="403"/>
      <c r="J36" s="403"/>
      <c r="K36" s="403"/>
      <c r="L36" s="403"/>
      <c r="M36" s="795" t="s">
        <v>790</v>
      </c>
      <c r="AI36" s="555">
        <v>34</v>
      </c>
    </row>
    <row r="37" spans="3:35" ht="24" customHeight="1">
      <c r="E37" s="428" t="s">
        <v>92</v>
      </c>
      <c r="F37" s="393" t="s">
        <v>823</v>
      </c>
      <c r="G37" s="542" t="s">
        <v>792</v>
      </c>
      <c r="H37" s="403"/>
      <c r="I37" s="403"/>
      <c r="J37" s="403"/>
      <c r="K37" s="403"/>
      <c r="L37" s="403"/>
      <c r="M37" s="795" t="s">
        <v>793</v>
      </c>
      <c r="AI37" s="555">
        <v>23</v>
      </c>
    </row>
    <row r="38" spans="3:35" ht="11.45" customHeight="1">
      <c r="AI38" s="538">
        <v>11</v>
      </c>
    </row>
    <row r="39" spans="3:35" ht="27.4" customHeight="1">
      <c r="E39" s="893" t="s">
        <v>824</v>
      </c>
      <c r="F39" s="1298" t="s">
        <v>825</v>
      </c>
      <c r="G39" s="1031"/>
      <c r="AI39" s="538">
        <v>26</v>
      </c>
    </row>
    <row r="40" spans="3:35" ht="39.75" customHeight="1">
      <c r="F40" s="1298" t="s">
        <v>826</v>
      </c>
      <c r="G40" s="1031"/>
      <c r="AI40" s="681">
        <v>38</v>
      </c>
    </row>
    <row r="41" spans="3:35" ht="11.45" customHeight="1">
      <c r="AI41" s="681">
        <v>11</v>
      </c>
    </row>
    <row r="42" spans="3:35" ht="11.45" customHeight="1">
      <c r="AI42" s="681">
        <v>11</v>
      </c>
    </row>
    <row r="43" spans="3:35" ht="11.45" customHeight="1">
      <c r="AI43" s="681">
        <v>11</v>
      </c>
    </row>
    <row r="44" spans="3:35" ht="11.45" customHeight="1">
      <c r="AI44" s="681">
        <v>11</v>
      </c>
    </row>
    <row r="45" spans="3:35" ht="11.45" customHeight="1">
      <c r="AI45" s="681">
        <v>11</v>
      </c>
    </row>
    <row r="46" spans="3:35" ht="11.45" customHeight="1">
      <c r="AI46" s="681">
        <v>11</v>
      </c>
    </row>
    <row r="47" spans="3:35" ht="11.45" customHeight="1">
      <c r="AI47" s="681">
        <v>11</v>
      </c>
    </row>
    <row r="48" spans="3:35" ht="11.45" customHeight="1">
      <c r="AI48" s="681">
        <v>11</v>
      </c>
    </row>
    <row r="49" spans="35:35" ht="11.45" customHeight="1">
      <c r="AI49" s="681">
        <v>11</v>
      </c>
    </row>
    <row r="50" spans="35:35" ht="11.45" customHeight="1">
      <c r="AI50" s="681">
        <v>11</v>
      </c>
    </row>
    <row r="51" spans="35:35" ht="11.45" customHeight="1">
      <c r="AI51" s="681">
        <v>11</v>
      </c>
    </row>
    <row r="52" spans="35:35" ht="11.45" customHeight="1">
      <c r="AI52" s="681">
        <v>11</v>
      </c>
    </row>
    <row r="53" spans="35:35" ht="11.45" customHeight="1">
      <c r="AI53" s="681">
        <v>11</v>
      </c>
    </row>
    <row r="54" spans="35:35" ht="11.45" customHeight="1">
      <c r="AI54" s="681">
        <v>11</v>
      </c>
    </row>
    <row r="55" spans="35:35" ht="11.45" customHeight="1">
      <c r="AI55" s="681">
        <v>11</v>
      </c>
    </row>
    <row r="56" spans="35:35" ht="11.45" customHeight="1">
      <c r="AI56" s="681">
        <v>11</v>
      </c>
    </row>
    <row r="57" spans="35:35" ht="11.45" customHeight="1">
      <c r="AI57" s="681">
        <v>11</v>
      </c>
    </row>
    <row r="58" spans="35:35" ht="11.45" customHeight="1">
      <c r="AI58" s="681">
        <v>11</v>
      </c>
    </row>
    <row r="59" spans="35:35" ht="11.45" customHeight="1">
      <c r="AI59" s="681">
        <v>11</v>
      </c>
    </row>
    <row r="60" spans="35:35" ht="11.45" customHeight="1">
      <c r="AI60" s="681">
        <v>11</v>
      </c>
    </row>
    <row r="61" spans="35:35" ht="11.45" customHeight="1">
      <c r="AI61" s="681">
        <v>11</v>
      </c>
    </row>
    <row r="62" spans="35:35" ht="11.45" customHeight="1">
      <c r="AI62" s="681">
        <v>11</v>
      </c>
    </row>
    <row r="63" spans="35:35" ht="11.45" customHeight="1">
      <c r="AI63" s="681">
        <v>11</v>
      </c>
    </row>
    <row r="64" spans="35:35" ht="11.45" customHeight="1">
      <c r="AI64" s="681">
        <v>11</v>
      </c>
    </row>
    <row r="65" spans="35:35" ht="11.45" customHeight="1">
      <c r="AI65" s="681">
        <v>11</v>
      </c>
    </row>
    <row r="66" spans="35:35" ht="11.45" customHeight="1">
      <c r="AI66" s="681">
        <v>11</v>
      </c>
    </row>
    <row r="67" spans="35:35" ht="11.45" customHeight="1">
      <c r="AI67" s="681">
        <v>11</v>
      </c>
    </row>
    <row r="68" spans="35:35" ht="11.45" customHeight="1">
      <c r="AI68" s="681">
        <v>11</v>
      </c>
    </row>
    <row r="69" spans="35:35" ht="11.45" customHeight="1">
      <c r="AI69" s="681">
        <v>11</v>
      </c>
    </row>
    <row r="70" spans="35:35" ht="11.45" customHeight="1">
      <c r="AI70" s="681">
        <v>11</v>
      </c>
    </row>
    <row r="71" spans="35:35" ht="11.45" customHeight="1">
      <c r="AI71" s="681">
        <v>11</v>
      </c>
    </row>
    <row r="72" spans="35:35" ht="11.45" customHeight="1">
      <c r="AI72" s="681">
        <v>11</v>
      </c>
    </row>
    <row r="73" spans="35:35" ht="11.45" customHeight="1">
      <c r="AI73" s="681">
        <v>11</v>
      </c>
    </row>
    <row r="74" spans="35:35" ht="11.45" customHeight="1">
      <c r="AI74" s="681">
        <v>11</v>
      </c>
    </row>
    <row r="75" spans="35:35" ht="11.45" customHeight="1">
      <c r="AI75" s="681">
        <v>11</v>
      </c>
    </row>
    <row r="76" spans="35:35" ht="11.45" customHeight="1">
      <c r="AI76" s="681">
        <v>11</v>
      </c>
    </row>
    <row r="77" spans="35:35" ht="11.45" customHeight="1">
      <c r="AI77" s="681">
        <v>11</v>
      </c>
    </row>
    <row r="78" spans="35:35" ht="11.45" customHeight="1">
      <c r="AI78" s="681">
        <v>11</v>
      </c>
    </row>
    <row r="79" spans="35:35" ht="11.45" customHeight="1">
      <c r="AI79" s="681">
        <v>11</v>
      </c>
    </row>
    <row r="80" spans="35:35" ht="11.45" customHeight="1">
      <c r="AI80" s="681">
        <v>11</v>
      </c>
    </row>
    <row r="81" spans="35:35" ht="11.45" customHeight="1">
      <c r="AI81" s="681">
        <v>11</v>
      </c>
    </row>
    <row r="82" spans="35:35" ht="11.45" customHeight="1">
      <c r="AI82" s="681">
        <v>11</v>
      </c>
    </row>
    <row r="83" spans="35:35" ht="11.45" customHeight="1">
      <c r="AI83" s="681">
        <v>11</v>
      </c>
    </row>
    <row r="84" spans="35:35" ht="11.45" customHeight="1">
      <c r="AI84" s="681">
        <v>11</v>
      </c>
    </row>
    <row r="85" spans="35:35" ht="11.45" customHeight="1">
      <c r="AI85" s="681">
        <v>11</v>
      </c>
    </row>
    <row r="86" spans="35:35" ht="11.45" customHeight="1">
      <c r="AI86" s="681">
        <v>11</v>
      </c>
    </row>
    <row r="87" spans="35:35" ht="11.45" customHeight="1">
      <c r="AI87" s="681">
        <v>11</v>
      </c>
    </row>
    <row r="88" spans="35:35" ht="11.45" customHeight="1">
      <c r="AI88" s="681">
        <v>11</v>
      </c>
    </row>
    <row r="89" spans="35:35" ht="11.45" customHeight="1">
      <c r="AI89" s="681">
        <v>11</v>
      </c>
    </row>
    <row r="90" spans="35:35" ht="11.45" customHeight="1">
      <c r="AI90" s="681">
        <v>11</v>
      </c>
    </row>
    <row r="91" spans="35:35" ht="11.45" customHeight="1">
      <c r="AI91" s="681">
        <v>11</v>
      </c>
    </row>
    <row r="92" spans="35:35" ht="11.45" customHeight="1">
      <c r="AI92" s="681">
        <v>11</v>
      </c>
    </row>
    <row r="93" spans="35:35" ht="11.45" customHeight="1">
      <c r="AI93" s="681">
        <v>11</v>
      </c>
    </row>
    <row r="94" spans="35:35" ht="11.45" customHeight="1">
      <c r="AI94" s="681">
        <v>11</v>
      </c>
    </row>
    <row r="95" spans="35:35" ht="11.45" customHeight="1">
      <c r="AI95" s="681">
        <v>11</v>
      </c>
    </row>
    <row r="96" spans="35:35" ht="11.45" customHeight="1">
      <c r="AI96" s="681">
        <v>11</v>
      </c>
    </row>
    <row r="97" spans="35:35" ht="11.45" customHeight="1">
      <c r="AI97" s="681">
        <v>11</v>
      </c>
    </row>
    <row r="98" spans="35:35" ht="11.45" customHeight="1">
      <c r="AI98" s="681">
        <v>11</v>
      </c>
    </row>
    <row r="99" spans="35:35" ht="11.45" customHeight="1">
      <c r="AI99" s="681">
        <v>11</v>
      </c>
    </row>
    <row r="100" spans="35:35" ht="11.45" customHeight="1">
      <c r="AI100" s="681">
        <v>11</v>
      </c>
    </row>
    <row r="101" spans="35:35" ht="11.45" customHeight="1">
      <c r="AI101" s="681">
        <v>11</v>
      </c>
    </row>
    <row r="102" spans="35:35" ht="11.45" customHeight="1">
      <c r="AI102" s="681">
        <v>11</v>
      </c>
    </row>
    <row r="103" spans="35:35" ht="11.45" customHeight="1">
      <c r="AI103" s="681">
        <v>11</v>
      </c>
    </row>
    <row r="104" spans="35:35" ht="11.45" customHeight="1">
      <c r="AI104" s="681">
        <v>11</v>
      </c>
    </row>
    <row r="105" spans="35:35" ht="11.45" customHeight="1">
      <c r="AI105" s="681">
        <v>11</v>
      </c>
    </row>
    <row r="106" spans="35:35" ht="11.45" customHeight="1">
      <c r="AI106" s="681">
        <v>11</v>
      </c>
    </row>
    <row r="107" spans="35:35" ht="11.45" customHeight="1">
      <c r="AI107" s="681">
        <v>11</v>
      </c>
    </row>
    <row r="108" spans="35:35" ht="11.45" customHeight="1">
      <c r="AI108" s="681">
        <v>11</v>
      </c>
    </row>
    <row r="109" spans="35:35" ht="11.45" customHeight="1">
      <c r="AI109" s="681">
        <v>11</v>
      </c>
    </row>
    <row r="110" spans="35:35" ht="11.45" customHeight="1">
      <c r="AI110" s="681">
        <v>11</v>
      </c>
    </row>
    <row r="111" spans="35:35" ht="11.45" customHeight="1">
      <c r="AI111" s="681">
        <v>11</v>
      </c>
    </row>
    <row r="112" spans="35:35" ht="11.45" customHeight="1">
      <c r="AI112" s="681">
        <v>11</v>
      </c>
    </row>
    <row r="113" spans="35:35" ht="11.45" customHeight="1">
      <c r="AI113" s="681">
        <v>11</v>
      </c>
    </row>
    <row r="114" spans="35:35" ht="11.45" customHeight="1">
      <c r="AI114" s="681">
        <v>11</v>
      </c>
    </row>
    <row r="115" spans="35:35" ht="11.45" customHeight="1">
      <c r="AI115" s="681">
        <v>11</v>
      </c>
    </row>
    <row r="116" spans="35:35" ht="11.45" customHeight="1">
      <c r="AI116" s="681">
        <v>11</v>
      </c>
    </row>
    <row r="117" spans="35:35" ht="11.45" customHeight="1">
      <c r="AI117" s="681">
        <v>11</v>
      </c>
    </row>
    <row r="118" spans="35:35" ht="11.45" customHeight="1">
      <c r="AI118" s="681">
        <v>11</v>
      </c>
    </row>
    <row r="119" spans="35:35" ht="11.45" customHeight="1">
      <c r="AI119" s="681">
        <v>11</v>
      </c>
    </row>
    <row r="120" spans="35:35" ht="11.45" customHeight="1">
      <c r="AI120" s="681">
        <v>11</v>
      </c>
    </row>
    <row r="121" spans="35:35" ht="11.45" customHeight="1">
      <c r="AI121" s="681">
        <v>11</v>
      </c>
    </row>
    <row r="122" spans="35:35" ht="11.45" customHeight="1">
      <c r="AI122" s="681">
        <v>11</v>
      </c>
    </row>
    <row r="123" spans="35:35" ht="11.45" customHeight="1">
      <c r="AI123" s="681">
        <v>11</v>
      </c>
    </row>
    <row r="124" spans="35:35" ht="11.45" customHeight="1">
      <c r="AI124" s="681">
        <v>11</v>
      </c>
    </row>
    <row r="125" spans="35:35" ht="11.45" customHeight="1">
      <c r="AI125" s="681">
        <v>11</v>
      </c>
    </row>
    <row r="126" spans="35:35" ht="11.45" customHeight="1">
      <c r="AI126" s="681">
        <v>11</v>
      </c>
    </row>
    <row r="127" spans="35:35" ht="11.45" customHeight="1">
      <c r="AI127" s="681">
        <v>11</v>
      </c>
    </row>
    <row r="128" spans="35:35" ht="11.45" customHeight="1">
      <c r="AI128" s="681">
        <v>11</v>
      </c>
    </row>
    <row r="129" spans="35:35" ht="11.45" customHeight="1">
      <c r="AI129" s="681">
        <v>11</v>
      </c>
    </row>
    <row r="130" spans="35:35" ht="11.45" customHeight="1">
      <c r="AI130" s="681">
        <v>11</v>
      </c>
    </row>
    <row r="131" spans="35:35" ht="11.45" customHeight="1">
      <c r="AI131" s="681">
        <v>11</v>
      </c>
    </row>
    <row r="132" spans="35:35" ht="11.45" customHeight="1">
      <c r="AI132" s="681">
        <v>11</v>
      </c>
    </row>
    <row r="133" spans="35:35" ht="11.45" customHeight="1">
      <c r="AI133" s="681">
        <v>11</v>
      </c>
    </row>
    <row r="134" spans="35:35" ht="11.45" customHeight="1">
      <c r="AI134" s="681">
        <v>11</v>
      </c>
    </row>
    <row r="135" spans="35:35" ht="11.45" customHeight="1">
      <c r="AI135" s="681">
        <v>11</v>
      </c>
    </row>
    <row r="136" spans="35:35" ht="11.45" customHeight="1">
      <c r="AI136" s="681">
        <v>11</v>
      </c>
    </row>
    <row r="137" spans="35:35" ht="11.45" customHeight="1">
      <c r="AI137" s="681">
        <v>11</v>
      </c>
    </row>
    <row r="138" spans="35:35" ht="11.45" customHeight="1">
      <c r="AI138" s="681">
        <v>11</v>
      </c>
    </row>
    <row r="139" spans="35:35" ht="11.45" customHeight="1">
      <c r="AI139" s="681">
        <v>11</v>
      </c>
    </row>
    <row r="140" spans="35:35" ht="11.45" customHeight="1">
      <c r="AI140" s="681">
        <v>11</v>
      </c>
    </row>
    <row r="141" spans="35:35" ht="11.45" customHeight="1">
      <c r="AI141" s="681">
        <v>11</v>
      </c>
    </row>
    <row r="142" spans="35:35" ht="11.45" customHeight="1">
      <c r="AI142" s="681">
        <v>11</v>
      </c>
    </row>
    <row r="143" spans="35:35" ht="11.45" customHeight="1">
      <c r="AI143" s="681">
        <v>11</v>
      </c>
    </row>
    <row r="144" spans="35:35" ht="11.45" customHeight="1">
      <c r="AI144" s="681">
        <v>11</v>
      </c>
    </row>
    <row r="145" spans="35:35" ht="11.45" customHeight="1">
      <c r="AI145" s="681">
        <v>11</v>
      </c>
    </row>
    <row r="146" spans="35:35" ht="11.45" customHeight="1">
      <c r="AI146" s="681">
        <v>11</v>
      </c>
    </row>
    <row r="147" spans="35:35" ht="11.45" customHeight="1">
      <c r="AI147" s="681">
        <v>11</v>
      </c>
    </row>
    <row r="148" spans="35:35" ht="11.45" customHeight="1">
      <c r="AI148" s="681">
        <v>11</v>
      </c>
    </row>
    <row r="149" spans="35:35" ht="11.45" customHeight="1">
      <c r="AI149" s="681">
        <v>11</v>
      </c>
    </row>
    <row r="150" spans="35:35" ht="11.45" customHeight="1">
      <c r="AI150" s="681">
        <v>11</v>
      </c>
    </row>
    <row r="151" spans="35:35" ht="11.45" customHeight="1">
      <c r="AI151" s="681">
        <v>11</v>
      </c>
    </row>
    <row r="152" spans="35:35" ht="11.45" customHeight="1">
      <c r="AI152" s="681">
        <v>11</v>
      </c>
    </row>
    <row r="153" spans="35:35" ht="11.45" customHeight="1">
      <c r="AI153" s="681">
        <v>11</v>
      </c>
    </row>
    <row r="154" spans="35:35" ht="11.45" customHeight="1">
      <c r="AI154" s="681">
        <v>11</v>
      </c>
    </row>
    <row r="155" spans="35:35" ht="11.45" customHeight="1">
      <c r="AI155" s="681">
        <v>11</v>
      </c>
    </row>
    <row r="156" spans="35:35" ht="11.45" customHeight="1">
      <c r="AI156" s="681">
        <v>11</v>
      </c>
    </row>
    <row r="157" spans="35:35" ht="11.45" customHeight="1">
      <c r="AI157" s="681">
        <v>11</v>
      </c>
    </row>
    <row r="158" spans="35:35" ht="11.45" customHeight="1">
      <c r="AI158" s="681">
        <v>11</v>
      </c>
    </row>
    <row r="159" spans="35:35" ht="11.45" customHeight="1">
      <c r="AI159" s="681">
        <v>11</v>
      </c>
    </row>
    <row r="160" spans="35:35" ht="11.45" customHeight="1">
      <c r="AI160" s="681">
        <v>11</v>
      </c>
    </row>
    <row r="161" spans="35:35" ht="11.45" customHeight="1">
      <c r="AI161" s="681">
        <v>11</v>
      </c>
    </row>
    <row r="162" spans="35:35" ht="11.45" customHeight="1">
      <c r="AI162" s="681">
        <v>11</v>
      </c>
    </row>
    <row r="163" spans="35:35" ht="11.45" customHeight="1">
      <c r="AI163" s="681">
        <v>11</v>
      </c>
    </row>
    <row r="164" spans="35:35" ht="11.45" customHeight="1">
      <c r="AI164" s="681">
        <v>11</v>
      </c>
    </row>
    <row r="165" spans="35:35" ht="11.45" customHeight="1">
      <c r="AI165" s="681">
        <v>11</v>
      </c>
    </row>
    <row r="166" spans="35:35" ht="11.45" customHeight="1">
      <c r="AI166" s="681">
        <v>11</v>
      </c>
    </row>
    <row r="167" spans="35:35" ht="11.45" customHeight="1">
      <c r="AI167" s="681">
        <v>11</v>
      </c>
    </row>
    <row r="168" spans="35:35" ht="11.45" customHeight="1">
      <c r="AI168" s="681">
        <v>11</v>
      </c>
    </row>
    <row r="169" spans="35:35" ht="11.45" customHeight="1">
      <c r="AI169" s="681">
        <v>11</v>
      </c>
    </row>
    <row r="170" spans="35:35" ht="11.45" customHeight="1">
      <c r="AI170" s="681">
        <v>11</v>
      </c>
    </row>
    <row r="171" spans="35:35" ht="11.45" customHeight="1">
      <c r="AI171" s="681">
        <v>11</v>
      </c>
    </row>
    <row r="172" spans="35:35" ht="11.45" customHeight="1">
      <c r="AI172" s="681">
        <v>11</v>
      </c>
    </row>
    <row r="173" spans="35:35" ht="11.45" customHeight="1">
      <c r="AI173" s="681">
        <v>11</v>
      </c>
    </row>
    <row r="174" spans="35:35" ht="11.45" customHeight="1">
      <c r="AI174" s="681">
        <v>11</v>
      </c>
    </row>
    <row r="175" spans="35:35" ht="11.45" customHeight="1">
      <c r="AI175" s="681">
        <v>11</v>
      </c>
    </row>
    <row r="176" spans="35:35" ht="11.45" customHeight="1">
      <c r="AI176" s="681">
        <v>11</v>
      </c>
    </row>
    <row r="177" spans="35:35" ht="11.45" customHeight="1">
      <c r="AI177" s="681">
        <v>11</v>
      </c>
    </row>
    <row r="178" spans="35:35" ht="11.45" customHeight="1">
      <c r="AI178" s="681">
        <v>11</v>
      </c>
    </row>
    <row r="179" spans="35:35" ht="11.45" customHeight="1">
      <c r="AI179" s="681">
        <v>11</v>
      </c>
    </row>
    <row r="180" spans="35:35" ht="11.45" customHeight="1">
      <c r="AI180" s="681">
        <v>11</v>
      </c>
    </row>
    <row r="181" spans="35:35" ht="11.45" customHeight="1">
      <c r="AI181" s="681">
        <v>11</v>
      </c>
    </row>
    <row r="182" spans="35:35" ht="11.45" customHeight="1">
      <c r="AI182" s="681">
        <v>11</v>
      </c>
    </row>
    <row r="183" spans="35:35" ht="11.45" customHeight="1">
      <c r="AI183" s="681">
        <v>11</v>
      </c>
    </row>
    <row r="184" spans="35:35" ht="11.45" customHeight="1">
      <c r="AI184" s="681">
        <v>11</v>
      </c>
    </row>
    <row r="185" spans="35:35" ht="11.45" customHeight="1">
      <c r="AI185" s="681">
        <v>11</v>
      </c>
    </row>
    <row r="186" spans="35:35" ht="11.45" customHeight="1">
      <c r="AI186" s="681">
        <v>11</v>
      </c>
    </row>
    <row r="187" spans="35:35" ht="11.45" customHeight="1">
      <c r="AI187" s="681">
        <v>11</v>
      </c>
    </row>
    <row r="188" spans="35:35" ht="11.45" customHeight="1">
      <c r="AI188" s="681">
        <v>11</v>
      </c>
    </row>
    <row r="189" spans="35:35" ht="11.45" customHeight="1">
      <c r="AI189" s="681">
        <v>11</v>
      </c>
    </row>
    <row r="190" spans="35:35" ht="11.45" customHeight="1">
      <c r="AI190" s="681">
        <v>11</v>
      </c>
    </row>
    <row r="191" spans="35:35" ht="11.45" customHeight="1">
      <c r="AI191" s="681">
        <v>11</v>
      </c>
    </row>
    <row r="192" spans="35:35" ht="11.45" customHeight="1">
      <c r="AI192" s="681">
        <v>11</v>
      </c>
    </row>
    <row r="193" spans="35:35" ht="11.45" customHeight="1">
      <c r="AI193" s="681">
        <v>11</v>
      </c>
    </row>
    <row r="194" spans="35:35" ht="11.45" customHeight="1">
      <c r="AI194" s="681">
        <v>11</v>
      </c>
    </row>
    <row r="195" spans="35:35" ht="11.45" customHeight="1">
      <c r="AI195" s="681">
        <v>11</v>
      </c>
    </row>
    <row r="196" spans="35:35" ht="11.45" customHeight="1">
      <c r="AI196" s="538">
        <v>11</v>
      </c>
    </row>
    <row r="197" spans="35:35" ht="11.45" customHeight="1">
      <c r="AI197" s="538">
        <v>11</v>
      </c>
    </row>
    <row r="198" spans="35:35" ht="11.45" customHeight="1">
      <c r="AI198" s="538">
        <v>11</v>
      </c>
    </row>
    <row r="199" spans="35:35" ht="11.45" customHeight="1">
      <c r="AI199" s="538">
        <v>11</v>
      </c>
    </row>
    <row r="200" spans="35:35" ht="11.45" customHeight="1">
      <c r="AI200" s="538">
        <v>11</v>
      </c>
    </row>
    <row r="201" spans="35:35" ht="11.45" customHeight="1">
      <c r="AI201" s="538">
        <v>11</v>
      </c>
    </row>
    <row r="202" spans="35:35" ht="11.45" customHeight="1">
      <c r="AI202" s="538">
        <v>11</v>
      </c>
    </row>
    <row r="203" spans="35:35" ht="11.45" customHeight="1">
      <c r="AI203" s="538">
        <v>11</v>
      </c>
    </row>
    <row r="204" spans="35:35" ht="11.45" customHeight="1">
      <c r="AI204" s="538">
        <v>11</v>
      </c>
    </row>
    <row r="205" spans="35:35" ht="11.45" customHeight="1">
      <c r="AI205" s="538">
        <v>11</v>
      </c>
    </row>
    <row r="206" spans="35:35" ht="11.45" customHeight="1">
      <c r="AI206" s="538">
        <v>11</v>
      </c>
    </row>
    <row r="207" spans="35:35" ht="11.45" customHeight="1">
      <c r="AI207" s="538">
        <v>11</v>
      </c>
    </row>
    <row r="208" spans="35:35" ht="11.45" customHeight="1">
      <c r="AI208" s="538">
        <v>11</v>
      </c>
    </row>
    <row r="209" spans="1:35" ht="11.45" customHeight="1">
      <c r="AI209" s="538">
        <v>11</v>
      </c>
    </row>
    <row r="210" spans="1:35" ht="11.25" hidden="1" customHeight="1">
      <c r="A210" s="423" t="s">
        <v>81</v>
      </c>
      <c r="B210" s="555">
        <v>0</v>
      </c>
      <c r="C210" s="577">
        <v>0</v>
      </c>
      <c r="D210" s="538">
        <v>3</v>
      </c>
      <c r="E210" s="538">
        <v>7</v>
      </c>
      <c r="F210" s="538">
        <v>54</v>
      </c>
      <c r="G210" s="538">
        <v>10</v>
      </c>
      <c r="H210" s="538">
        <v>0</v>
      </c>
      <c r="I210" s="538">
        <v>40</v>
      </c>
      <c r="J210" s="3">
        <v>0</v>
      </c>
      <c r="K210" s="3">
        <v>0</v>
      </c>
      <c r="L210" s="3">
        <v>0</v>
      </c>
      <c r="M210" s="538">
        <v>102</v>
      </c>
      <c r="N210" s="555">
        <v>9</v>
      </c>
      <c r="O210" s="577">
        <v>5</v>
      </c>
      <c r="P210" s="577">
        <v>3</v>
      </c>
      <c r="Q210" s="555">
        <v>3</v>
      </c>
      <c r="R210" s="555">
        <v>3</v>
      </c>
      <c r="S210" s="555">
        <v>3</v>
      </c>
      <c r="T210" s="555">
        <v>3</v>
      </c>
      <c r="U210" s="577">
        <v>10</v>
      </c>
      <c r="V210" s="555">
        <v>34</v>
      </c>
      <c r="W210" s="555">
        <v>9</v>
      </c>
      <c r="X210" s="936">
        <v>8</v>
      </c>
      <c r="Y210" s="555">
        <v>8</v>
      </c>
      <c r="Z210" s="555">
        <v>8</v>
      </c>
      <c r="AA210" s="555">
        <v>8</v>
      </c>
      <c r="AB210" s="555">
        <v>8</v>
      </c>
      <c r="AC210" s="555">
        <v>8</v>
      </c>
      <c r="AD210" s="536">
        <v>8</v>
      </c>
      <c r="AE210" s="536">
        <v>8</v>
      </c>
      <c r="AF210" s="536">
        <v>8</v>
      </c>
      <c r="AG210" s="536">
        <v>8</v>
      </c>
      <c r="AH210" s="536">
        <v>8</v>
      </c>
      <c r="AI210" s="538">
        <v>11</v>
      </c>
    </row>
  </sheetData>
  <sheetProtection formatColumns="0" formatRows="0" insertRows="0" deleteColumns="0" deleteRows="0" sort="0" autoFilter="0"/>
  <mergeCells count="9">
    <mergeCell ref="F40:G40"/>
    <mergeCell ref="E6:I6"/>
    <mergeCell ref="E7:I7"/>
    <mergeCell ref="F10:G10"/>
    <mergeCell ref="M10:M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L34">
      <formula1>-9.99999999999999E+37</formula1>
      <formula2>9.99999999999999E+37</formula2>
    </dataValidation>
    <dataValidation type="decimal" allowBlank="1" showErrorMessage="1" errorTitle="Ошибка" error="Допускается ввод только действительных чисел!" sqref="H30:L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L35">
      <formula1>900</formula1>
    </dataValidation>
    <dataValidation type="decimal" allowBlank="1" showErrorMessage="1" errorTitle="Ошибка" error="Допускается ввод только неотрицательных чисел!" sqref="H31:L31 H2:L2 H15:L15 H17:L27 H36:L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L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02"/>
  <sheetViews>
    <sheetView showGridLines="0" zoomScale="80" workbookViewId="0">
      <pane xSplit="8" ySplit="11" topLeftCell="I48" activePane="bottomRight" state="frozen"/>
      <selection pane="topRight" activeCell="I1" sqref="I1"/>
      <selection pane="bottomLeft" activeCell="A12" sqref="A12"/>
      <selection pane="bottomRight" activeCell="O64" sqref="O64"/>
    </sheetView>
  </sheetViews>
  <sheetFormatPr defaultColWidth="10.5703125" defaultRowHeight="11.25" customHeight="1"/>
  <cols>
    <col min="1" max="1" width="9.140625" style="1029" hidden="1" customWidth="1"/>
    <col min="2" max="2" width="3.5703125" style="1029" hidden="1" customWidth="1"/>
    <col min="3" max="3" width="3" style="1029" customWidth="1"/>
    <col min="4" max="4" width="7" style="1029" customWidth="1"/>
    <col min="5" max="5" width="69" style="1029" customWidth="1"/>
    <col min="6" max="6" width="10" style="1029" customWidth="1"/>
    <col min="7" max="8" width="44" style="1029" hidden="1" customWidth="1"/>
    <col min="9" max="9" width="44" style="1029" customWidth="1"/>
    <col min="10" max="10" width="43" style="1029" customWidth="1"/>
    <col min="11" max="11" width="44" style="1029" customWidth="1"/>
    <col min="12" max="12" width="16.28515625" style="1029" customWidth="1"/>
    <col min="13" max="13" width="44" style="1029" customWidth="1"/>
    <col min="14" max="14" width="19.42578125" style="1029" customWidth="1"/>
    <col min="15" max="15" width="44" style="1029" customWidth="1"/>
    <col min="16" max="16" width="22.28515625" style="1029" customWidth="1"/>
    <col min="17" max="17" width="73" style="1029" customWidth="1"/>
    <col min="18" max="18" width="3" style="1029" customWidth="1"/>
    <col min="19" max="29" width="10" style="1029" customWidth="1"/>
    <col min="30" max="30" width="10.5703125" style="1029" hidden="1"/>
  </cols>
  <sheetData>
    <row r="1" spans="1:30" ht="22.5" hidden="1" customHeight="1">
      <c r="G1" s="555">
        <v>4</v>
      </c>
      <c r="I1" s="555">
        <v>4</v>
      </c>
      <c r="K1" s="9">
        <v>4</v>
      </c>
      <c r="L1"/>
      <c r="M1" s="9">
        <v>4</v>
      </c>
      <c r="N1"/>
      <c r="O1" s="9">
        <v>4</v>
      </c>
      <c r="P1"/>
      <c r="Q1" s="555" t="s">
        <v>90</v>
      </c>
      <c r="AD1" s="555" t="s">
        <v>14</v>
      </c>
    </row>
    <row r="2" spans="1:30" ht="3" customHeight="1">
      <c r="K2"/>
      <c r="L2"/>
      <c r="M2"/>
      <c r="N2"/>
      <c r="O2"/>
      <c r="P2"/>
      <c r="AD2" s="538">
        <v>3</v>
      </c>
    </row>
    <row r="3" spans="1:30" ht="78.75" customHeight="1">
      <c r="D3" s="108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082"/>
      <c r="F3" s="1083"/>
      <c r="K3"/>
      <c r="L3"/>
      <c r="M3"/>
      <c r="N3"/>
      <c r="O3"/>
      <c r="P3"/>
      <c r="AD3" s="538">
        <v>75</v>
      </c>
    </row>
    <row r="4" spans="1:30" ht="21" customHeight="1">
      <c r="D4" s="1159" t="str">
        <f>IF(org=0,"Не определено",org)</f>
        <v>АО "НИЖЕГОРОДСКИЙ ВОДОКАНАЛ"</v>
      </c>
      <c r="E4" s="1160"/>
      <c r="F4" s="1161"/>
      <c r="K4"/>
      <c r="L4"/>
      <c r="M4"/>
      <c r="N4"/>
      <c r="O4"/>
      <c r="P4"/>
      <c r="AD4" s="538">
        <v>20</v>
      </c>
    </row>
    <row r="5" spans="1:30" ht="11.45" customHeight="1">
      <c r="H5" s="629"/>
      <c r="J5" s="629"/>
      <c r="K5"/>
      <c r="L5" s="90"/>
      <c r="M5"/>
      <c r="N5" s="90"/>
      <c r="O5"/>
      <c r="P5" s="90"/>
      <c r="AD5" s="538">
        <v>11</v>
      </c>
    </row>
    <row r="6" spans="1:30" ht="1.1499999999999999" customHeight="1">
      <c r="G6" s="942"/>
      <c r="H6" s="942"/>
      <c r="I6" s="942" t="s">
        <v>122</v>
      </c>
      <c r="J6" s="942"/>
      <c r="K6" s="434" t="s">
        <v>130</v>
      </c>
      <c r="L6" s="434"/>
      <c r="M6" s="434" t="s">
        <v>132</v>
      </c>
      <c r="N6" s="434"/>
      <c r="O6" s="434" t="s">
        <v>127</v>
      </c>
      <c r="P6" s="434"/>
      <c r="AD6" s="538">
        <v>1</v>
      </c>
    </row>
    <row r="7" spans="1:30" ht="11.45" customHeight="1">
      <c r="D7" s="897"/>
      <c r="E7" s="1275" t="s">
        <v>110</v>
      </c>
      <c r="F7" s="1276"/>
      <c r="G7" s="1299" t="str">
        <f>IF(G6="","",INDEX(DIFFERENTIATION_UNMERGE_VD,MATCH(G6,DIFFERENTIATION_ID_DIFF,0)))</f>
        <v/>
      </c>
      <c r="H7" s="1300"/>
      <c r="I7" s="1299" t="str">
        <f>IF(I6="","",INDEX(DIFFERENTIATION_UNMERGE_VD,MATCH(I6,DIFFERENTIATION_ID_DIFF,0)))</f>
        <v>Холодное водоснабжение. Питьевая вода</v>
      </c>
      <c r="J7" s="1300"/>
      <c r="K7" s="1299" t="str">
        <f>IF(K6="","",INDEX(DIFFERENTIATION_UNMERGE_VD,MATCH(K6,DIFFERENTIATION_ID_DIFF,0)))</f>
        <v>Холодное водоснабжение. Техническая вода</v>
      </c>
      <c r="L7" s="1300"/>
      <c r="M7" s="1299" t="str">
        <f>IF(M6="","",INDEX(DIFFERENTIATION_UNMERGE_VD,MATCH(M6,DIFFERENTIATION_ID_DIFF,0)))</f>
        <v>Подключение (технологическое присоединение) к централизованной системе водоснабжения</v>
      </c>
      <c r="N7" s="1300"/>
      <c r="O7" s="1299" t="str">
        <f>IF(O6="","",INDEX(DIFFERENTIATION_UNMERGE_VD,MATCH(O6,DIFFERENTIATION_ID_DIFF,0)))</f>
        <v>Холодное водоснабжение. Питьевая вода</v>
      </c>
      <c r="P7" s="1300"/>
      <c r="Q7" s="1126"/>
      <c r="AD7" s="538">
        <v>11</v>
      </c>
    </row>
    <row r="8" spans="1:30" ht="11.45" customHeight="1">
      <c r="D8" s="897"/>
      <c r="E8" s="1275" t="s">
        <v>575</v>
      </c>
      <c r="F8" s="1276"/>
      <c r="G8" s="1299" t="str">
        <f>IF(G6="","",INDEX(DIFFERENTIATION_UNMERGE_AREA,MATCH(G6,DIFFERENTIATION_ID_DIFF,0)))</f>
        <v/>
      </c>
      <c r="H8" s="1300"/>
      <c r="I8" s="1299" t="str">
        <f>IF(I6="","",INDEX(DIFFERENTIATION_UNMERGE_AREA,MATCH(I6,DIFFERENTIATION_ID_DIFF,0)))</f>
        <v>Территория 1</v>
      </c>
      <c r="J8" s="1300"/>
      <c r="K8" s="1299" t="str">
        <f>IF(K6="","",INDEX(DIFFERENTIATION_UNMERGE_AREA,MATCH(K6,DIFFERENTIATION_ID_DIFF,0)))</f>
        <v>Территория 1</v>
      </c>
      <c r="L8" s="1300"/>
      <c r="M8" s="1299" t="str">
        <f>IF(M6="","",INDEX(DIFFERENTIATION_UNMERGE_AREA,MATCH(M6,DIFFERENTIATION_ID_DIFF,0)))</f>
        <v>без дифференциации</v>
      </c>
      <c r="N8" s="1300"/>
      <c r="O8" s="1299" t="str">
        <f>IF(O6="","",INDEX(DIFFERENTIATION_UNMERGE_AREA,MATCH(O6,DIFFERENTIATION_ID_DIFF,0)))</f>
        <v>Территория 2</v>
      </c>
      <c r="P8" s="1300"/>
      <c r="Q8" s="1145"/>
      <c r="AD8" s="538">
        <v>11</v>
      </c>
    </row>
    <row r="9" spans="1:30" ht="11.45" customHeight="1">
      <c r="D9" s="897"/>
      <c r="E9" s="1275" t="s">
        <v>576</v>
      </c>
      <c r="F9" s="1276"/>
      <c r="G9" s="1299" t="str">
        <f>IF(G6="","",INDEX(DIFFERENTIATION_UNMERGE_SYSTEM,MATCH(G6,DIFFERENTIATION_ID_DIFF,0)))</f>
        <v/>
      </c>
      <c r="H9" s="1300"/>
      <c r="I9" s="1299" t="str">
        <f>IF(I6="","",INDEX(DIFFERENTIATION_UNMERGE_SYSTEM,MATCH(I6,DIFFERENTIATION_ID_DIFF,0)))</f>
        <v>Централизованная система водоснабжения города Нижнего Новгорода (1)</v>
      </c>
      <c r="J9" s="1300"/>
      <c r="K9" s="1299" t="str">
        <f>IF(K6="","",INDEX(DIFFERENTIATION_UNMERGE_SYSTEM,MATCH(K6,DIFFERENTIATION_ID_DIFF,0)))</f>
        <v>Централизованная система водоснабжения города Нижнего Новгорода (2)</v>
      </c>
      <c r="L9" s="1300"/>
      <c r="M9" s="1299" t="str">
        <f>IF(M6="","",INDEX(DIFFERENTIATION_UNMERGE_SYSTEM,MATCH(M6,DIFFERENTIATION_ID_DIFF,0)))</f>
        <v>без дифференциации</v>
      </c>
      <c r="N9" s="1300"/>
      <c r="O9" s="1299" t="str">
        <f>IF(O6="","",INDEX(DIFFERENTIATION_UNMERGE_SYSTEM,MATCH(O6,DIFFERENTIATION_ID_DIFF,0)))</f>
        <v>Централизованная система водоснабжения Кстовского муниципального района</v>
      </c>
      <c r="P9" s="1300"/>
      <c r="Q9" s="1145"/>
      <c r="AD9" s="538">
        <v>11</v>
      </c>
    </row>
    <row r="10" spans="1:30" ht="11.45" customHeight="1">
      <c r="D10" s="1048" t="s">
        <v>311</v>
      </c>
      <c r="E10" s="1053"/>
      <c r="F10" s="1053"/>
      <c r="G10" s="1053"/>
      <c r="H10" s="1053"/>
      <c r="I10" s="1053"/>
      <c r="J10" s="1047"/>
      <c r="K10" s="27"/>
      <c r="L10" s="27"/>
      <c r="M10" s="27"/>
      <c r="N10" s="27"/>
      <c r="O10" s="27"/>
      <c r="P10" s="27"/>
      <c r="Q10" s="1145"/>
      <c r="AD10" s="538">
        <v>11</v>
      </c>
    </row>
    <row r="11" spans="1:30" ht="24" customHeight="1">
      <c r="A11" s="1031"/>
      <c r="B11" s="1031"/>
      <c r="D11" s="583" t="s">
        <v>87</v>
      </c>
      <c r="E11" s="583" t="s">
        <v>827</v>
      </c>
      <c r="F11" s="583" t="s">
        <v>577</v>
      </c>
      <c r="G11" s="583" t="s">
        <v>314</v>
      </c>
      <c r="H11" s="583" t="s">
        <v>401</v>
      </c>
      <c r="I11" s="583" t="s">
        <v>314</v>
      </c>
      <c r="J11" s="543" t="s">
        <v>401</v>
      </c>
      <c r="K11" s="35" t="s">
        <v>314</v>
      </c>
      <c r="L11" s="35" t="s">
        <v>401</v>
      </c>
      <c r="M11" s="35" t="s">
        <v>314</v>
      </c>
      <c r="N11" s="35" t="s">
        <v>401</v>
      </c>
      <c r="O11" s="35" t="s">
        <v>314</v>
      </c>
      <c r="P11" s="35" t="s">
        <v>401</v>
      </c>
      <c r="Q11" s="1173"/>
      <c r="AD11" s="538">
        <v>23</v>
      </c>
    </row>
    <row r="12" spans="1:30" ht="10.5" customHeight="1">
      <c r="D12" s="358" t="s">
        <v>114</v>
      </c>
      <c r="E12" s="358" t="s">
        <v>102</v>
      </c>
      <c r="F12" s="358" t="s">
        <v>89</v>
      </c>
      <c r="G12" s="575" t="str">
        <f>G1&amp;".1"</f>
        <v>4.1</v>
      </c>
      <c r="H12" s="575" t="str">
        <f>G1&amp;".2"</f>
        <v>4.2</v>
      </c>
      <c r="I12" s="575" t="str">
        <f>I1&amp;".1"</f>
        <v>4.1</v>
      </c>
      <c r="J12" s="575" t="str">
        <f>I1&amp;".2"</f>
        <v>4.2</v>
      </c>
      <c r="K12" s="26" t="str">
        <f>K1&amp;".1"</f>
        <v>4.1</v>
      </c>
      <c r="L12" s="26" t="str">
        <f>K1&amp;".2"</f>
        <v>4.2</v>
      </c>
      <c r="M12" s="26" t="str">
        <f>M1&amp;".1"</f>
        <v>4.1</v>
      </c>
      <c r="N12" s="26" t="str">
        <f>M1&amp;".2"</f>
        <v>4.2</v>
      </c>
      <c r="O12" s="26" t="str">
        <f>O1&amp;".1"</f>
        <v>4.1</v>
      </c>
      <c r="P12" s="26" t="str">
        <f>O1&amp;".2"</f>
        <v>4.2</v>
      </c>
      <c r="AD12" s="577">
        <v>10</v>
      </c>
    </row>
    <row r="13" spans="1:30" ht="22.5" hidden="1" customHeight="1">
      <c r="A13" s="1301" t="s">
        <v>828</v>
      </c>
      <c r="D13" s="55" t="s">
        <v>114</v>
      </c>
      <c r="E13" s="619" t="s">
        <v>829</v>
      </c>
      <c r="F13" s="28" t="s">
        <v>830</v>
      </c>
      <c r="G13" s="406"/>
      <c r="H13" s="435"/>
      <c r="I13" s="406"/>
      <c r="J13" s="435"/>
      <c r="K13" s="406"/>
      <c r="L13" s="435"/>
      <c r="M13" s="406"/>
      <c r="N13" s="435"/>
      <c r="O13" s="406"/>
      <c r="P13" s="435"/>
      <c r="Q13" s="795" t="s">
        <v>831</v>
      </c>
      <c r="R13" s="943"/>
      <c r="AD13" s="538">
        <v>0</v>
      </c>
    </row>
    <row r="14" spans="1:30" ht="22.5" hidden="1" customHeight="1">
      <c r="A14" s="1301"/>
      <c r="D14" s="55" t="s">
        <v>102</v>
      </c>
      <c r="E14" s="619" t="s">
        <v>832</v>
      </c>
      <c r="F14" s="28" t="s">
        <v>833</v>
      </c>
      <c r="G14" s="406"/>
      <c r="H14" s="435"/>
      <c r="I14" s="406"/>
      <c r="J14" s="435"/>
      <c r="K14" s="406"/>
      <c r="L14" s="435"/>
      <c r="M14" s="406"/>
      <c r="N14" s="435"/>
      <c r="O14" s="406"/>
      <c r="P14" s="435"/>
      <c r="Q14" s="795" t="s">
        <v>834</v>
      </c>
      <c r="R14" s="943"/>
      <c r="AD14" s="538">
        <v>0</v>
      </c>
    </row>
    <row r="15" spans="1:30" ht="78.75" hidden="1" customHeight="1">
      <c r="A15" s="1301"/>
      <c r="D15" s="55" t="s">
        <v>89</v>
      </c>
      <c r="E15" s="619" t="s">
        <v>835</v>
      </c>
      <c r="F15" s="583" t="s">
        <v>317</v>
      </c>
      <c r="G15" s="583" t="s">
        <v>317</v>
      </c>
      <c r="H15" s="106"/>
      <c r="I15" s="583" t="s">
        <v>317</v>
      </c>
      <c r="J15" s="106"/>
      <c r="K15" s="35" t="s">
        <v>317</v>
      </c>
      <c r="L15" s="106"/>
      <c r="M15" s="35" t="s">
        <v>317</v>
      </c>
      <c r="N15" s="106"/>
      <c r="O15" s="35" t="s">
        <v>317</v>
      </c>
      <c r="P15" s="106"/>
      <c r="Q15" s="795" t="s">
        <v>836</v>
      </c>
      <c r="R15" s="943"/>
      <c r="AD15" s="538">
        <v>0</v>
      </c>
    </row>
    <row r="16" spans="1:30" ht="22.5" hidden="1" customHeight="1">
      <c r="A16" s="1301"/>
      <c r="D16" s="55" t="s">
        <v>335</v>
      </c>
      <c r="E16" s="888" t="s">
        <v>837</v>
      </c>
      <c r="F16" s="583" t="s">
        <v>838</v>
      </c>
      <c r="G16" s="384"/>
      <c r="H16" s="106"/>
      <c r="I16" s="384"/>
      <c r="J16" s="106"/>
      <c r="K16" s="384"/>
      <c r="L16" s="106"/>
      <c r="M16" s="384"/>
      <c r="N16" s="106"/>
      <c r="O16" s="384"/>
      <c r="P16" s="106"/>
      <c r="Q16" s="795"/>
      <c r="R16" s="943"/>
      <c r="AD16" s="538">
        <v>0</v>
      </c>
    </row>
    <row r="17" spans="1:30" ht="22.5" hidden="1" customHeight="1">
      <c r="A17" s="1301"/>
      <c r="D17" s="55" t="s">
        <v>343</v>
      </c>
      <c r="E17" s="888" t="s">
        <v>839</v>
      </c>
      <c r="F17" s="583" t="s">
        <v>840</v>
      </c>
      <c r="G17" s="384"/>
      <c r="H17" s="106"/>
      <c r="I17" s="384"/>
      <c r="J17" s="106"/>
      <c r="K17" s="384"/>
      <c r="L17" s="106"/>
      <c r="M17" s="384"/>
      <c r="N17" s="106"/>
      <c r="O17" s="384"/>
      <c r="P17" s="106"/>
      <c r="Q17" s="795"/>
      <c r="R17" s="943"/>
      <c r="AD17" s="538">
        <v>0</v>
      </c>
    </row>
    <row r="18" spans="1:30" ht="33.75" hidden="1" customHeight="1">
      <c r="A18" s="1301"/>
      <c r="D18" s="55" t="s">
        <v>345</v>
      </c>
      <c r="E18" s="888" t="s">
        <v>841</v>
      </c>
      <c r="F18" s="583" t="s">
        <v>582</v>
      </c>
      <c r="G18" s="385"/>
      <c r="H18" s="106"/>
      <c r="I18" s="385"/>
      <c r="J18" s="106"/>
      <c r="K18" s="385"/>
      <c r="L18" s="106"/>
      <c r="M18" s="385"/>
      <c r="N18" s="106"/>
      <c r="O18" s="385"/>
      <c r="P18" s="106"/>
      <c r="Q18" s="795"/>
      <c r="R18" s="943"/>
      <c r="AD18" s="538">
        <v>0</v>
      </c>
    </row>
    <row r="19" spans="1:30" ht="101.25" hidden="1" customHeight="1">
      <c r="A19" s="1301"/>
      <c r="D19" s="55" t="s">
        <v>90</v>
      </c>
      <c r="E19" s="619" t="s">
        <v>842</v>
      </c>
      <c r="F19" s="28" t="s">
        <v>557</v>
      </c>
      <c r="G19" s="123"/>
      <c r="H19" s="435"/>
      <c r="I19" s="123"/>
      <c r="J19" s="435"/>
      <c r="K19" s="123"/>
      <c r="L19" s="435"/>
      <c r="M19" s="123"/>
      <c r="N19" s="435"/>
      <c r="O19" s="123"/>
      <c r="P19" s="435"/>
      <c r="Q19" s="795" t="s">
        <v>843</v>
      </c>
      <c r="R19" s="943"/>
      <c r="AD19" s="538">
        <v>0</v>
      </c>
    </row>
    <row r="20" spans="1:30" ht="18.75" hidden="1" customHeight="1">
      <c r="A20" s="1301"/>
      <c r="D20" s="55" t="s">
        <v>774</v>
      </c>
      <c r="E20" s="888" t="s">
        <v>844</v>
      </c>
      <c r="F20" s="583" t="s">
        <v>317</v>
      </c>
      <c r="G20" s="583" t="s">
        <v>317</v>
      </c>
      <c r="H20" s="617" t="s">
        <v>317</v>
      </c>
      <c r="I20" s="583" t="s">
        <v>317</v>
      </c>
      <c r="J20" s="617" t="s">
        <v>317</v>
      </c>
      <c r="K20" s="35" t="s">
        <v>317</v>
      </c>
      <c r="L20" s="78" t="s">
        <v>317</v>
      </c>
      <c r="M20" s="35" t="s">
        <v>317</v>
      </c>
      <c r="N20" s="78" t="s">
        <v>317</v>
      </c>
      <c r="O20" s="35" t="s">
        <v>317</v>
      </c>
      <c r="P20" s="78" t="s">
        <v>317</v>
      </c>
      <c r="Q20" s="543"/>
      <c r="R20" s="943"/>
      <c r="AD20" s="538">
        <v>0</v>
      </c>
    </row>
    <row r="21" spans="1:30" ht="33.75" hidden="1" customHeight="1">
      <c r="A21" s="1301"/>
      <c r="D21" s="55" t="s">
        <v>777</v>
      </c>
      <c r="E21" s="925" t="s">
        <v>845</v>
      </c>
      <c r="F21" s="583" t="s">
        <v>846</v>
      </c>
      <c r="G21" s="385"/>
      <c r="H21" s="436"/>
      <c r="I21" s="385"/>
      <c r="J21" s="436"/>
      <c r="K21" s="385"/>
      <c r="L21" s="436"/>
      <c r="M21" s="385"/>
      <c r="N21" s="436"/>
      <c r="O21" s="385"/>
      <c r="P21" s="436"/>
      <c r="Q21" s="543"/>
      <c r="R21" s="943"/>
      <c r="AD21" s="538">
        <v>0</v>
      </c>
    </row>
    <row r="22" spans="1:30" ht="33.75" hidden="1" customHeight="1">
      <c r="A22" s="1301"/>
      <c r="D22" s="55" t="s">
        <v>780</v>
      </c>
      <c r="E22" s="925" t="s">
        <v>847</v>
      </c>
      <c r="F22" s="583" t="s">
        <v>848</v>
      </c>
      <c r="G22" s="385"/>
      <c r="H22" s="436"/>
      <c r="I22" s="385"/>
      <c r="J22" s="436"/>
      <c r="K22" s="385"/>
      <c r="L22" s="436"/>
      <c r="M22" s="385"/>
      <c r="N22" s="436"/>
      <c r="O22" s="385"/>
      <c r="P22" s="436"/>
      <c r="Q22" s="543"/>
      <c r="R22" s="943"/>
      <c r="AD22" s="538">
        <v>0</v>
      </c>
    </row>
    <row r="23" spans="1:30" ht="22.5" hidden="1" customHeight="1">
      <c r="A23" s="1301"/>
      <c r="D23" s="55" t="s">
        <v>816</v>
      </c>
      <c r="E23" s="888" t="s">
        <v>849</v>
      </c>
      <c r="F23" s="583" t="s">
        <v>317</v>
      </c>
      <c r="G23" s="583" t="s">
        <v>317</v>
      </c>
      <c r="H23" s="617" t="s">
        <v>317</v>
      </c>
      <c r="I23" s="583" t="s">
        <v>317</v>
      </c>
      <c r="J23" s="617" t="s">
        <v>317</v>
      </c>
      <c r="K23" s="35" t="s">
        <v>317</v>
      </c>
      <c r="L23" s="78" t="s">
        <v>317</v>
      </c>
      <c r="M23" s="35" t="s">
        <v>317</v>
      </c>
      <c r="N23" s="78" t="s">
        <v>317</v>
      </c>
      <c r="O23" s="35" t="s">
        <v>317</v>
      </c>
      <c r="P23" s="78" t="s">
        <v>317</v>
      </c>
      <c r="Q23" s="543"/>
      <c r="R23" s="943"/>
      <c r="AD23" s="538">
        <v>0</v>
      </c>
    </row>
    <row r="24" spans="1:30" ht="22.5" hidden="1" customHeight="1">
      <c r="A24" s="1301"/>
      <c r="D24" s="55" t="s">
        <v>850</v>
      </c>
      <c r="E24" s="925" t="s">
        <v>851</v>
      </c>
      <c r="F24" s="583" t="s">
        <v>852</v>
      </c>
      <c r="G24" s="385"/>
      <c r="H24" s="437"/>
      <c r="I24" s="385"/>
      <c r="J24" s="437"/>
      <c r="K24" s="385"/>
      <c r="L24" s="437"/>
      <c r="M24" s="385"/>
      <c r="N24" s="437"/>
      <c r="O24" s="385"/>
      <c r="P24" s="437"/>
      <c r="Q24" s="543"/>
      <c r="R24" s="943"/>
      <c r="AD24" s="538">
        <v>0</v>
      </c>
    </row>
    <row r="25" spans="1:30" ht="22.5" hidden="1" customHeight="1">
      <c r="A25" s="1301"/>
      <c r="D25" s="55" t="s">
        <v>853</v>
      </c>
      <c r="E25" s="925" t="s">
        <v>854</v>
      </c>
      <c r="F25" s="583" t="s">
        <v>317</v>
      </c>
      <c r="G25" s="583" t="s">
        <v>317</v>
      </c>
      <c r="H25" s="617" t="s">
        <v>317</v>
      </c>
      <c r="I25" s="583" t="s">
        <v>317</v>
      </c>
      <c r="J25" s="617" t="s">
        <v>317</v>
      </c>
      <c r="K25" s="35" t="s">
        <v>317</v>
      </c>
      <c r="L25" s="78" t="s">
        <v>317</v>
      </c>
      <c r="M25" s="35" t="s">
        <v>317</v>
      </c>
      <c r="N25" s="78" t="s">
        <v>317</v>
      </c>
      <c r="O25" s="35" t="s">
        <v>317</v>
      </c>
      <c r="P25" s="78" t="s">
        <v>317</v>
      </c>
      <c r="Q25" s="543"/>
      <c r="R25" s="943"/>
      <c r="AD25" s="538">
        <v>0</v>
      </c>
    </row>
    <row r="26" spans="1:30" ht="18.75" hidden="1" customHeight="1">
      <c r="A26" s="1301"/>
      <c r="D26" s="55" t="s">
        <v>855</v>
      </c>
      <c r="E26" s="914" t="s">
        <v>856</v>
      </c>
      <c r="F26" s="583" t="s">
        <v>857</v>
      </c>
      <c r="G26" s="385"/>
      <c r="H26" s="389"/>
      <c r="I26" s="385"/>
      <c r="J26" s="389"/>
      <c r="K26" s="385"/>
      <c r="L26" s="389"/>
      <c r="M26" s="385"/>
      <c r="N26" s="389"/>
      <c r="O26" s="385"/>
      <c r="P26" s="389"/>
      <c r="Q26" s="543"/>
      <c r="R26" s="943"/>
      <c r="AD26" s="538">
        <v>0</v>
      </c>
    </row>
    <row r="27" spans="1:30" ht="18.75" hidden="1" customHeight="1">
      <c r="A27" s="1301"/>
      <c r="D27" s="55" t="s">
        <v>858</v>
      </c>
      <c r="E27" s="914" t="s">
        <v>859</v>
      </c>
      <c r="F27" s="583" t="s">
        <v>860</v>
      </c>
      <c r="G27" s="385"/>
      <c r="H27" s="389"/>
      <c r="I27" s="385"/>
      <c r="J27" s="389"/>
      <c r="K27" s="385"/>
      <c r="L27" s="389"/>
      <c r="M27" s="385"/>
      <c r="N27" s="389"/>
      <c r="O27" s="385"/>
      <c r="P27" s="389"/>
      <c r="Q27" s="543"/>
      <c r="R27" s="943"/>
      <c r="AD27" s="538">
        <v>0</v>
      </c>
    </row>
    <row r="28" spans="1:30" ht="18.75" hidden="1" customHeight="1">
      <c r="A28" s="1301"/>
      <c r="D28" s="55" t="s">
        <v>861</v>
      </c>
      <c r="E28" s="925" t="s">
        <v>862</v>
      </c>
      <c r="F28" s="583" t="s">
        <v>317</v>
      </c>
      <c r="G28" s="583" t="s">
        <v>317</v>
      </c>
      <c r="H28" s="617" t="s">
        <v>317</v>
      </c>
      <c r="I28" s="583" t="s">
        <v>317</v>
      </c>
      <c r="J28" s="617" t="s">
        <v>317</v>
      </c>
      <c r="K28" s="35" t="s">
        <v>317</v>
      </c>
      <c r="L28" s="78" t="s">
        <v>317</v>
      </c>
      <c r="M28" s="35" t="s">
        <v>317</v>
      </c>
      <c r="N28" s="78" t="s">
        <v>317</v>
      </c>
      <c r="O28" s="35" t="s">
        <v>317</v>
      </c>
      <c r="P28" s="78" t="s">
        <v>317</v>
      </c>
      <c r="Q28" s="543"/>
      <c r="R28" s="943"/>
      <c r="AD28" s="538">
        <v>0</v>
      </c>
    </row>
    <row r="29" spans="1:30" ht="18.75" hidden="1" customHeight="1">
      <c r="A29" s="1301"/>
      <c r="D29" s="55" t="s">
        <v>863</v>
      </c>
      <c r="E29" s="914" t="s">
        <v>856</v>
      </c>
      <c r="F29" s="583" t="s">
        <v>864</v>
      </c>
      <c r="G29" s="385"/>
      <c r="H29" s="389"/>
      <c r="I29" s="385"/>
      <c r="J29" s="389"/>
      <c r="K29" s="385"/>
      <c r="L29" s="389"/>
      <c r="M29" s="385"/>
      <c r="N29" s="389"/>
      <c r="O29" s="385"/>
      <c r="P29" s="389"/>
      <c r="Q29" s="543"/>
      <c r="R29" s="943"/>
      <c r="AD29" s="538">
        <v>0</v>
      </c>
    </row>
    <row r="30" spans="1:30" ht="18.75" hidden="1" customHeight="1">
      <c r="A30" s="1301"/>
      <c r="D30" s="55" t="s">
        <v>865</v>
      </c>
      <c r="E30" s="914" t="s">
        <v>866</v>
      </c>
      <c r="F30" s="583" t="s">
        <v>867</v>
      </c>
      <c r="G30" s="385"/>
      <c r="H30" s="389"/>
      <c r="I30" s="385"/>
      <c r="J30" s="389"/>
      <c r="K30" s="385"/>
      <c r="L30" s="389"/>
      <c r="M30" s="385"/>
      <c r="N30" s="389"/>
      <c r="O30" s="385"/>
      <c r="P30" s="389"/>
      <c r="Q30" s="543"/>
      <c r="R30" s="943"/>
      <c r="AD30" s="538">
        <v>0</v>
      </c>
    </row>
    <row r="31" spans="1:30" ht="126.75" hidden="1" customHeight="1">
      <c r="A31" s="1301"/>
      <c r="D31" s="55" t="s">
        <v>115</v>
      </c>
      <c r="E31" s="619" t="s">
        <v>868</v>
      </c>
      <c r="F31" s="28" t="s">
        <v>569</v>
      </c>
      <c r="G31" s="406"/>
      <c r="H31" s="435"/>
      <c r="I31" s="406"/>
      <c r="J31" s="435"/>
      <c r="K31" s="406"/>
      <c r="L31" s="435"/>
      <c r="M31" s="406"/>
      <c r="N31" s="435"/>
      <c r="O31" s="406"/>
      <c r="P31" s="435"/>
      <c r="Q31" s="795" t="s">
        <v>869</v>
      </c>
      <c r="R31" s="943"/>
      <c r="AD31" s="538">
        <v>0</v>
      </c>
    </row>
    <row r="32" spans="1:30" ht="56.25" hidden="1" customHeight="1">
      <c r="A32" s="1301"/>
      <c r="D32" s="55" t="s">
        <v>91</v>
      </c>
      <c r="E32" s="619" t="s">
        <v>870</v>
      </c>
      <c r="F32" s="55" t="s">
        <v>840</v>
      </c>
      <c r="G32" s="406"/>
      <c r="H32" s="435"/>
      <c r="I32" s="406"/>
      <c r="J32" s="435"/>
      <c r="K32" s="406"/>
      <c r="L32" s="435"/>
      <c r="M32" s="406"/>
      <c r="N32" s="435"/>
      <c r="O32" s="406"/>
      <c r="P32" s="435"/>
      <c r="Q32" s="795" t="s">
        <v>871</v>
      </c>
      <c r="R32" s="943"/>
      <c r="AD32" s="538">
        <v>0</v>
      </c>
    </row>
    <row r="33" spans="1:30" ht="11.25" hidden="1" customHeight="1">
      <c r="A33" s="1301"/>
      <c r="AD33" s="538">
        <v>0</v>
      </c>
    </row>
    <row r="34" spans="1:30" ht="12.75" hidden="1" customHeight="1">
      <c r="A34" s="1301"/>
      <c r="D34" s="825">
        <v>1</v>
      </c>
      <c r="E34" s="736" t="s">
        <v>872</v>
      </c>
      <c r="AD34" s="538">
        <v>0</v>
      </c>
    </row>
    <row r="35" spans="1:30" ht="11.25" hidden="1" customHeight="1">
      <c r="A35" s="1301"/>
      <c r="E35" s="736" t="s">
        <v>873</v>
      </c>
      <c r="AD35" s="538">
        <v>0</v>
      </c>
    </row>
    <row r="36" spans="1:30" ht="11.45" customHeight="1">
      <c r="AD36" s="538">
        <v>11</v>
      </c>
    </row>
    <row r="37" spans="1:30" ht="22.5" customHeight="1">
      <c r="A37" s="1301" t="s">
        <v>874</v>
      </c>
      <c r="D37" s="55">
        <v>1</v>
      </c>
      <c r="E37" s="619" t="s">
        <v>875</v>
      </c>
      <c r="F37" s="28" t="s">
        <v>830</v>
      </c>
      <c r="G37" s="406"/>
      <c r="H37" s="438"/>
      <c r="I37" s="406">
        <v>1.71</v>
      </c>
      <c r="J37" s="438"/>
      <c r="K37" s="406">
        <v>0</v>
      </c>
      <c r="L37" s="438"/>
      <c r="M37" s="406">
        <v>0</v>
      </c>
      <c r="N37" s="438"/>
      <c r="O37" s="406">
        <v>0.65</v>
      </c>
      <c r="P37" s="438"/>
      <c r="Q37" s="795" t="s">
        <v>876</v>
      </c>
      <c r="AD37" s="538">
        <v>0</v>
      </c>
    </row>
    <row r="38" spans="1:30" ht="22.5" customHeight="1">
      <c r="A38" s="1301"/>
      <c r="D38" s="439" t="s">
        <v>102</v>
      </c>
      <c r="E38" s="944" t="s">
        <v>877</v>
      </c>
      <c r="F38" s="440" t="s">
        <v>557</v>
      </c>
      <c r="G38" s="440" t="s">
        <v>557</v>
      </c>
      <c r="H38" s="441"/>
      <c r="I38" s="440" t="s">
        <v>557</v>
      </c>
      <c r="J38" s="441"/>
      <c r="K38" s="440" t="s">
        <v>557</v>
      </c>
      <c r="L38" s="441"/>
      <c r="M38" s="440" t="s">
        <v>557</v>
      </c>
      <c r="N38" s="441"/>
      <c r="O38" s="440" t="s">
        <v>557</v>
      </c>
      <c r="P38" s="441"/>
      <c r="Q38" s="822"/>
      <c r="AD38" s="538">
        <v>0</v>
      </c>
    </row>
    <row r="39" spans="1:30" ht="33.75" customHeight="1">
      <c r="A39" s="1301"/>
      <c r="D39" s="442" t="s">
        <v>732</v>
      </c>
      <c r="E39" s="945" t="s">
        <v>878</v>
      </c>
      <c r="F39" s="28" t="s">
        <v>879</v>
      </c>
      <c r="G39" s="236"/>
      <c r="H39" s="443"/>
      <c r="I39" s="236">
        <v>0</v>
      </c>
      <c r="J39" s="443"/>
      <c r="K39" s="236">
        <v>0</v>
      </c>
      <c r="L39" s="443"/>
      <c r="M39" s="236">
        <v>0</v>
      </c>
      <c r="N39" s="443"/>
      <c r="O39" s="236">
        <v>0</v>
      </c>
      <c r="P39" s="443"/>
      <c r="Q39" s="795" t="s">
        <v>880</v>
      </c>
      <c r="AD39" s="538">
        <v>0</v>
      </c>
    </row>
    <row r="40" spans="1:30" ht="33.75" customHeight="1">
      <c r="A40" s="1301"/>
      <c r="D40" s="442" t="s">
        <v>735</v>
      </c>
      <c r="E40" s="945" t="s">
        <v>881</v>
      </c>
      <c r="F40" s="444" t="s">
        <v>882</v>
      </c>
      <c r="G40" s="445"/>
      <c r="H40" s="443"/>
      <c r="I40" s="445">
        <v>0</v>
      </c>
      <c r="J40" s="443"/>
      <c r="K40" s="445">
        <v>0</v>
      </c>
      <c r="L40" s="443"/>
      <c r="M40" s="445">
        <v>0</v>
      </c>
      <c r="N40" s="443"/>
      <c r="O40" s="445">
        <v>0</v>
      </c>
      <c r="P40" s="443"/>
      <c r="Q40" s="795" t="s">
        <v>883</v>
      </c>
      <c r="AD40" s="538">
        <v>0</v>
      </c>
    </row>
    <row r="41" spans="1:30" ht="22.5" customHeight="1">
      <c r="A41" s="1301"/>
      <c r="D41" s="442" t="s">
        <v>89</v>
      </c>
      <c r="E41" s="946" t="s">
        <v>884</v>
      </c>
      <c r="F41" s="28" t="s">
        <v>557</v>
      </c>
      <c r="G41" s="28" t="s">
        <v>557</v>
      </c>
      <c r="H41" s="446"/>
      <c r="I41" s="28" t="s">
        <v>557</v>
      </c>
      <c r="J41" s="446"/>
      <c r="K41" s="28" t="s">
        <v>557</v>
      </c>
      <c r="L41" s="446"/>
      <c r="M41" s="28" t="s">
        <v>557</v>
      </c>
      <c r="N41" s="446"/>
      <c r="O41" s="28" t="s">
        <v>557</v>
      </c>
      <c r="P41" s="446"/>
      <c r="Q41" s="852"/>
      <c r="AD41" s="538">
        <v>0</v>
      </c>
    </row>
    <row r="42" spans="1:30" ht="45" customHeight="1">
      <c r="A42" s="1301"/>
      <c r="D42" s="442" t="s">
        <v>335</v>
      </c>
      <c r="E42" s="945" t="s">
        <v>885</v>
      </c>
      <c r="F42" s="28" t="s">
        <v>569</v>
      </c>
      <c r="G42" s="406"/>
      <c r="H42" s="446"/>
      <c r="I42" s="406">
        <v>26.69</v>
      </c>
      <c r="J42" s="446"/>
      <c r="K42" s="406">
        <v>0</v>
      </c>
      <c r="L42" s="446"/>
      <c r="M42" s="406">
        <v>0</v>
      </c>
      <c r="N42" s="446"/>
      <c r="O42" s="406">
        <v>5.72</v>
      </c>
      <c r="P42" s="446"/>
      <c r="Q42" s="852" t="s">
        <v>886</v>
      </c>
      <c r="AD42" s="538">
        <v>0</v>
      </c>
    </row>
    <row r="43" spans="1:30" ht="45" customHeight="1">
      <c r="A43" s="1301"/>
      <c r="D43" s="442" t="s">
        <v>343</v>
      </c>
      <c r="E43" s="947" t="s">
        <v>887</v>
      </c>
      <c r="F43" s="447" t="s">
        <v>569</v>
      </c>
      <c r="G43" s="419"/>
      <c r="H43" s="443"/>
      <c r="I43" s="419">
        <v>0.64</v>
      </c>
      <c r="J43" s="443"/>
      <c r="K43" s="419">
        <v>0</v>
      </c>
      <c r="L43" s="443"/>
      <c r="M43" s="419">
        <v>0</v>
      </c>
      <c r="N43" s="443"/>
      <c r="O43" s="419">
        <v>0</v>
      </c>
      <c r="P43" s="443"/>
      <c r="Q43" s="852" t="s">
        <v>888</v>
      </c>
      <c r="AD43" s="538">
        <v>0</v>
      </c>
    </row>
    <row r="44" spans="1:30" ht="11.25" customHeight="1">
      <c r="A44" s="1301"/>
      <c r="D44" s="442" t="s">
        <v>90</v>
      </c>
      <c r="E44" s="948" t="s">
        <v>889</v>
      </c>
      <c r="F44" s="28" t="s">
        <v>879</v>
      </c>
      <c r="G44" s="236"/>
      <c r="H44" s="443"/>
      <c r="I44" s="236">
        <v>20973</v>
      </c>
      <c r="J44" s="443"/>
      <c r="K44" s="236">
        <v>0</v>
      </c>
      <c r="L44" s="443"/>
      <c r="M44" s="236">
        <v>0</v>
      </c>
      <c r="N44" s="443"/>
      <c r="O44" s="236">
        <v>3184</v>
      </c>
      <c r="P44" s="443"/>
      <c r="Q44" s="795"/>
      <c r="AD44" s="538">
        <v>0</v>
      </c>
    </row>
    <row r="45" spans="1:30" ht="11.25" customHeight="1">
      <c r="A45" s="1301"/>
      <c r="D45" s="442" t="s">
        <v>774</v>
      </c>
      <c r="E45" s="947" t="s">
        <v>890</v>
      </c>
      <c r="F45" s="28" t="s">
        <v>879</v>
      </c>
      <c r="G45" s="236"/>
      <c r="H45" s="443"/>
      <c r="I45" s="236">
        <v>9278</v>
      </c>
      <c r="J45" s="443"/>
      <c r="K45" s="236">
        <v>0</v>
      </c>
      <c r="L45" s="443"/>
      <c r="M45" s="236">
        <v>0</v>
      </c>
      <c r="N45" s="443"/>
      <c r="O45" s="236">
        <v>1592</v>
      </c>
      <c r="P45" s="443"/>
      <c r="Q45" s="795"/>
      <c r="AD45" s="538">
        <v>0</v>
      </c>
    </row>
    <row r="46" spans="1:30" ht="11.25" customHeight="1">
      <c r="A46" s="1301"/>
      <c r="D46" s="442" t="s">
        <v>816</v>
      </c>
      <c r="E46" s="947" t="s">
        <v>891</v>
      </c>
      <c r="F46" s="28" t="s">
        <v>879</v>
      </c>
      <c r="G46" s="236"/>
      <c r="H46" s="443"/>
      <c r="I46" s="236">
        <v>9278</v>
      </c>
      <c r="J46" s="443"/>
      <c r="K46" s="236">
        <v>0</v>
      </c>
      <c r="L46" s="443"/>
      <c r="M46" s="236">
        <v>0</v>
      </c>
      <c r="N46" s="443"/>
      <c r="O46" s="236">
        <v>1592</v>
      </c>
      <c r="P46" s="443"/>
      <c r="Q46" s="795"/>
      <c r="AD46" s="538">
        <v>0</v>
      </c>
    </row>
    <row r="47" spans="1:30" ht="11.25" customHeight="1">
      <c r="A47" s="1301"/>
      <c r="D47" s="442" t="s">
        <v>819</v>
      </c>
      <c r="E47" s="947" t="s">
        <v>892</v>
      </c>
      <c r="F47" s="28" t="s">
        <v>879</v>
      </c>
      <c r="G47" s="236"/>
      <c r="H47" s="443"/>
      <c r="I47" s="236">
        <v>9294</v>
      </c>
      <c r="J47" s="443"/>
      <c r="K47" s="236">
        <v>0</v>
      </c>
      <c r="L47" s="443"/>
      <c r="M47" s="236">
        <v>0</v>
      </c>
      <c r="N47" s="443"/>
      <c r="O47" s="236">
        <v>212</v>
      </c>
      <c r="P47" s="443"/>
      <c r="Q47" s="795"/>
      <c r="AD47" s="538">
        <v>0</v>
      </c>
    </row>
    <row r="48" spans="1:30" ht="11.25" customHeight="1">
      <c r="A48" s="1301"/>
      <c r="D48" s="442" t="s">
        <v>893</v>
      </c>
      <c r="E48" s="949" t="s">
        <v>894</v>
      </c>
      <c r="F48" s="28" t="s">
        <v>879</v>
      </c>
      <c r="G48" s="236"/>
      <c r="H48" s="443"/>
      <c r="I48" s="236">
        <v>9294</v>
      </c>
      <c r="J48" s="443"/>
      <c r="K48" s="236">
        <v>0</v>
      </c>
      <c r="L48" s="443"/>
      <c r="M48" s="236">
        <v>0</v>
      </c>
      <c r="N48" s="443"/>
      <c r="O48" s="236">
        <v>212</v>
      </c>
      <c r="P48" s="443"/>
      <c r="Q48" s="795"/>
      <c r="AD48" s="538">
        <v>0</v>
      </c>
    </row>
    <row r="49" spans="1:30" ht="11.25" customHeight="1">
      <c r="A49" s="1301"/>
      <c r="D49" s="442" t="s">
        <v>895</v>
      </c>
      <c r="E49" s="949" t="s">
        <v>896</v>
      </c>
      <c r="F49" s="28" t="s">
        <v>879</v>
      </c>
      <c r="G49" s="236"/>
      <c r="H49" s="443"/>
      <c r="I49" s="236">
        <v>9294</v>
      </c>
      <c r="J49" s="443"/>
      <c r="K49" s="236">
        <v>0</v>
      </c>
      <c r="L49" s="443"/>
      <c r="M49" s="236">
        <v>0</v>
      </c>
      <c r="N49" s="443"/>
      <c r="O49" s="236">
        <v>212</v>
      </c>
      <c r="P49" s="443"/>
      <c r="Q49" s="795"/>
      <c r="AD49" s="538">
        <v>0</v>
      </c>
    </row>
    <row r="50" spans="1:30" ht="11.25" customHeight="1">
      <c r="A50" s="1301"/>
      <c r="D50" s="442" t="s">
        <v>897</v>
      </c>
      <c r="E50" s="947" t="s">
        <v>898</v>
      </c>
      <c r="F50" s="28" t="s">
        <v>879</v>
      </c>
      <c r="G50" s="236"/>
      <c r="H50" s="443"/>
      <c r="I50" s="236">
        <v>11678</v>
      </c>
      <c r="J50" s="443"/>
      <c r="K50" s="236">
        <v>0</v>
      </c>
      <c r="L50" s="443"/>
      <c r="M50" s="236">
        <v>0</v>
      </c>
      <c r="N50" s="443"/>
      <c r="O50" s="236">
        <v>1592</v>
      </c>
      <c r="P50" s="443"/>
      <c r="Q50" s="795"/>
      <c r="AD50" s="538">
        <v>0</v>
      </c>
    </row>
    <row r="51" spans="1:30" ht="11.25" customHeight="1">
      <c r="A51" s="1301"/>
      <c r="D51" s="442" t="s">
        <v>899</v>
      </c>
      <c r="E51" s="947" t="s">
        <v>900</v>
      </c>
      <c r="F51" s="28" t="s">
        <v>879</v>
      </c>
      <c r="G51" s="236"/>
      <c r="H51" s="443"/>
      <c r="I51" s="236">
        <v>1059</v>
      </c>
      <c r="J51" s="443"/>
      <c r="K51" s="236">
        <v>0</v>
      </c>
      <c r="L51" s="443"/>
      <c r="M51" s="236">
        <v>0</v>
      </c>
      <c r="N51" s="443"/>
      <c r="O51" s="236">
        <v>761</v>
      </c>
      <c r="P51" s="443"/>
      <c r="Q51" s="795"/>
      <c r="AD51" s="538">
        <v>0</v>
      </c>
    </row>
    <row r="52" spans="1:30" ht="45" customHeight="1">
      <c r="A52" s="1301"/>
      <c r="D52" s="442" t="s">
        <v>115</v>
      </c>
      <c r="E52" s="948" t="s">
        <v>901</v>
      </c>
      <c r="F52" s="28" t="s">
        <v>879</v>
      </c>
      <c r="G52" s="236"/>
      <c r="H52" s="443"/>
      <c r="I52" s="236">
        <v>549</v>
      </c>
      <c r="J52" s="443"/>
      <c r="K52" s="236">
        <v>0</v>
      </c>
      <c r="L52" s="443"/>
      <c r="M52" s="236">
        <v>0</v>
      </c>
      <c r="N52" s="443"/>
      <c r="O52" s="236">
        <v>615</v>
      </c>
      <c r="P52" s="443"/>
      <c r="Q52" s="795"/>
      <c r="AD52" s="538">
        <v>0</v>
      </c>
    </row>
    <row r="53" spans="1:30" ht="11.25" customHeight="1">
      <c r="A53" s="1301"/>
      <c r="D53" s="442" t="s">
        <v>324</v>
      </c>
      <c r="E53" s="947" t="s">
        <v>890</v>
      </c>
      <c r="F53" s="28" t="s">
        <v>879</v>
      </c>
      <c r="G53" s="236"/>
      <c r="H53" s="443"/>
      <c r="I53" s="236">
        <v>53</v>
      </c>
      <c r="J53" s="443"/>
      <c r="K53" s="236">
        <v>0</v>
      </c>
      <c r="L53" s="443"/>
      <c r="M53" s="236">
        <v>0</v>
      </c>
      <c r="N53" s="443"/>
      <c r="O53" s="236">
        <v>18</v>
      </c>
      <c r="P53" s="443"/>
      <c r="Q53" s="795"/>
      <c r="AD53" s="538">
        <v>0</v>
      </c>
    </row>
    <row r="54" spans="1:30" ht="11.25" customHeight="1">
      <c r="A54" s="1301"/>
      <c r="D54" s="442" t="s">
        <v>902</v>
      </c>
      <c r="E54" s="947" t="s">
        <v>891</v>
      </c>
      <c r="F54" s="28" t="s">
        <v>879</v>
      </c>
      <c r="G54" s="236"/>
      <c r="H54" s="443"/>
      <c r="I54" s="236">
        <v>0</v>
      </c>
      <c r="J54" s="443"/>
      <c r="K54" s="236">
        <v>0</v>
      </c>
      <c r="L54" s="443"/>
      <c r="M54" s="236">
        <v>0</v>
      </c>
      <c r="N54" s="443"/>
      <c r="O54" s="236">
        <v>0</v>
      </c>
      <c r="P54" s="443"/>
      <c r="Q54" s="795"/>
      <c r="AD54" s="538">
        <v>0</v>
      </c>
    </row>
    <row r="55" spans="1:30" ht="11.25" customHeight="1">
      <c r="A55" s="1301"/>
      <c r="D55" s="442" t="s">
        <v>903</v>
      </c>
      <c r="E55" s="947" t="s">
        <v>892</v>
      </c>
      <c r="F55" s="28" t="s">
        <v>879</v>
      </c>
      <c r="G55" s="236"/>
      <c r="H55" s="443"/>
      <c r="I55" s="236">
        <v>0</v>
      </c>
      <c r="J55" s="443"/>
      <c r="K55" s="236">
        <v>0</v>
      </c>
      <c r="L55" s="443"/>
      <c r="M55" s="236">
        <v>0</v>
      </c>
      <c r="N55" s="443"/>
      <c r="O55" s="236">
        <v>0</v>
      </c>
      <c r="P55" s="443"/>
      <c r="Q55" s="795"/>
      <c r="AD55" s="538">
        <v>0</v>
      </c>
    </row>
    <row r="56" spans="1:30" ht="11.25" customHeight="1">
      <c r="A56" s="1301"/>
      <c r="D56" s="442" t="s">
        <v>904</v>
      </c>
      <c r="E56" s="949" t="s">
        <v>894</v>
      </c>
      <c r="F56" s="28" t="s">
        <v>879</v>
      </c>
      <c r="G56" s="236"/>
      <c r="H56" s="443"/>
      <c r="I56" s="236">
        <v>0</v>
      </c>
      <c r="J56" s="443"/>
      <c r="K56" s="236">
        <v>0</v>
      </c>
      <c r="L56" s="443"/>
      <c r="M56" s="236">
        <v>0</v>
      </c>
      <c r="N56" s="443"/>
      <c r="O56" s="236">
        <v>0</v>
      </c>
      <c r="P56" s="443"/>
      <c r="Q56" s="795"/>
      <c r="AD56" s="538">
        <v>0</v>
      </c>
    </row>
    <row r="57" spans="1:30" ht="11.25" customHeight="1">
      <c r="A57" s="1301"/>
      <c r="D57" s="442" t="s">
        <v>905</v>
      </c>
      <c r="E57" s="949" t="s">
        <v>896</v>
      </c>
      <c r="F57" s="28" t="s">
        <v>879</v>
      </c>
      <c r="G57" s="236"/>
      <c r="H57" s="443"/>
      <c r="I57" s="236">
        <v>0</v>
      </c>
      <c r="J57" s="443"/>
      <c r="K57" s="236">
        <v>0</v>
      </c>
      <c r="L57" s="443"/>
      <c r="M57" s="236">
        <v>0</v>
      </c>
      <c r="N57" s="443"/>
      <c r="O57" s="236">
        <v>0</v>
      </c>
      <c r="P57" s="443"/>
      <c r="Q57" s="795"/>
      <c r="AD57" s="538">
        <v>0</v>
      </c>
    </row>
    <row r="58" spans="1:30" ht="11.25" customHeight="1">
      <c r="A58" s="1301"/>
      <c r="D58" s="442" t="s">
        <v>906</v>
      </c>
      <c r="E58" s="947" t="s">
        <v>898</v>
      </c>
      <c r="F58" s="28" t="s">
        <v>879</v>
      </c>
      <c r="G58" s="236"/>
      <c r="H58" s="443"/>
      <c r="I58" s="236">
        <v>460</v>
      </c>
      <c r="J58" s="443"/>
      <c r="K58" s="236">
        <v>0</v>
      </c>
      <c r="L58" s="443"/>
      <c r="M58" s="236">
        <v>0</v>
      </c>
      <c r="N58" s="443"/>
      <c r="O58" s="236">
        <v>597</v>
      </c>
      <c r="P58" s="443"/>
      <c r="Q58" s="795"/>
      <c r="AD58" s="538">
        <v>0</v>
      </c>
    </row>
    <row r="59" spans="1:30" ht="11.25" customHeight="1">
      <c r="A59" s="1301"/>
      <c r="D59" s="442" t="s">
        <v>907</v>
      </c>
      <c r="E59" s="947" t="s">
        <v>900</v>
      </c>
      <c r="F59" s="28" t="s">
        <v>879</v>
      </c>
      <c r="G59" s="236"/>
      <c r="H59" s="443"/>
      <c r="I59" s="236">
        <v>61</v>
      </c>
      <c r="J59" s="443"/>
      <c r="K59" s="236">
        <v>0</v>
      </c>
      <c r="L59" s="443"/>
      <c r="M59" s="236">
        <v>0</v>
      </c>
      <c r="N59" s="443"/>
      <c r="O59" s="236">
        <v>203</v>
      </c>
      <c r="P59" s="443"/>
      <c r="Q59" s="795"/>
      <c r="AD59" s="538">
        <v>0</v>
      </c>
    </row>
    <row r="60" spans="1:30" ht="33.75" customHeight="1">
      <c r="A60" s="1301"/>
      <c r="D60" s="442" t="s">
        <v>91</v>
      </c>
      <c r="E60" s="948" t="s">
        <v>908</v>
      </c>
      <c r="F60" s="448" t="s">
        <v>569</v>
      </c>
      <c r="G60" s="419"/>
      <c r="H60" s="443"/>
      <c r="I60" s="419">
        <v>15.02</v>
      </c>
      <c r="J60" s="443"/>
      <c r="K60" s="419">
        <v>0</v>
      </c>
      <c r="L60" s="443"/>
      <c r="M60" s="419">
        <v>19.100000000000001</v>
      </c>
      <c r="N60" s="443"/>
      <c r="O60" s="419">
        <v>4.08</v>
      </c>
      <c r="P60" s="443"/>
      <c r="Q60" s="852" t="s">
        <v>909</v>
      </c>
      <c r="AD60" s="538">
        <v>0</v>
      </c>
    </row>
    <row r="61" spans="1:30" ht="33.75" customHeight="1">
      <c r="A61" s="1301"/>
      <c r="D61" s="442" t="s">
        <v>92</v>
      </c>
      <c r="E61" s="948" t="s">
        <v>910</v>
      </c>
      <c r="F61" s="449" t="s">
        <v>840</v>
      </c>
      <c r="G61" s="236"/>
      <c r="H61" s="443"/>
      <c r="I61" s="236">
        <v>20</v>
      </c>
      <c r="J61" s="443"/>
      <c r="K61" s="236">
        <v>20</v>
      </c>
      <c r="L61" s="443"/>
      <c r="M61" s="236">
        <v>20</v>
      </c>
      <c r="N61" s="443"/>
      <c r="O61" s="236">
        <v>20</v>
      </c>
      <c r="P61" s="443"/>
      <c r="Q61" s="795"/>
      <c r="AD61" s="538">
        <v>0</v>
      </c>
    </row>
    <row r="62" spans="1:30" ht="22.5" customHeight="1">
      <c r="A62" s="1301"/>
      <c r="B62" s="577" t="s">
        <v>606</v>
      </c>
      <c r="D62" s="442" t="s">
        <v>116</v>
      </c>
      <c r="E62" s="948" t="s">
        <v>911</v>
      </c>
      <c r="F62" s="449" t="s">
        <v>317</v>
      </c>
      <c r="G62" s="133"/>
      <c r="H62" s="443"/>
      <c r="I62" s="1001" t="s">
        <v>912</v>
      </c>
      <c r="J62" s="443"/>
      <c r="K62" s="1001" t="s">
        <v>912</v>
      </c>
      <c r="L62" s="443"/>
      <c r="M62" s="1001" t="s">
        <v>912</v>
      </c>
      <c r="N62" s="443"/>
      <c r="O62" s="1001" t="s">
        <v>913</v>
      </c>
      <c r="P62" s="443"/>
      <c r="Q62" s="795" t="s">
        <v>652</v>
      </c>
      <c r="AD62" s="538">
        <v>0</v>
      </c>
    </row>
    <row r="63" spans="1:30" ht="45" customHeight="1">
      <c r="A63" s="1301"/>
      <c r="B63" s="577" t="s">
        <v>606</v>
      </c>
      <c r="D63" s="442" t="s">
        <v>914</v>
      </c>
      <c r="E63" s="947" t="s">
        <v>915</v>
      </c>
      <c r="F63" s="448" t="s">
        <v>317</v>
      </c>
      <c r="G63" s="133"/>
      <c r="H63" s="443"/>
      <c r="I63" s="1001" t="s">
        <v>912</v>
      </c>
      <c r="J63" s="443"/>
      <c r="K63" s="1001" t="s">
        <v>912</v>
      </c>
      <c r="L63" s="443"/>
      <c r="M63" s="1001" t="s">
        <v>912</v>
      </c>
      <c r="N63" s="443"/>
      <c r="O63" s="1001" t="s">
        <v>913</v>
      </c>
      <c r="P63" s="443"/>
      <c r="Q63" s="795" t="s">
        <v>652</v>
      </c>
      <c r="AD63" s="538">
        <v>0</v>
      </c>
    </row>
    <row r="64" spans="1:30" ht="11.45" customHeight="1">
      <c r="AD64" s="538">
        <v>11</v>
      </c>
    </row>
    <row r="65" spans="1:30" ht="22.5" hidden="1" customHeight="1">
      <c r="A65" s="1301" t="s">
        <v>916</v>
      </c>
      <c r="D65" s="442">
        <v>1</v>
      </c>
      <c r="E65" s="950" t="s">
        <v>917</v>
      </c>
      <c r="F65" s="450" t="s">
        <v>830</v>
      </c>
      <c r="G65" s="445"/>
      <c r="H65" s="451"/>
      <c r="I65" s="445"/>
      <c r="J65" s="451"/>
      <c r="K65" s="445"/>
      <c r="L65" s="451"/>
      <c r="M65" s="445"/>
      <c r="N65" s="451"/>
      <c r="O65" s="445"/>
      <c r="P65" s="451"/>
      <c r="Q65" s="817" t="s">
        <v>918</v>
      </c>
      <c r="AD65" s="538">
        <v>0</v>
      </c>
    </row>
    <row r="66" spans="1:30" ht="56.25" hidden="1" customHeight="1">
      <c r="A66" s="1301"/>
      <c r="D66" s="452" t="s">
        <v>102</v>
      </c>
      <c r="E66" s="619" t="s">
        <v>919</v>
      </c>
      <c r="F66" s="28" t="s">
        <v>557</v>
      </c>
      <c r="G66" s="28" t="s">
        <v>557</v>
      </c>
      <c r="H66" s="438"/>
      <c r="I66" s="28" t="s">
        <v>557</v>
      </c>
      <c r="J66" s="438"/>
      <c r="K66" s="28" t="s">
        <v>557</v>
      </c>
      <c r="L66" s="438"/>
      <c r="M66" s="28" t="s">
        <v>557</v>
      </c>
      <c r="N66" s="438"/>
      <c r="O66" s="28" t="s">
        <v>557</v>
      </c>
      <c r="P66" s="438"/>
      <c r="Q66" s="795"/>
      <c r="AD66" s="538">
        <v>0</v>
      </c>
    </row>
    <row r="67" spans="1:30" ht="33.75" hidden="1" customHeight="1">
      <c r="A67" s="1301"/>
      <c r="D67" s="452" t="s">
        <v>729</v>
      </c>
      <c r="E67" s="888" t="s">
        <v>920</v>
      </c>
      <c r="F67" s="28" t="s">
        <v>882</v>
      </c>
      <c r="G67" s="453"/>
      <c r="H67" s="438"/>
      <c r="I67" s="453"/>
      <c r="J67" s="438"/>
      <c r="K67" s="453"/>
      <c r="L67" s="438"/>
      <c r="M67" s="453"/>
      <c r="N67" s="438"/>
      <c r="O67" s="453"/>
      <c r="P67" s="438"/>
      <c r="Q67" s="795"/>
      <c r="AD67" s="538">
        <v>0</v>
      </c>
    </row>
    <row r="68" spans="1:30" ht="22.5" hidden="1" customHeight="1">
      <c r="A68" s="1301"/>
      <c r="D68" s="452" t="s">
        <v>318</v>
      </c>
      <c r="E68" s="888" t="s">
        <v>921</v>
      </c>
      <c r="F68" s="28" t="s">
        <v>882</v>
      </c>
      <c r="G68" s="453"/>
      <c r="H68" s="438"/>
      <c r="I68" s="453"/>
      <c r="J68" s="438"/>
      <c r="K68" s="453"/>
      <c r="L68" s="438"/>
      <c r="M68" s="453"/>
      <c r="N68" s="438"/>
      <c r="O68" s="453"/>
      <c r="P68" s="438"/>
      <c r="Q68" s="795"/>
      <c r="AD68" s="538">
        <v>0</v>
      </c>
    </row>
    <row r="69" spans="1:30" ht="22.5" hidden="1" customHeight="1">
      <c r="A69" s="1301"/>
      <c r="D69" s="452" t="s">
        <v>321</v>
      </c>
      <c r="E69" s="888" t="s">
        <v>922</v>
      </c>
      <c r="F69" s="448" t="s">
        <v>569</v>
      </c>
      <c r="G69" s="419"/>
      <c r="H69" s="438"/>
      <c r="I69" s="419"/>
      <c r="J69" s="438"/>
      <c r="K69" s="419"/>
      <c r="L69" s="438"/>
      <c r="M69" s="419"/>
      <c r="N69" s="438"/>
      <c r="O69" s="419"/>
      <c r="P69" s="438"/>
      <c r="Q69" s="795"/>
      <c r="AD69" s="538">
        <v>0</v>
      </c>
    </row>
    <row r="70" spans="1:30" ht="22.5" hidden="1" customHeight="1">
      <c r="A70" s="1301"/>
      <c r="D70" s="452" t="s">
        <v>749</v>
      </c>
      <c r="E70" s="888" t="s">
        <v>923</v>
      </c>
      <c r="F70" s="448" t="s">
        <v>569</v>
      </c>
      <c r="G70" s="419"/>
      <c r="H70" s="438"/>
      <c r="I70" s="419"/>
      <c r="J70" s="438"/>
      <c r="K70" s="419"/>
      <c r="L70" s="438"/>
      <c r="M70" s="419"/>
      <c r="N70" s="438"/>
      <c r="O70" s="419"/>
      <c r="P70" s="438"/>
      <c r="Q70" s="795"/>
      <c r="AD70" s="538">
        <v>0</v>
      </c>
    </row>
    <row r="71" spans="1:30" ht="22.5" hidden="1" customHeight="1">
      <c r="A71" s="1301"/>
      <c r="D71" s="442" t="s">
        <v>89</v>
      </c>
      <c r="E71" s="948" t="s">
        <v>924</v>
      </c>
      <c r="F71" s="28" t="s">
        <v>882</v>
      </c>
      <c r="G71" s="406"/>
      <c r="H71" s="441"/>
      <c r="I71" s="406"/>
      <c r="J71" s="441"/>
      <c r="K71" s="406"/>
      <c r="L71" s="441"/>
      <c r="M71" s="406"/>
      <c r="N71" s="441"/>
      <c r="O71" s="406"/>
      <c r="P71" s="441"/>
      <c r="Q71" s="852"/>
      <c r="AD71" s="538">
        <v>0</v>
      </c>
    </row>
    <row r="72" spans="1:30" ht="56.25" hidden="1" customHeight="1">
      <c r="A72" s="1301"/>
      <c r="D72" s="442" t="s">
        <v>90</v>
      </c>
      <c r="E72" s="948" t="s">
        <v>925</v>
      </c>
      <c r="F72" s="448" t="s">
        <v>569</v>
      </c>
      <c r="G72" s="419"/>
      <c r="H72" s="443"/>
      <c r="I72" s="419"/>
      <c r="J72" s="443"/>
      <c r="K72" s="419"/>
      <c r="L72" s="443"/>
      <c r="M72" s="419"/>
      <c r="N72" s="443"/>
      <c r="O72" s="419"/>
      <c r="P72" s="443"/>
      <c r="Q72" s="852"/>
      <c r="AD72" s="538">
        <v>0</v>
      </c>
    </row>
    <row r="73" spans="1:30" ht="33.75" hidden="1" customHeight="1">
      <c r="A73" s="1301"/>
      <c r="D73" s="442" t="s">
        <v>115</v>
      </c>
      <c r="E73" s="948" t="s">
        <v>926</v>
      </c>
      <c r="F73" s="449" t="s">
        <v>840</v>
      </c>
      <c r="G73" s="236"/>
      <c r="H73" s="443"/>
      <c r="I73" s="236"/>
      <c r="J73" s="443"/>
      <c r="K73" s="236"/>
      <c r="L73" s="443"/>
      <c r="M73" s="236"/>
      <c r="N73" s="443"/>
      <c r="O73" s="236"/>
      <c r="P73" s="443"/>
      <c r="Q73" s="795"/>
      <c r="AD73" s="538">
        <v>0</v>
      </c>
    </row>
    <row r="74" spans="1:30" ht="22.5" hidden="1" customHeight="1">
      <c r="A74" s="1301"/>
      <c r="B74" s="577" t="s">
        <v>606</v>
      </c>
      <c r="D74" s="442" t="s">
        <v>91</v>
      </c>
      <c r="E74" s="948" t="s">
        <v>927</v>
      </c>
      <c r="F74" s="449" t="s">
        <v>317</v>
      </c>
      <c r="G74" s="133"/>
      <c r="H74" s="443"/>
      <c r="I74" s="133"/>
      <c r="J74" s="443"/>
      <c r="K74" s="133"/>
      <c r="L74" s="443"/>
      <c r="M74" s="133"/>
      <c r="N74" s="443"/>
      <c r="O74" s="133"/>
      <c r="P74" s="443"/>
      <c r="Q74" s="795" t="s">
        <v>652</v>
      </c>
      <c r="AD74" s="538">
        <v>0</v>
      </c>
    </row>
    <row r="75" spans="1:30" ht="45" hidden="1" customHeight="1">
      <c r="A75" s="1301"/>
      <c r="B75" s="577" t="s">
        <v>606</v>
      </c>
      <c r="D75" s="442" t="s">
        <v>673</v>
      </c>
      <c r="E75" s="947" t="s">
        <v>928</v>
      </c>
      <c r="F75" s="448" t="s">
        <v>317</v>
      </c>
      <c r="G75" s="133"/>
      <c r="H75" s="443"/>
      <c r="I75" s="133"/>
      <c r="J75" s="443"/>
      <c r="K75" s="133"/>
      <c r="L75" s="443"/>
      <c r="M75" s="133"/>
      <c r="N75" s="443"/>
      <c r="O75" s="133"/>
      <c r="P75" s="443"/>
      <c r="Q75" s="795" t="s">
        <v>652</v>
      </c>
      <c r="AD75" s="538">
        <v>0</v>
      </c>
    </row>
    <row r="76" spans="1:30" ht="11.45" customHeight="1">
      <c r="AD76" s="538">
        <v>11</v>
      </c>
    </row>
    <row r="77" spans="1:30" ht="11.25" hidden="1" customHeight="1">
      <c r="A77" s="1301" t="s">
        <v>929</v>
      </c>
      <c r="D77" s="442">
        <v>1</v>
      </c>
      <c r="E77" s="948" t="s">
        <v>930</v>
      </c>
      <c r="F77" s="448" t="s">
        <v>830</v>
      </c>
      <c r="G77" s="237"/>
      <c r="H77" s="443"/>
      <c r="I77" s="237"/>
      <c r="J77" s="443"/>
      <c r="K77" s="237"/>
      <c r="L77" s="443"/>
      <c r="M77" s="237"/>
      <c r="N77" s="443"/>
      <c r="O77" s="237"/>
      <c r="P77" s="443"/>
      <c r="Q77" s="795" t="s">
        <v>931</v>
      </c>
      <c r="AD77" s="538">
        <v>0</v>
      </c>
    </row>
    <row r="78" spans="1:30" ht="11.25" hidden="1" customHeight="1">
      <c r="A78" s="1301"/>
      <c r="D78" s="442" t="s">
        <v>102</v>
      </c>
      <c r="E78" s="948" t="s">
        <v>932</v>
      </c>
      <c r="F78" s="448" t="s">
        <v>830</v>
      </c>
      <c r="G78" s="237"/>
      <c r="H78" s="443"/>
      <c r="I78" s="237"/>
      <c r="J78" s="443"/>
      <c r="K78" s="237"/>
      <c r="L78" s="443"/>
      <c r="M78" s="237"/>
      <c r="N78" s="443"/>
      <c r="O78" s="237"/>
      <c r="P78" s="443"/>
      <c r="Q78" s="795" t="s">
        <v>933</v>
      </c>
      <c r="AD78" s="538">
        <v>0</v>
      </c>
    </row>
    <row r="79" spans="1:30" ht="22.5" hidden="1" customHeight="1">
      <c r="A79" s="1301"/>
      <c r="D79" s="442" t="s">
        <v>89</v>
      </c>
      <c r="E79" s="946" t="s">
        <v>934</v>
      </c>
      <c r="F79" s="28" t="s">
        <v>879</v>
      </c>
      <c r="G79" s="237"/>
      <c r="H79" s="443"/>
      <c r="I79" s="237"/>
      <c r="J79" s="443"/>
      <c r="K79" s="237"/>
      <c r="L79" s="443"/>
      <c r="M79" s="237"/>
      <c r="N79" s="443"/>
      <c r="O79" s="237"/>
      <c r="P79" s="443"/>
      <c r="Q79" s="795" t="s">
        <v>935</v>
      </c>
      <c r="AD79" s="538">
        <v>0</v>
      </c>
    </row>
    <row r="80" spans="1:30" ht="11.25" hidden="1" customHeight="1">
      <c r="A80" s="1301"/>
      <c r="D80" s="442" t="s">
        <v>335</v>
      </c>
      <c r="E80" s="945" t="s">
        <v>936</v>
      </c>
      <c r="F80" s="28" t="s">
        <v>879</v>
      </c>
      <c r="G80" s="237"/>
      <c r="H80" s="443"/>
      <c r="I80" s="237"/>
      <c r="J80" s="443"/>
      <c r="K80" s="237"/>
      <c r="L80" s="443"/>
      <c r="M80" s="237"/>
      <c r="N80" s="443"/>
      <c r="O80" s="237"/>
      <c r="P80" s="443"/>
      <c r="Q80" s="795"/>
      <c r="AD80" s="538">
        <v>0</v>
      </c>
    </row>
    <row r="81" spans="1:30" ht="11.25" hidden="1" customHeight="1">
      <c r="A81" s="1301"/>
      <c r="D81" s="442" t="s">
        <v>343</v>
      </c>
      <c r="E81" s="945" t="s">
        <v>937</v>
      </c>
      <c r="F81" s="28" t="s">
        <v>879</v>
      </c>
      <c r="G81" s="237"/>
      <c r="H81" s="443"/>
      <c r="I81" s="237"/>
      <c r="J81" s="443"/>
      <c r="K81" s="237"/>
      <c r="L81" s="443"/>
      <c r="M81" s="237"/>
      <c r="N81" s="443"/>
      <c r="O81" s="237"/>
      <c r="P81" s="443"/>
      <c r="Q81" s="795"/>
      <c r="AD81" s="538">
        <v>0</v>
      </c>
    </row>
    <row r="82" spans="1:30" ht="11.25" hidden="1" customHeight="1">
      <c r="A82" s="1301"/>
      <c r="D82" s="442" t="s">
        <v>345</v>
      </c>
      <c r="E82" s="945" t="s">
        <v>938</v>
      </c>
      <c r="F82" s="28" t="s">
        <v>879</v>
      </c>
      <c r="G82" s="237"/>
      <c r="H82" s="443"/>
      <c r="I82" s="237"/>
      <c r="J82" s="443"/>
      <c r="K82" s="237"/>
      <c r="L82" s="443"/>
      <c r="M82" s="237"/>
      <c r="N82" s="443"/>
      <c r="O82" s="237"/>
      <c r="P82" s="443"/>
      <c r="Q82" s="795"/>
      <c r="AD82" s="538">
        <v>0</v>
      </c>
    </row>
    <row r="83" spans="1:30" ht="11.25" hidden="1" customHeight="1">
      <c r="A83" s="1301"/>
      <c r="D83" s="442" t="s">
        <v>347</v>
      </c>
      <c r="E83" s="945" t="s">
        <v>939</v>
      </c>
      <c r="F83" s="28" t="s">
        <v>879</v>
      </c>
      <c r="G83" s="237"/>
      <c r="H83" s="443"/>
      <c r="I83" s="237"/>
      <c r="J83" s="443"/>
      <c r="K83" s="237"/>
      <c r="L83" s="443"/>
      <c r="M83" s="237"/>
      <c r="N83" s="443"/>
      <c r="O83" s="237"/>
      <c r="P83" s="443"/>
      <c r="Q83" s="795"/>
      <c r="AD83" s="538">
        <v>0</v>
      </c>
    </row>
    <row r="84" spans="1:30" ht="11.25" hidden="1" customHeight="1">
      <c r="A84" s="1301"/>
      <c r="D84" s="442" t="s">
        <v>940</v>
      </c>
      <c r="E84" s="945" t="s">
        <v>941</v>
      </c>
      <c r="F84" s="28" t="s">
        <v>879</v>
      </c>
      <c r="G84" s="237"/>
      <c r="H84" s="443"/>
      <c r="I84" s="237"/>
      <c r="J84" s="443"/>
      <c r="K84" s="237"/>
      <c r="L84" s="443"/>
      <c r="M84" s="237"/>
      <c r="N84" s="443"/>
      <c r="O84" s="237"/>
      <c r="P84" s="443"/>
      <c r="Q84" s="795"/>
      <c r="AD84" s="538">
        <v>0</v>
      </c>
    </row>
    <row r="85" spans="1:30" ht="11.25" hidden="1" customHeight="1">
      <c r="A85" s="1301"/>
      <c r="D85" s="442" t="s">
        <v>942</v>
      </c>
      <c r="E85" s="945" t="s">
        <v>943</v>
      </c>
      <c r="F85" s="28" t="s">
        <v>879</v>
      </c>
      <c r="G85" s="237"/>
      <c r="H85" s="443"/>
      <c r="I85" s="237"/>
      <c r="J85" s="443"/>
      <c r="K85" s="237"/>
      <c r="L85" s="443"/>
      <c r="M85" s="237"/>
      <c r="N85" s="443"/>
      <c r="O85" s="237"/>
      <c r="P85" s="443"/>
      <c r="Q85" s="795"/>
      <c r="AD85" s="538">
        <v>0</v>
      </c>
    </row>
    <row r="86" spans="1:30" ht="11.25" hidden="1" customHeight="1">
      <c r="A86" s="1301"/>
      <c r="D86" s="442" t="s">
        <v>944</v>
      </c>
      <c r="E86" s="945" t="s">
        <v>945</v>
      </c>
      <c r="F86" s="28" t="s">
        <v>879</v>
      </c>
      <c r="G86" s="237"/>
      <c r="H86" s="443"/>
      <c r="I86" s="237"/>
      <c r="J86" s="443"/>
      <c r="K86" s="237"/>
      <c r="L86" s="443"/>
      <c r="M86" s="237"/>
      <c r="N86" s="443"/>
      <c r="O86" s="237"/>
      <c r="P86" s="443"/>
      <c r="Q86" s="795"/>
      <c r="AD86" s="538">
        <v>0</v>
      </c>
    </row>
    <row r="87" spans="1:30" ht="45" hidden="1" customHeight="1">
      <c r="A87" s="1301"/>
      <c r="D87" s="442" t="s">
        <v>90</v>
      </c>
      <c r="E87" s="948" t="s">
        <v>946</v>
      </c>
      <c r="F87" s="28" t="s">
        <v>879</v>
      </c>
      <c r="G87" s="237"/>
      <c r="H87" s="443"/>
      <c r="I87" s="237"/>
      <c r="J87" s="443"/>
      <c r="K87" s="237"/>
      <c r="L87" s="443"/>
      <c r="M87" s="237"/>
      <c r="N87" s="443"/>
      <c r="O87" s="237"/>
      <c r="P87" s="443"/>
      <c r="Q87" s="795" t="s">
        <v>947</v>
      </c>
      <c r="AD87" s="538">
        <v>0</v>
      </c>
    </row>
    <row r="88" spans="1:30" ht="11.25" hidden="1" customHeight="1">
      <c r="A88" s="1301"/>
      <c r="D88" s="442" t="s">
        <v>774</v>
      </c>
      <c r="E88" s="945" t="s">
        <v>936</v>
      </c>
      <c r="F88" s="28" t="s">
        <v>879</v>
      </c>
      <c r="G88" s="237"/>
      <c r="H88" s="443"/>
      <c r="I88" s="237"/>
      <c r="J88" s="443"/>
      <c r="K88" s="237"/>
      <c r="L88" s="443"/>
      <c r="M88" s="237"/>
      <c r="N88" s="443"/>
      <c r="O88" s="237"/>
      <c r="P88" s="443"/>
      <c r="Q88" s="795"/>
      <c r="AD88" s="538">
        <v>0</v>
      </c>
    </row>
    <row r="89" spans="1:30" ht="11.25" hidden="1" customHeight="1">
      <c r="A89" s="1301"/>
      <c r="D89" s="442" t="s">
        <v>816</v>
      </c>
      <c r="E89" s="945" t="s">
        <v>937</v>
      </c>
      <c r="F89" s="28" t="s">
        <v>879</v>
      </c>
      <c r="G89" s="237"/>
      <c r="H89" s="443"/>
      <c r="I89" s="237"/>
      <c r="J89" s="443"/>
      <c r="K89" s="237"/>
      <c r="L89" s="443"/>
      <c r="M89" s="237"/>
      <c r="N89" s="443"/>
      <c r="O89" s="237"/>
      <c r="P89" s="443"/>
      <c r="Q89" s="795"/>
      <c r="AD89" s="538">
        <v>0</v>
      </c>
    </row>
    <row r="90" spans="1:30" ht="11.25" hidden="1" customHeight="1">
      <c r="A90" s="1301"/>
      <c r="D90" s="442" t="s">
        <v>819</v>
      </c>
      <c r="E90" s="945" t="s">
        <v>938</v>
      </c>
      <c r="F90" s="28" t="s">
        <v>879</v>
      </c>
      <c r="G90" s="237"/>
      <c r="H90" s="443"/>
      <c r="I90" s="237"/>
      <c r="J90" s="443"/>
      <c r="K90" s="237"/>
      <c r="L90" s="443"/>
      <c r="M90" s="237"/>
      <c r="N90" s="443"/>
      <c r="O90" s="237"/>
      <c r="P90" s="443"/>
      <c r="Q90" s="795"/>
      <c r="AD90" s="538">
        <v>0</v>
      </c>
    </row>
    <row r="91" spans="1:30" ht="11.25" hidden="1" customHeight="1">
      <c r="A91" s="1301"/>
      <c r="D91" s="442" t="s">
        <v>897</v>
      </c>
      <c r="E91" s="945" t="s">
        <v>939</v>
      </c>
      <c r="F91" s="28" t="s">
        <v>879</v>
      </c>
      <c r="G91" s="237"/>
      <c r="H91" s="443"/>
      <c r="I91" s="237"/>
      <c r="J91" s="443"/>
      <c r="K91" s="237"/>
      <c r="L91" s="443"/>
      <c r="M91" s="237"/>
      <c r="N91" s="443"/>
      <c r="O91" s="237"/>
      <c r="P91" s="443"/>
      <c r="Q91" s="795"/>
      <c r="AD91" s="538">
        <v>0</v>
      </c>
    </row>
    <row r="92" spans="1:30" ht="11.25" hidden="1" customHeight="1">
      <c r="A92" s="1301"/>
      <c r="D92" s="442" t="s">
        <v>899</v>
      </c>
      <c r="E92" s="945" t="s">
        <v>941</v>
      </c>
      <c r="F92" s="28" t="s">
        <v>879</v>
      </c>
      <c r="G92" s="237"/>
      <c r="H92" s="443"/>
      <c r="I92" s="237"/>
      <c r="J92" s="443"/>
      <c r="K92" s="237"/>
      <c r="L92" s="443"/>
      <c r="M92" s="237"/>
      <c r="N92" s="443"/>
      <c r="O92" s="237"/>
      <c r="P92" s="443"/>
      <c r="Q92" s="795"/>
      <c r="AD92" s="538">
        <v>0</v>
      </c>
    </row>
    <row r="93" spans="1:30" ht="11.25" hidden="1" customHeight="1">
      <c r="A93" s="1301"/>
      <c r="D93" s="442" t="s">
        <v>948</v>
      </c>
      <c r="E93" s="945" t="s">
        <v>943</v>
      </c>
      <c r="F93" s="28" t="s">
        <v>879</v>
      </c>
      <c r="G93" s="237"/>
      <c r="H93" s="443"/>
      <c r="I93" s="237"/>
      <c r="J93" s="443"/>
      <c r="K93" s="237"/>
      <c r="L93" s="443"/>
      <c r="M93" s="237"/>
      <c r="N93" s="443"/>
      <c r="O93" s="237"/>
      <c r="P93" s="443"/>
      <c r="Q93" s="795"/>
      <c r="AD93" s="538">
        <v>0</v>
      </c>
    </row>
    <row r="94" spans="1:30" ht="11.25" hidden="1" customHeight="1">
      <c r="A94" s="1301"/>
      <c r="D94" s="442" t="s">
        <v>949</v>
      </c>
      <c r="E94" s="945" t="s">
        <v>945</v>
      </c>
      <c r="F94" s="28" t="s">
        <v>879</v>
      </c>
      <c r="G94" s="237"/>
      <c r="H94" s="443"/>
      <c r="I94" s="237"/>
      <c r="J94" s="443"/>
      <c r="K94" s="237"/>
      <c r="L94" s="443"/>
      <c r="M94" s="237"/>
      <c r="N94" s="443"/>
      <c r="O94" s="237"/>
      <c r="P94" s="443"/>
      <c r="Q94" s="795"/>
      <c r="AD94" s="538">
        <v>0</v>
      </c>
    </row>
    <row r="95" spans="1:30" ht="24.75" hidden="1" customHeight="1">
      <c r="A95" s="1301"/>
      <c r="D95" s="442" t="s">
        <v>115</v>
      </c>
      <c r="E95" s="948" t="s">
        <v>950</v>
      </c>
      <c r="F95" s="454" t="s">
        <v>569</v>
      </c>
      <c r="G95" s="453"/>
      <c r="H95" s="443"/>
      <c r="I95" s="453"/>
      <c r="J95" s="443"/>
      <c r="K95" s="453"/>
      <c r="L95" s="443"/>
      <c r="M95" s="453"/>
      <c r="N95" s="443"/>
      <c r="O95" s="453"/>
      <c r="P95" s="443"/>
      <c r="Q95" s="795" t="s">
        <v>951</v>
      </c>
      <c r="AD95" s="538">
        <v>0</v>
      </c>
    </row>
    <row r="96" spans="1:30" ht="33.75" hidden="1" customHeight="1">
      <c r="A96" s="1301"/>
      <c r="D96" s="442" t="s">
        <v>91</v>
      </c>
      <c r="E96" s="948" t="s">
        <v>952</v>
      </c>
      <c r="F96" s="449" t="s">
        <v>840</v>
      </c>
      <c r="G96" s="455"/>
      <c r="H96" s="443"/>
      <c r="I96" s="455"/>
      <c r="J96" s="443"/>
      <c r="K96" s="455"/>
      <c r="L96" s="443"/>
      <c r="M96" s="455"/>
      <c r="N96" s="443"/>
      <c r="O96" s="455"/>
      <c r="P96" s="443"/>
      <c r="Q96" s="795"/>
      <c r="AD96" s="538">
        <v>0</v>
      </c>
    </row>
    <row r="97" spans="1:30" ht="22.5" hidden="1" customHeight="1">
      <c r="A97" s="1301"/>
      <c r="B97" s="577" t="s">
        <v>606</v>
      </c>
      <c r="D97" s="442" t="s">
        <v>92</v>
      </c>
      <c r="E97" s="948" t="s">
        <v>953</v>
      </c>
      <c r="F97" s="449" t="s">
        <v>317</v>
      </c>
      <c r="G97" s="296"/>
      <c r="H97" s="443"/>
      <c r="I97" s="296"/>
      <c r="J97" s="443"/>
      <c r="K97" s="296"/>
      <c r="L97" s="443"/>
      <c r="M97" s="296"/>
      <c r="N97" s="443"/>
      <c r="O97" s="296"/>
      <c r="P97" s="443"/>
      <c r="Q97" s="795" t="s">
        <v>652</v>
      </c>
      <c r="AD97" s="538">
        <v>0</v>
      </c>
    </row>
    <row r="98" spans="1:30" ht="45" hidden="1" customHeight="1">
      <c r="A98" s="1301"/>
      <c r="B98" s="577" t="s">
        <v>606</v>
      </c>
      <c r="D98" s="442" t="s">
        <v>954</v>
      </c>
      <c r="E98" s="947" t="s">
        <v>955</v>
      </c>
      <c r="F98" s="448" t="s">
        <v>317</v>
      </c>
      <c r="G98" s="296"/>
      <c r="H98" s="443"/>
      <c r="I98" s="296"/>
      <c r="J98" s="443"/>
      <c r="K98" s="296"/>
      <c r="L98" s="443"/>
      <c r="M98" s="296"/>
      <c r="N98" s="443"/>
      <c r="O98" s="296"/>
      <c r="P98" s="443"/>
      <c r="Q98" s="795" t="s">
        <v>652</v>
      </c>
      <c r="AD98" s="538">
        <v>0</v>
      </c>
    </row>
    <row r="99" spans="1:30" ht="95.25" hidden="1" customHeight="1">
      <c r="A99" s="1301"/>
      <c r="B99" s="577" t="s">
        <v>606</v>
      </c>
      <c r="D99" s="442" t="s">
        <v>116</v>
      </c>
      <c r="E99" s="948" t="s">
        <v>956</v>
      </c>
      <c r="F99" s="448" t="s">
        <v>317</v>
      </c>
      <c r="G99" s="296"/>
      <c r="H99" s="443"/>
      <c r="I99" s="296"/>
      <c r="J99" s="443"/>
      <c r="K99" s="296"/>
      <c r="L99" s="443"/>
      <c r="M99" s="296"/>
      <c r="N99" s="443"/>
      <c r="O99" s="296"/>
      <c r="P99" s="443"/>
      <c r="Q99" s="795" t="s">
        <v>652</v>
      </c>
      <c r="AD99" s="538">
        <v>0</v>
      </c>
    </row>
    <row r="100" spans="1:30" ht="22.5" hidden="1" customHeight="1">
      <c r="A100" s="1301"/>
      <c r="B100" s="577" t="s">
        <v>606</v>
      </c>
      <c r="D100" s="442" t="s">
        <v>161</v>
      </c>
      <c r="E100" s="948" t="s">
        <v>957</v>
      </c>
      <c r="F100" s="448" t="s">
        <v>317</v>
      </c>
      <c r="G100" s="296"/>
      <c r="H100" s="443"/>
      <c r="I100" s="296"/>
      <c r="J100" s="443"/>
      <c r="K100" s="296"/>
      <c r="L100" s="443"/>
      <c r="M100" s="296"/>
      <c r="N100" s="443"/>
      <c r="O100" s="296"/>
      <c r="P100" s="443"/>
      <c r="Q100" s="795" t="s">
        <v>652</v>
      </c>
      <c r="AD100" s="538">
        <v>0</v>
      </c>
    </row>
    <row r="101" spans="1:30" ht="11.45" customHeight="1">
      <c r="AD101" s="538">
        <v>11</v>
      </c>
    </row>
    <row r="102" spans="1:30" ht="22.5" hidden="1" customHeight="1">
      <c r="A102" s="456" t="s">
        <v>81</v>
      </c>
      <c r="B102" s="577">
        <v>0</v>
      </c>
      <c r="C102" s="538">
        <v>3</v>
      </c>
      <c r="D102" s="538">
        <v>7</v>
      </c>
      <c r="E102" s="538">
        <v>69</v>
      </c>
      <c r="F102" s="538">
        <v>10</v>
      </c>
      <c r="G102" s="538">
        <v>0</v>
      </c>
      <c r="H102" s="538">
        <v>0</v>
      </c>
      <c r="I102" s="538">
        <v>43</v>
      </c>
      <c r="J102" s="538">
        <v>43</v>
      </c>
      <c r="K102" s="3">
        <v>0</v>
      </c>
      <c r="L102" s="3">
        <v>0</v>
      </c>
      <c r="M102" s="3">
        <v>0</v>
      </c>
      <c r="N102" s="3">
        <v>0</v>
      </c>
      <c r="O102" s="3">
        <v>0</v>
      </c>
      <c r="P102" s="3">
        <v>0</v>
      </c>
      <c r="Q102" s="538">
        <v>73</v>
      </c>
      <c r="R102" s="538">
        <v>3</v>
      </c>
      <c r="S102" s="538">
        <v>10</v>
      </c>
      <c r="T102" s="538">
        <v>10</v>
      </c>
      <c r="U102" s="538">
        <v>10</v>
      </c>
      <c r="V102" s="538">
        <v>10</v>
      </c>
      <c r="W102" s="538">
        <v>10</v>
      </c>
      <c r="X102" s="538">
        <v>10</v>
      </c>
      <c r="Y102" s="538">
        <v>10</v>
      </c>
      <c r="Z102" s="538">
        <v>10</v>
      </c>
      <c r="AA102" s="538">
        <v>10</v>
      </c>
      <c r="AB102" s="538">
        <v>10</v>
      </c>
      <c r="AC102" s="538">
        <v>10</v>
      </c>
      <c r="AD102" s="538">
        <v>23</v>
      </c>
    </row>
  </sheetData>
  <sheetProtection formatColumns="0" formatRows="0" insertRows="0" deleteColumns="0" deleteRows="0" sort="0" autoFilter="0"/>
  <mergeCells count="27">
    <mergeCell ref="D3:F3"/>
    <mergeCell ref="Q7:Q11"/>
    <mergeCell ref="G7:H7"/>
    <mergeCell ref="E7:F7"/>
    <mergeCell ref="E8:F8"/>
    <mergeCell ref="E9:F9"/>
    <mergeCell ref="G8:H8"/>
    <mergeCell ref="G9:H9"/>
    <mergeCell ref="D4:F4"/>
    <mergeCell ref="I7:J7"/>
    <mergeCell ref="I8:J8"/>
    <mergeCell ref="I9:J9"/>
    <mergeCell ref="D10:J10"/>
    <mergeCell ref="K7:L7"/>
    <mergeCell ref="K8:L8"/>
    <mergeCell ref="K9:L9"/>
    <mergeCell ref="A37:A63"/>
    <mergeCell ref="A65:A75"/>
    <mergeCell ref="A77:A100"/>
    <mergeCell ref="A13:A35"/>
    <mergeCell ref="A11:B11"/>
    <mergeCell ref="M7:N7"/>
    <mergeCell ref="M8:N8"/>
    <mergeCell ref="M9:N9"/>
    <mergeCell ref="O7:P7"/>
    <mergeCell ref="O8:P8"/>
    <mergeCell ref="O9:P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J15:J18 L15:L18 N15:N18 P15:P18 J21:J22 L21:L22 N21:N22 P21:P22 J29:J30 L29:L30 N29:N30 P29:P30 J24 L24 N24 P24">
      <formula1>900</formula1>
    </dataValidation>
    <dataValidation type="whole" allowBlank="1" showErrorMessage="1" errorTitle="Ошибка" error="Допускается ввод только неотрицательных целых чисел!" sqref="G16:G17 I16:I17 K16 K17 M16 M17 O16 O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G62:G63 G74:G75 G97:G100 I62:I63 I74:I75 I97:I100 H13:H14 H19 J19 L19 N19 P19 J13:J14 L13:L14 N13:N14 P13:P14 K62 K63 K74 K75 K97 K98 K99 K100 M62 M63 M74 M75 M97 M98 M99 M100 O62 O63 O74 O75 O97 O98 O99 O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formula1>"Не утверждены"</formula1>
    </dataValidation>
  </dataValidations>
  <hyperlinks>
    <hyperlink ref="I62" r:id="rId1"/>
    <hyperlink ref="K62" r:id="rId2"/>
    <hyperlink ref="M62" r:id="rId3"/>
    <hyperlink ref="O62" r:id="rId4"/>
    <hyperlink ref="I63" r:id="rId5"/>
    <hyperlink ref="K63" r:id="rId6"/>
    <hyperlink ref="M63" r:id="rId7"/>
    <hyperlink ref="O63" r:id="rId8"/>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5"/>
  <sheetViews>
    <sheetView showGridLines="0" zoomScale="90" workbookViewId="0">
      <pane xSplit="4" ySplit="12" topLeftCell="E13" activePane="bottomRight" state="frozen"/>
      <selection pane="topRight" activeCell="E1" sqref="E1"/>
      <selection pane="bottomLeft" activeCell="A13" sqref="A13"/>
      <selection pane="bottomRight" activeCell="C24" sqref="C24"/>
    </sheetView>
  </sheetViews>
  <sheetFormatPr defaultColWidth="9.140625" defaultRowHeight="11.25" customHeight="1"/>
  <cols>
    <col min="1" max="1" width="6.42578125" style="1029" hidden="1" customWidth="1"/>
    <col min="2" max="2" width="2" style="1029" hidden="1" customWidth="1"/>
    <col min="3" max="3" width="3" style="1029" customWidth="1"/>
    <col min="4" max="4" width="4" style="1029" customWidth="1"/>
    <col min="5" max="5" width="44" style="1029" customWidth="1"/>
    <col min="6" max="6" width="6.42578125" style="1029" customWidth="1"/>
    <col min="7" max="7" width="4" style="1029" customWidth="1"/>
    <col min="8" max="8" width="5" style="1029" customWidth="1"/>
    <col min="9" max="9" width="52" style="1029" customWidth="1"/>
    <col min="10" max="10" width="7" style="1029" customWidth="1"/>
    <col min="11" max="11" width="3" style="1029" customWidth="1"/>
    <col min="12" max="12" width="6" style="1029" customWidth="1"/>
    <col min="13" max="13" width="66.7109375" style="1029" customWidth="1"/>
    <col min="14" max="14" width="8" style="1029" customWidth="1"/>
    <col min="15" max="37" width="9.140625" style="1029" hidden="1"/>
    <col min="38" max="38" width="8" style="1029" customWidth="1"/>
    <col min="39" max="39" width="9.140625" style="1029" hidden="1"/>
  </cols>
  <sheetData>
    <row r="1" spans="1:39" ht="11.25" hidden="1" customHeight="1">
      <c r="AM1" s="592" t="s">
        <v>14</v>
      </c>
    </row>
    <row r="2" spans="1:39" ht="11.25" hidden="1" customHeight="1">
      <c r="AM2" s="592">
        <v>0</v>
      </c>
    </row>
    <row r="3" spans="1:39" ht="11.45" customHeight="1">
      <c r="AM3" s="592">
        <v>11</v>
      </c>
    </row>
    <row r="4" spans="1:39" ht="35.65" customHeight="1">
      <c r="D4" s="1081"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1082"/>
      <c r="F4" s="1082"/>
      <c r="G4" s="1082"/>
      <c r="H4" s="1082"/>
      <c r="I4" s="1083"/>
      <c r="AM4" s="592">
        <v>34</v>
      </c>
    </row>
    <row r="5" spans="1:39" ht="14.65" customHeight="1">
      <c r="D5" s="1084" t="str">
        <f>IF(org=0,"Не определено",org)</f>
        <v>АО "НИЖЕГОРОДСКИЙ ВОДОКАНАЛ"</v>
      </c>
      <c r="E5" s="1085"/>
      <c r="F5" s="1085"/>
      <c r="G5" s="1085"/>
      <c r="H5" s="1085"/>
      <c r="I5" s="1086"/>
      <c r="AM5" s="594">
        <v>14</v>
      </c>
    </row>
    <row r="6" spans="1:39" ht="6.4" customHeight="1">
      <c r="A6" s="1031"/>
      <c r="B6" s="1031"/>
      <c r="C6" s="1031"/>
      <c r="D6" s="1031"/>
      <c r="E6" s="1031"/>
      <c r="F6" s="1031"/>
      <c r="AM6" s="594">
        <v>6</v>
      </c>
    </row>
    <row r="7" spans="1:39" ht="45.75" hidden="1" customHeight="1">
      <c r="E7" s="109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031"/>
      <c r="G7" s="1031"/>
      <c r="H7" s="1031"/>
      <c r="I7" s="1031"/>
      <c r="J7" s="1031"/>
      <c r="K7" s="1031"/>
      <c r="L7" s="1031"/>
      <c r="M7" s="1031"/>
      <c r="AM7" s="592">
        <v>0</v>
      </c>
    </row>
    <row r="8" spans="1:39" ht="6.4" customHeight="1">
      <c r="AM8" s="594">
        <v>6</v>
      </c>
    </row>
    <row r="9" spans="1:39" ht="18.75" customHeight="1">
      <c r="A9" s="1087"/>
      <c r="D9" s="1066" t="s">
        <v>110</v>
      </c>
      <c r="E9" s="1066"/>
      <c r="F9" s="1088" t="s">
        <v>111</v>
      </c>
      <c r="G9" s="1089"/>
      <c r="H9" s="1089"/>
      <c r="I9" s="1089"/>
      <c r="J9" s="1091" t="s">
        <v>112</v>
      </c>
      <c r="K9" s="1091"/>
      <c r="L9" s="1091"/>
      <c r="M9" s="1091"/>
      <c r="AM9" s="592">
        <v>18</v>
      </c>
    </row>
    <row r="10" spans="1:39" ht="24" customHeight="1">
      <c r="A10" s="1087"/>
      <c r="D10" s="583" t="s">
        <v>87</v>
      </c>
      <c r="E10" s="583" t="s">
        <v>88</v>
      </c>
      <c r="F10" s="583" t="s">
        <v>113</v>
      </c>
      <c r="G10" s="1092" t="s">
        <v>87</v>
      </c>
      <c r="H10" s="1093"/>
      <c r="I10" s="583" t="s">
        <v>88</v>
      </c>
      <c r="J10" s="583" t="s">
        <v>113</v>
      </c>
      <c r="K10" s="1092" t="s">
        <v>87</v>
      </c>
      <c r="L10" s="1093"/>
      <c r="M10" s="583" t="s">
        <v>88</v>
      </c>
      <c r="N10" s="595"/>
      <c r="AM10" s="592">
        <v>23</v>
      </c>
    </row>
    <row r="11" spans="1:39" ht="11.25" hidden="1" customHeight="1">
      <c r="D11" s="51" t="s">
        <v>114</v>
      </c>
      <c r="E11" s="51" t="s">
        <v>102</v>
      </c>
      <c r="F11" s="51" t="s">
        <v>89</v>
      </c>
      <c r="G11" s="1077" t="s">
        <v>90</v>
      </c>
      <c r="H11" s="1078"/>
      <c r="I11" s="51" t="s">
        <v>115</v>
      </c>
      <c r="J11" s="51" t="s">
        <v>91</v>
      </c>
      <c r="K11" s="1079" t="s">
        <v>92</v>
      </c>
      <c r="L11" s="1080"/>
      <c r="M11" s="51" t="s">
        <v>116</v>
      </c>
      <c r="N11" s="595"/>
      <c r="AM11" s="592">
        <v>0</v>
      </c>
    </row>
    <row r="12" spans="1:39" ht="1.1499999999999999" customHeight="1">
      <c r="D12" s="596"/>
      <c r="E12" s="52"/>
      <c r="F12" s="52"/>
      <c r="G12" s="53"/>
      <c r="H12" s="53"/>
      <c r="I12" s="52"/>
      <c r="J12" s="52"/>
      <c r="K12" s="54"/>
      <c r="L12" s="52"/>
      <c r="M12" s="597"/>
      <c r="N12" s="595"/>
      <c r="O12" s="582" t="s">
        <v>117</v>
      </c>
      <c r="P12" s="582" t="s">
        <v>118</v>
      </c>
      <c r="Q12" s="582" t="s">
        <v>119</v>
      </c>
      <c r="R12" s="582" t="s">
        <v>120</v>
      </c>
      <c r="AM12" s="592">
        <v>1</v>
      </c>
    </row>
    <row r="13" spans="1:39" ht="24" customHeight="1">
      <c r="D13" s="1060" t="s">
        <v>114</v>
      </c>
      <c r="E13" s="1061" t="str">
        <f>INDEX(VD_NAME_LIST,MATCH("4189671",VD_ID_LIST,0))</f>
        <v>Холодное водоснабжение. Питьевая вода</v>
      </c>
      <c r="F13" s="1072" t="s">
        <v>61</v>
      </c>
      <c r="G13" s="1073"/>
      <c r="H13" s="1074">
        <v>1</v>
      </c>
      <c r="I13" s="1069" t="str">
        <f>IF(U13="","",INDEX(TERRITORY_MR_LIST,MATCH(U13,TERRITORY_LIST_ID,0)))</f>
        <v>Территория 1</v>
      </c>
      <c r="J13" s="1058" t="s">
        <v>61</v>
      </c>
      <c r="K13" s="57"/>
      <c r="L13" s="55" t="s">
        <v>114</v>
      </c>
      <c r="M13" s="999" t="s">
        <v>121</v>
      </c>
      <c r="N13" s="595"/>
      <c r="O13" s="582" t="s">
        <v>122</v>
      </c>
      <c r="P13" s="582" t="str">
        <f>$E$13</f>
        <v>Холодное водоснабжение. Питьевая вода</v>
      </c>
      <c r="Q13" s="582" t="str">
        <f>IF($F$13="нет","без дифференциации",$I$13)</f>
        <v>Территория 1</v>
      </c>
      <c r="R13" s="582" t="str">
        <f>IF($J$13="нет","без дифференциации",M13)</f>
        <v>Централизованная система водоснабжения города Нижнего Новгорода (1)</v>
      </c>
      <c r="U13" t="s">
        <v>97</v>
      </c>
      <c r="V13" t="s">
        <v>123</v>
      </c>
      <c r="Y13" s="598" t="s">
        <v>124</v>
      </c>
      <c r="Z13" s="598">
        <v>1705000</v>
      </c>
      <c r="AM13" s="592">
        <v>15</v>
      </c>
    </row>
    <row r="14" spans="1:39" ht="15.75" customHeight="1">
      <c r="D14" s="1060"/>
      <c r="E14" s="1062"/>
      <c r="F14" s="1058"/>
      <c r="G14" s="1073"/>
      <c r="H14" s="1074"/>
      <c r="I14" s="1070"/>
      <c r="J14" s="1058"/>
      <c r="K14" s="42"/>
      <c r="L14" s="43"/>
      <c r="M14" s="59" t="s">
        <v>125</v>
      </c>
      <c r="N14" s="595"/>
      <c r="AM14" s="592">
        <v>15</v>
      </c>
    </row>
    <row r="15" spans="1:39" ht="15" customHeight="1">
      <c r="A15"/>
      <c r="B15"/>
      <c r="C15"/>
      <c r="D15" s="1071"/>
      <c r="E15" s="1071"/>
      <c r="F15" s="1071"/>
      <c r="G15" s="1075" t="s">
        <v>103</v>
      </c>
      <c r="H15" s="1047" t="s">
        <v>102</v>
      </c>
      <c r="I15" s="1076" t="str">
        <f>IF(U15="","",INDEX(TERRITORY_MR_LIST,MATCH(U15,TERRITORY_LIST_ID,0)))</f>
        <v>Территория 2</v>
      </c>
      <c r="J15" s="1058" t="s">
        <v>61</v>
      </c>
      <c r="K15" s="751"/>
      <c r="L15" s="55" t="s">
        <v>114</v>
      </c>
      <c r="M15" s="999" t="s">
        <v>126</v>
      </c>
      <c r="N15"/>
      <c r="O15" t="s">
        <v>127</v>
      </c>
      <c r="P15" t="str">
        <f>$E$13</f>
        <v>Холодное водоснабжение. Питьевая вода</v>
      </c>
      <c r="Q15" t="str">
        <f>IF($F$15="нет","без дифференциации",$I$15)</f>
        <v>Территория 2</v>
      </c>
      <c r="R15" t="str">
        <f>IF($J$15="нет","без дифференциации",$M$15)</f>
        <v>Централизованная система водоснабжения Кстовского муниципального района</v>
      </c>
      <c r="S15"/>
      <c r="T15"/>
      <c r="U15" t="s">
        <v>104</v>
      </c>
      <c r="V15"/>
      <c r="W15"/>
      <c r="X15"/>
      <c r="Y15" s="598" t="s">
        <v>124</v>
      </c>
      <c r="Z15" s="598">
        <v>1705000</v>
      </c>
      <c r="AA15"/>
      <c r="AB15"/>
      <c r="AC15"/>
      <c r="AD15"/>
      <c r="AE15"/>
      <c r="AF15"/>
      <c r="AG15"/>
      <c r="AH15"/>
      <c r="AI15"/>
      <c r="AJ15"/>
      <c r="AK15"/>
      <c r="AL15"/>
      <c r="AM15"/>
    </row>
    <row r="16" spans="1:39" ht="15" customHeight="1">
      <c r="A16"/>
      <c r="B16"/>
      <c r="C16"/>
      <c r="D16" s="1071"/>
      <c r="E16" s="1071"/>
      <c r="F16" s="1071"/>
      <c r="G16" s="1075"/>
      <c r="H16" s="1047"/>
      <c r="I16" s="1076"/>
      <c r="J16" s="1058"/>
      <c r="K16" s="42"/>
      <c r="L16" s="43"/>
      <c r="M16" s="59" t="s">
        <v>125</v>
      </c>
      <c r="N16"/>
      <c r="O16"/>
      <c r="P16"/>
      <c r="Q16"/>
      <c r="R16"/>
      <c r="S16"/>
      <c r="T16"/>
      <c r="U16"/>
      <c r="V16"/>
      <c r="W16"/>
      <c r="X16"/>
      <c r="Y16"/>
      <c r="Z16"/>
      <c r="AA16"/>
      <c r="AB16"/>
      <c r="AC16"/>
      <c r="AD16"/>
      <c r="AE16"/>
      <c r="AF16"/>
      <c r="AG16"/>
      <c r="AH16"/>
      <c r="AI16"/>
      <c r="AJ16"/>
      <c r="AK16"/>
      <c r="AL16"/>
      <c r="AM16"/>
    </row>
    <row r="17" spans="1:39" ht="15.75" customHeight="1">
      <c r="D17" s="1060"/>
      <c r="E17" s="1063"/>
      <c r="F17" s="1058"/>
      <c r="G17" s="60"/>
      <c r="H17" s="61"/>
      <c r="I17" s="44" t="s">
        <v>128</v>
      </c>
      <c r="J17" s="43"/>
      <c r="K17" s="43"/>
      <c r="L17" s="43"/>
      <c r="M17" s="62"/>
      <c r="N17" s="595"/>
      <c r="AM17" s="592">
        <v>15</v>
      </c>
    </row>
    <row r="18" spans="1:39" ht="15" customHeight="1">
      <c r="A18"/>
      <c r="B18"/>
      <c r="C18" s="1059" t="s">
        <v>103</v>
      </c>
      <c r="D18" s="1060" t="s">
        <v>102</v>
      </c>
      <c r="E18" s="1061" t="str">
        <f>INDEX(VD_NAME_LIST,MATCH("4189672",VD_ID_LIST,0))</f>
        <v>Холодное водоснабжение. Техническая вода</v>
      </c>
      <c r="F18" s="1058" t="s">
        <v>61</v>
      </c>
      <c r="G18" s="1064"/>
      <c r="H18" s="1066">
        <v>1</v>
      </c>
      <c r="I18" s="1056" t="str">
        <f>IF($U$18="","",INDEX(TERRITORY_MR_LIST,MATCH($U$18,TERRITORY_LIST_ID,0)))</f>
        <v>Территория 1</v>
      </c>
      <c r="J18" s="1058" t="s">
        <v>61</v>
      </c>
      <c r="K18" s="751"/>
      <c r="L18" s="55" t="s">
        <v>114</v>
      </c>
      <c r="M18" s="999" t="s">
        <v>129</v>
      </c>
      <c r="N18"/>
      <c r="O18" t="s">
        <v>130</v>
      </c>
      <c r="P18" t="str">
        <f>$E$18</f>
        <v>Холодное водоснабжение. Техническая вода</v>
      </c>
      <c r="Q18" t="str">
        <f>IF($F$18="нет","без дифференциации",$I$18)</f>
        <v>Территория 1</v>
      </c>
      <c r="R18" t="str">
        <f>IF($J$18="нет","без дифференциации",$M$18)</f>
        <v>Централизованная система водоснабжения города Нижнего Новгорода (2)</v>
      </c>
      <c r="S18"/>
      <c r="T18"/>
      <c r="U18" t="s">
        <v>97</v>
      </c>
      <c r="V18" t="s">
        <v>131</v>
      </c>
      <c r="W18"/>
      <c r="X18"/>
      <c r="Y18" s="598" t="s">
        <v>124</v>
      </c>
      <c r="Z18" s="598">
        <v>1705000</v>
      </c>
      <c r="AA18"/>
      <c r="AB18"/>
      <c r="AC18"/>
      <c r="AD18"/>
      <c r="AE18"/>
      <c r="AF18"/>
      <c r="AG18"/>
      <c r="AH18"/>
      <c r="AI18"/>
      <c r="AJ18"/>
      <c r="AK18"/>
      <c r="AL18"/>
      <c r="AM18"/>
    </row>
    <row r="19" spans="1:39" ht="15" customHeight="1">
      <c r="A19"/>
      <c r="B19"/>
      <c r="C19" s="1031"/>
      <c r="D19" s="1060"/>
      <c r="E19" s="1062"/>
      <c r="F19" s="1058"/>
      <c r="G19" s="1065"/>
      <c r="H19" s="1066"/>
      <c r="I19" s="1057" t="str">
        <f>IF($U$18="","",INDEX(TERRITORY_MR_LIST,MATCH($U$18,TERRITORY_LIST_ID,0)))</f>
        <v>Территория 1</v>
      </c>
      <c r="J19" s="1058"/>
      <c r="K19" s="42"/>
      <c r="L19" s="43"/>
      <c r="M19" s="59" t="s">
        <v>125</v>
      </c>
      <c r="N19"/>
      <c r="O19"/>
      <c r="P19"/>
      <c r="Q19"/>
      <c r="R19"/>
      <c r="S19"/>
      <c r="T19"/>
      <c r="U19"/>
      <c r="V19"/>
      <c r="W19"/>
      <c r="X19"/>
      <c r="Y19"/>
      <c r="Z19"/>
      <c r="AA19"/>
      <c r="AB19"/>
      <c r="AC19"/>
      <c r="AD19"/>
      <c r="AE19"/>
      <c r="AF19"/>
      <c r="AG19"/>
      <c r="AH19"/>
      <c r="AI19"/>
      <c r="AJ19"/>
      <c r="AK19"/>
      <c r="AL19"/>
      <c r="AM19"/>
    </row>
    <row r="20" spans="1:39" ht="15" customHeight="1">
      <c r="A20"/>
      <c r="B20"/>
      <c r="C20" s="1031"/>
      <c r="D20" s="1060"/>
      <c r="E20" s="1063"/>
      <c r="F20" s="1058"/>
      <c r="G20" s="42"/>
      <c r="H20" s="43"/>
      <c r="I20" s="44" t="s">
        <v>128</v>
      </c>
      <c r="J20" s="43"/>
      <c r="K20" s="43"/>
      <c r="L20" s="43"/>
      <c r="M20" s="62"/>
      <c r="N20"/>
      <c r="O20"/>
      <c r="P20"/>
      <c r="Q20"/>
      <c r="R20"/>
      <c r="S20"/>
      <c r="T20"/>
      <c r="U20"/>
      <c r="V20"/>
      <c r="W20"/>
      <c r="X20"/>
      <c r="Y20"/>
      <c r="Z20"/>
      <c r="AA20"/>
      <c r="AB20"/>
      <c r="AC20"/>
      <c r="AD20"/>
      <c r="AE20"/>
      <c r="AF20"/>
      <c r="AG20"/>
      <c r="AH20"/>
      <c r="AI20"/>
      <c r="AJ20"/>
      <c r="AK20"/>
      <c r="AL20"/>
      <c r="AM20"/>
    </row>
    <row r="21" spans="1:39" ht="15" customHeight="1">
      <c r="A21"/>
      <c r="B21"/>
      <c r="C21" s="1059" t="s">
        <v>103</v>
      </c>
      <c r="D21" s="1060" t="s">
        <v>89</v>
      </c>
      <c r="E21" s="1061" t="str">
        <f>INDEX(VD_NAME_LIST,MATCH("4189677",VD_ID_LIST,0))</f>
        <v>Подключение (технологическое присоединение) к централизованной системе водоснабжения</v>
      </c>
      <c r="F21" s="1058" t="s">
        <v>19</v>
      </c>
      <c r="G21" s="1064"/>
      <c r="H21" s="1066">
        <v>1</v>
      </c>
      <c r="I21" s="1067" t="str">
        <f>IF(U21="","",INDEX(TERRITORY_MR_LIST,MATCH(U21,TERRITORY_LIST_ID,0)))</f>
        <v/>
      </c>
      <c r="J21" s="1058" t="s">
        <v>19</v>
      </c>
      <c r="K21" s="751"/>
      <c r="L21" s="55" t="s">
        <v>114</v>
      </c>
      <c r="M21" s="58"/>
      <c r="N21"/>
      <c r="O21" t="s">
        <v>132</v>
      </c>
      <c r="P21" t="str">
        <f>$E$21</f>
        <v>Подключение (технологическое присоединение) к централизованной системе водоснабжения</v>
      </c>
      <c r="Q21" t="str">
        <f>IF($F$21="нет","без дифференциации",$I$21)</f>
        <v>без дифференциации</v>
      </c>
      <c r="R21" t="str">
        <f>IF($J$21="нет","без дифференциации",$M$21)</f>
        <v>без дифференциации</v>
      </c>
      <c r="S21"/>
      <c r="T21"/>
      <c r="U21"/>
      <c r="V21" t="s">
        <v>133</v>
      </c>
      <c r="W21"/>
      <c r="X21"/>
      <c r="Y21" s="598" t="s">
        <v>124</v>
      </c>
      <c r="Z21" s="598">
        <v>1705000</v>
      </c>
      <c r="AA21"/>
      <c r="AB21"/>
      <c r="AC21"/>
      <c r="AD21"/>
      <c r="AE21"/>
      <c r="AF21"/>
      <c r="AG21"/>
      <c r="AH21"/>
      <c r="AI21"/>
      <c r="AJ21"/>
      <c r="AK21"/>
      <c r="AL21"/>
      <c r="AM21"/>
    </row>
    <row r="22" spans="1:39" ht="15" customHeight="1">
      <c r="A22"/>
      <c r="B22"/>
      <c r="C22" s="1031"/>
      <c r="D22" s="1060"/>
      <c r="E22" s="1062"/>
      <c r="F22" s="1058"/>
      <c r="G22" s="1065"/>
      <c r="H22" s="1066"/>
      <c r="I22" s="1068"/>
      <c r="J22" s="1058"/>
      <c r="K22" s="42"/>
      <c r="L22" s="43"/>
      <c r="M22" s="59" t="s">
        <v>125</v>
      </c>
      <c r="N22"/>
      <c r="O22"/>
      <c r="P22"/>
      <c r="Q22"/>
      <c r="R22"/>
      <c r="S22"/>
      <c r="T22"/>
      <c r="U22"/>
      <c r="V22"/>
      <c r="W22"/>
      <c r="X22"/>
      <c r="Y22"/>
      <c r="Z22"/>
      <c r="AA22"/>
      <c r="AB22"/>
      <c r="AC22"/>
      <c r="AD22"/>
      <c r="AE22"/>
      <c r="AF22"/>
      <c r="AG22"/>
      <c r="AH22"/>
      <c r="AI22"/>
      <c r="AJ22"/>
      <c r="AK22"/>
      <c r="AL22"/>
      <c r="AM22"/>
    </row>
    <row r="23" spans="1:39" ht="15" customHeight="1">
      <c r="A23"/>
      <c r="B23"/>
      <c r="C23" s="1031"/>
      <c r="D23" s="1060"/>
      <c r="E23" s="1063"/>
      <c r="F23" s="1058"/>
      <c r="G23" s="42"/>
      <c r="H23" s="43"/>
      <c r="I23" s="44" t="s">
        <v>128</v>
      </c>
      <c r="J23" s="43"/>
      <c r="K23" s="43"/>
      <c r="L23" s="43"/>
      <c r="M23" s="62"/>
      <c r="N23"/>
      <c r="O23"/>
      <c r="P23"/>
      <c r="Q23"/>
      <c r="R23"/>
      <c r="S23"/>
      <c r="T23"/>
      <c r="U23"/>
      <c r="V23"/>
      <c r="W23"/>
      <c r="X23"/>
      <c r="Y23"/>
      <c r="Z23"/>
      <c r="AA23"/>
      <c r="AB23"/>
      <c r="AC23"/>
      <c r="AD23"/>
      <c r="AE23"/>
      <c r="AF23"/>
      <c r="AG23"/>
      <c r="AH23"/>
      <c r="AI23"/>
      <c r="AJ23"/>
      <c r="AK23"/>
      <c r="AL23"/>
      <c r="AM23"/>
    </row>
    <row r="24" spans="1:39" ht="15.75" customHeight="1">
      <c r="A24" s="599"/>
      <c r="D24" s="42"/>
      <c r="E24" s="63" t="s">
        <v>134</v>
      </c>
      <c r="F24" s="43"/>
      <c r="G24" s="43"/>
      <c r="H24" s="43"/>
      <c r="I24" s="43"/>
      <c r="J24" s="43"/>
      <c r="K24" s="43" t="s">
        <v>22</v>
      </c>
      <c r="L24" s="43"/>
      <c r="M24" s="62"/>
      <c r="N24" s="595"/>
      <c r="AM24" s="592">
        <v>15</v>
      </c>
    </row>
    <row r="25" spans="1:39" ht="11.25" hidden="1" customHeight="1">
      <c r="A25" s="592" t="s">
        <v>81</v>
      </c>
      <c r="B25" s="592">
        <v>0</v>
      </c>
      <c r="C25" s="592">
        <v>3</v>
      </c>
      <c r="D25" s="592">
        <v>4</v>
      </c>
      <c r="E25" s="592">
        <v>44</v>
      </c>
      <c r="F25" s="592">
        <v>6</v>
      </c>
      <c r="G25" s="592">
        <v>4</v>
      </c>
      <c r="H25" s="592">
        <v>5</v>
      </c>
      <c r="I25" s="592">
        <v>52</v>
      </c>
      <c r="J25" s="592">
        <v>6</v>
      </c>
      <c r="K25" s="592">
        <v>3</v>
      </c>
      <c r="L25" s="592">
        <v>6</v>
      </c>
      <c r="M25" s="592">
        <v>56</v>
      </c>
      <c r="N25" s="598">
        <v>8</v>
      </c>
      <c r="O25" s="582">
        <v>0</v>
      </c>
      <c r="P25" s="582">
        <v>0</v>
      </c>
      <c r="Q25" s="582">
        <v>0</v>
      </c>
      <c r="R25" s="582">
        <v>0</v>
      </c>
      <c r="S25" s="582">
        <v>0</v>
      </c>
      <c r="T25" s="582">
        <v>0</v>
      </c>
      <c r="U25" s="600">
        <v>0</v>
      </c>
      <c r="V25" s="600">
        <v>0</v>
      </c>
      <c r="W25" s="600">
        <v>0</v>
      </c>
      <c r="X25" s="600">
        <v>0</v>
      </c>
      <c r="Y25" s="598">
        <v>0</v>
      </c>
      <c r="Z25" s="598">
        <v>0</v>
      </c>
      <c r="AA25" s="598">
        <v>0</v>
      </c>
      <c r="AB25" s="598">
        <v>0</v>
      </c>
      <c r="AC25" s="598">
        <v>0</v>
      </c>
      <c r="AD25" s="598">
        <v>0</v>
      </c>
      <c r="AE25" s="598">
        <v>0</v>
      </c>
      <c r="AF25" s="598">
        <v>0</v>
      </c>
      <c r="AG25" s="598">
        <v>0</v>
      </c>
      <c r="AH25" s="598">
        <v>0</v>
      </c>
      <c r="AI25" s="598">
        <v>0</v>
      </c>
      <c r="AJ25" s="598">
        <v>0</v>
      </c>
      <c r="AK25" s="598">
        <v>0</v>
      </c>
      <c r="AL25" s="598">
        <v>8</v>
      </c>
      <c r="AM25" s="592">
        <v>11</v>
      </c>
    </row>
  </sheetData>
  <sheetProtection formatColumns="0" formatRows="0" insertRows="0" deleteColumns="0" deleteRows="0" sort="0" autoFilter="0"/>
  <mergeCells count="3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7"/>
    <mergeCell ref="E13:E17"/>
    <mergeCell ref="F13:F17"/>
    <mergeCell ref="G13:G14"/>
    <mergeCell ref="H13:H14"/>
    <mergeCell ref="G15:G16"/>
    <mergeCell ref="H15:H16"/>
    <mergeCell ref="I15:I16"/>
    <mergeCell ref="J15:J16"/>
    <mergeCell ref="I18:I19"/>
    <mergeCell ref="J18:J19"/>
    <mergeCell ref="C18:C20"/>
    <mergeCell ref="D21:D23"/>
    <mergeCell ref="E21:E23"/>
    <mergeCell ref="F21:F23"/>
    <mergeCell ref="G21:G22"/>
    <mergeCell ref="H21:H22"/>
    <mergeCell ref="I21:I22"/>
    <mergeCell ref="J21:J22"/>
    <mergeCell ref="C21:C23"/>
    <mergeCell ref="D18:D20"/>
    <mergeCell ref="E18:E20"/>
    <mergeCell ref="F18:F20"/>
    <mergeCell ref="G18:G19"/>
    <mergeCell ref="H18:H19"/>
  </mergeCells>
  <dataValidations count="4">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8">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5">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AB40"/>
  <sheetViews>
    <sheetView showGridLines="0" zoomScale="90" workbookViewId="0">
      <pane xSplit="8" ySplit="31" topLeftCell="Q32" activePane="bottomRight" state="frozen"/>
      <selection pane="topRight" activeCell="I1" sqref="I1"/>
      <selection pane="bottomLeft" activeCell="A32" sqref="A32"/>
      <selection pane="bottomRight" activeCell="Q25" sqref="Q25"/>
    </sheetView>
  </sheetViews>
  <sheetFormatPr defaultColWidth="10.5703125" defaultRowHeight="15" customHeight="1"/>
  <cols>
    <col min="1" max="2" width="9.140625" style="1029" hidden="1" customWidth="1"/>
    <col min="3" max="3" width="4" style="1029" customWidth="1"/>
    <col min="4" max="4" width="6" style="1029" customWidth="1"/>
    <col min="5" max="5" width="36" style="1029" customWidth="1"/>
    <col min="6" max="6" width="9" style="1029" customWidth="1"/>
    <col min="7" max="7" width="25.7109375" style="1029" hidden="1" customWidth="1"/>
    <col min="8" max="8" width="33.7109375" style="1029" hidden="1" customWidth="1"/>
    <col min="9" max="9" width="25.7109375" style="1029" customWidth="1"/>
    <col min="10" max="10" width="33" style="1029" customWidth="1"/>
    <col min="11" max="11" width="25.7109375" style="1029" customWidth="1"/>
    <col min="12" max="12" width="33.7109375" style="1029" customWidth="1"/>
    <col min="13" max="13" width="25.7109375" style="1029" customWidth="1"/>
    <col min="14" max="14" width="33.7109375" style="1029" customWidth="1"/>
    <col min="15" max="15" width="25.7109375" style="1029" customWidth="1"/>
    <col min="16" max="16" width="33.7109375" style="1029" customWidth="1"/>
    <col min="17" max="17" width="93" style="1029" customWidth="1"/>
    <col min="18" max="27" width="10" style="1029" customWidth="1"/>
    <col min="28" max="28" width="10.5703125" style="1029" hidden="1"/>
  </cols>
  <sheetData>
    <row r="1" spans="2:28" ht="22.5" hidden="1" customHeight="1">
      <c r="G1" s="555">
        <v>4</v>
      </c>
      <c r="I1" s="555">
        <v>4</v>
      </c>
      <c r="K1" s="9">
        <v>4</v>
      </c>
      <c r="L1"/>
      <c r="M1" s="9">
        <v>4</v>
      </c>
      <c r="N1"/>
      <c r="O1" s="9">
        <v>4</v>
      </c>
      <c r="P1"/>
      <c r="AB1" s="555" t="s">
        <v>14</v>
      </c>
    </row>
    <row r="2" spans="2:28" ht="15" hidden="1" customHeight="1">
      <c r="K2"/>
      <c r="L2"/>
      <c r="M2"/>
      <c r="N2"/>
      <c r="O2"/>
      <c r="P2"/>
      <c r="AB2" s="555">
        <v>0</v>
      </c>
    </row>
    <row r="3" spans="2:28" ht="22.5" hidden="1" customHeight="1">
      <c r="B3" s="1031"/>
      <c r="C3" s="1059" t="s">
        <v>103</v>
      </c>
      <c r="D3" s="904" t="str">
        <f>B3&amp;".1"</f>
        <v>.1</v>
      </c>
      <c r="E3" s="102" t="s">
        <v>958</v>
      </c>
      <c r="F3" s="542" t="s">
        <v>317</v>
      </c>
      <c r="G3" s="389"/>
      <c r="H3" s="307"/>
      <c r="I3" s="389"/>
      <c r="J3" s="307"/>
      <c r="K3" s="389"/>
      <c r="L3" s="307"/>
      <c r="M3" s="389"/>
      <c r="N3" s="307"/>
      <c r="O3" s="389"/>
      <c r="P3" s="307"/>
      <c r="Q3" s="795" t="s">
        <v>959</v>
      </c>
      <c r="AB3" s="538">
        <v>0</v>
      </c>
    </row>
    <row r="4" spans="2:28" ht="15" hidden="1" customHeight="1">
      <c r="B4" s="1031"/>
      <c r="C4" s="1059"/>
      <c r="D4" s="904" t="str">
        <f>B3&amp;".2"</f>
        <v>.2</v>
      </c>
      <c r="E4" s="102" t="s">
        <v>960</v>
      </c>
      <c r="F4" s="542" t="s">
        <v>317</v>
      </c>
      <c r="G4" s="391" t="s">
        <v>22</v>
      </c>
      <c r="H4" s="307"/>
      <c r="I4" s="391" t="s">
        <v>22</v>
      </c>
      <c r="J4" s="307"/>
      <c r="K4" s="391" t="s">
        <v>22</v>
      </c>
      <c r="L4" s="307"/>
      <c r="M4" s="391" t="s">
        <v>22</v>
      </c>
      <c r="N4" s="307"/>
      <c r="O4" s="391" t="s">
        <v>22</v>
      </c>
      <c r="P4" s="307"/>
      <c r="Q4" s="795" t="s">
        <v>961</v>
      </c>
      <c r="AB4" s="538">
        <v>0</v>
      </c>
    </row>
    <row r="5" spans="2:28" ht="15" hidden="1" customHeight="1">
      <c r="K5"/>
      <c r="L5"/>
      <c r="M5"/>
      <c r="N5"/>
      <c r="O5"/>
      <c r="P5"/>
      <c r="AB5" s="555">
        <v>0</v>
      </c>
    </row>
    <row r="6" spans="2:28" ht="22.5" hidden="1" customHeight="1">
      <c r="B6" s="1031"/>
      <c r="C6" s="1059" t="s">
        <v>103</v>
      </c>
      <c r="D6" s="904" t="str">
        <f>B6&amp;".1"</f>
        <v>.1</v>
      </c>
      <c r="E6" s="102" t="s">
        <v>962</v>
      </c>
      <c r="F6" s="542" t="s">
        <v>317</v>
      </c>
      <c r="G6" s="389"/>
      <c r="H6" s="307"/>
      <c r="I6" s="389"/>
      <c r="J6" s="307"/>
      <c r="K6" s="389"/>
      <c r="L6" s="307"/>
      <c r="M6" s="389"/>
      <c r="N6" s="307"/>
      <c r="O6" s="389"/>
      <c r="P6" s="307"/>
      <c r="Q6" s="795" t="s">
        <v>963</v>
      </c>
      <c r="AB6" s="538">
        <v>0</v>
      </c>
    </row>
    <row r="7" spans="2:28" ht="15" hidden="1" customHeight="1">
      <c r="B7" s="1031"/>
      <c r="C7" s="1059"/>
      <c r="D7" s="904" t="str">
        <f>B6&amp;".2"</f>
        <v>.2</v>
      </c>
      <c r="E7" s="102" t="s">
        <v>960</v>
      </c>
      <c r="F7" s="542" t="s">
        <v>317</v>
      </c>
      <c r="G7" s="391" t="s">
        <v>22</v>
      </c>
      <c r="H7" s="307"/>
      <c r="I7" s="391" t="s">
        <v>22</v>
      </c>
      <c r="J7" s="307"/>
      <c r="K7" s="391" t="s">
        <v>22</v>
      </c>
      <c r="L7" s="307"/>
      <c r="M7" s="391" t="s">
        <v>22</v>
      </c>
      <c r="N7" s="307"/>
      <c r="O7" s="391" t="s">
        <v>22</v>
      </c>
      <c r="P7" s="307"/>
      <c r="Q7" s="795" t="s">
        <v>961</v>
      </c>
      <c r="AB7" s="538">
        <v>0</v>
      </c>
    </row>
    <row r="8" spans="2:28" ht="15" hidden="1" customHeight="1">
      <c r="K8"/>
      <c r="L8"/>
      <c r="M8"/>
      <c r="N8"/>
      <c r="O8"/>
      <c r="P8"/>
      <c r="AB8" s="555">
        <v>0</v>
      </c>
    </row>
    <row r="9" spans="2:28" ht="22.5" hidden="1" customHeight="1">
      <c r="B9" s="1031"/>
      <c r="C9" s="1059" t="s">
        <v>103</v>
      </c>
      <c r="D9" s="904" t="str">
        <f>B9&amp;".1"</f>
        <v>.1</v>
      </c>
      <c r="E9" s="102" t="s">
        <v>964</v>
      </c>
      <c r="F9" s="542" t="s">
        <v>317</v>
      </c>
      <c r="G9" s="104" t="s">
        <v>22</v>
      </c>
      <c r="H9" s="307" t="s">
        <v>22</v>
      </c>
      <c r="I9" s="104" t="s">
        <v>22</v>
      </c>
      <c r="J9" s="307" t="s">
        <v>22</v>
      </c>
      <c r="K9" s="104" t="s">
        <v>22</v>
      </c>
      <c r="L9" s="307" t="s">
        <v>22</v>
      </c>
      <c r="M9" s="104" t="s">
        <v>22</v>
      </c>
      <c r="N9" s="307" t="s">
        <v>22</v>
      </c>
      <c r="O9" s="104" t="s">
        <v>22</v>
      </c>
      <c r="P9" s="307" t="s">
        <v>22</v>
      </c>
      <c r="Q9" s="795"/>
      <c r="AB9" s="538">
        <v>0</v>
      </c>
    </row>
    <row r="10" spans="2:28" ht="15" hidden="1" customHeight="1">
      <c r="B10" s="1031"/>
      <c r="C10" s="1059"/>
      <c r="D10" s="904" t="str">
        <f>B9&amp;".2"</f>
        <v>.2</v>
      </c>
      <c r="E10" s="102" t="s">
        <v>965</v>
      </c>
      <c r="F10" s="542" t="s">
        <v>317</v>
      </c>
      <c r="G10" s="8" t="s">
        <v>22</v>
      </c>
      <c r="H10" s="307" t="s">
        <v>22</v>
      </c>
      <c r="I10" s="8" t="s">
        <v>22</v>
      </c>
      <c r="J10" s="307" t="s">
        <v>22</v>
      </c>
      <c r="K10" s="8" t="s">
        <v>22</v>
      </c>
      <c r="L10" s="307" t="s">
        <v>22</v>
      </c>
      <c r="M10" s="8" t="s">
        <v>22</v>
      </c>
      <c r="N10" s="307" t="s">
        <v>22</v>
      </c>
      <c r="O10" s="8" t="s">
        <v>22</v>
      </c>
      <c r="P10" s="307" t="s">
        <v>22</v>
      </c>
      <c r="Q10" s="795" t="s">
        <v>966</v>
      </c>
      <c r="AB10" s="538">
        <v>0</v>
      </c>
    </row>
    <row r="11" spans="2:28" ht="15" hidden="1" customHeight="1">
      <c r="B11" s="1031"/>
      <c r="C11" s="1059"/>
      <c r="D11" s="904" t="str">
        <f>B9&amp;".3"</f>
        <v>.3</v>
      </c>
      <c r="E11" s="102" t="s">
        <v>967</v>
      </c>
      <c r="F11" s="542" t="s">
        <v>317</v>
      </c>
      <c r="G11" s="8" t="s">
        <v>22</v>
      </c>
      <c r="H11" s="307" t="s">
        <v>22</v>
      </c>
      <c r="I11" s="8" t="s">
        <v>22</v>
      </c>
      <c r="J11" s="307" t="s">
        <v>22</v>
      </c>
      <c r="K11" s="8" t="s">
        <v>22</v>
      </c>
      <c r="L11" s="307" t="s">
        <v>22</v>
      </c>
      <c r="M11" s="8" t="s">
        <v>22</v>
      </c>
      <c r="N11" s="307" t="s">
        <v>22</v>
      </c>
      <c r="O11" s="8" t="s">
        <v>22</v>
      </c>
      <c r="P11" s="307" t="s">
        <v>22</v>
      </c>
      <c r="Q11" s="795" t="s">
        <v>968</v>
      </c>
      <c r="AB11" s="538">
        <v>0</v>
      </c>
    </row>
    <row r="12" spans="2:28" ht="15" hidden="1" customHeight="1">
      <c r="K12"/>
      <c r="L12"/>
      <c r="M12"/>
      <c r="N12"/>
      <c r="O12"/>
      <c r="P12"/>
      <c r="AB12" s="555">
        <v>0</v>
      </c>
    </row>
    <row r="13" spans="2:28" ht="33.75" hidden="1" customHeight="1">
      <c r="B13" s="1031"/>
      <c r="C13" s="1059" t="s">
        <v>103</v>
      </c>
      <c r="D13" s="904" t="str">
        <f>B13&amp;".1"</f>
        <v>.1</v>
      </c>
      <c r="E13" s="102" t="s">
        <v>969</v>
      </c>
      <c r="F13" s="542" t="s">
        <v>317</v>
      </c>
      <c r="G13" s="104" t="s">
        <v>22</v>
      </c>
      <c r="H13" s="307" t="s">
        <v>22</v>
      </c>
      <c r="I13" s="104" t="s">
        <v>22</v>
      </c>
      <c r="J13" s="307" t="s">
        <v>22</v>
      </c>
      <c r="K13" s="104" t="s">
        <v>22</v>
      </c>
      <c r="L13" s="307" t="s">
        <v>22</v>
      </c>
      <c r="M13" s="104" t="s">
        <v>22</v>
      </c>
      <c r="N13" s="307" t="s">
        <v>22</v>
      </c>
      <c r="O13" s="104" t="s">
        <v>22</v>
      </c>
      <c r="P13" s="307" t="s">
        <v>22</v>
      </c>
      <c r="Q13" s="795" t="s">
        <v>970</v>
      </c>
      <c r="AB13" s="538">
        <v>0</v>
      </c>
    </row>
    <row r="14" spans="2:28" ht="15" hidden="1" customHeight="1">
      <c r="B14" s="1031"/>
      <c r="C14" s="1059"/>
      <c r="D14" s="904" t="str">
        <f>B13&amp;".2"</f>
        <v>.2</v>
      </c>
      <c r="E14" s="102" t="s">
        <v>971</v>
      </c>
      <c r="F14" s="542" t="s">
        <v>317</v>
      </c>
      <c r="G14" s="8" t="s">
        <v>22</v>
      </c>
      <c r="H14" s="307" t="s">
        <v>22</v>
      </c>
      <c r="I14" s="8" t="s">
        <v>22</v>
      </c>
      <c r="J14" s="307" t="s">
        <v>22</v>
      </c>
      <c r="K14" s="8" t="s">
        <v>22</v>
      </c>
      <c r="L14" s="307" t="s">
        <v>22</v>
      </c>
      <c r="M14" s="8" t="s">
        <v>22</v>
      </c>
      <c r="N14" s="307" t="s">
        <v>22</v>
      </c>
      <c r="O14" s="8" t="s">
        <v>22</v>
      </c>
      <c r="P14" s="307" t="s">
        <v>22</v>
      </c>
      <c r="Q14" s="795" t="s">
        <v>972</v>
      </c>
      <c r="AB14" s="538">
        <v>0</v>
      </c>
    </row>
    <row r="15" spans="2:28" ht="15" hidden="1" customHeight="1">
      <c r="K15"/>
      <c r="L15"/>
      <c r="M15"/>
      <c r="N15"/>
      <c r="O15"/>
      <c r="P15"/>
      <c r="AB15" s="555">
        <v>0</v>
      </c>
    </row>
    <row r="16" spans="2:28" ht="15" hidden="1" customHeight="1">
      <c r="K16"/>
      <c r="L16"/>
      <c r="M16"/>
      <c r="N16"/>
      <c r="O16"/>
      <c r="P16"/>
      <c r="AB16" s="555">
        <v>0</v>
      </c>
    </row>
    <row r="17" spans="2:28" ht="15" hidden="1" customHeight="1">
      <c r="K17"/>
      <c r="L17"/>
      <c r="M17"/>
      <c r="N17"/>
      <c r="O17"/>
      <c r="P17"/>
      <c r="AB17" s="555">
        <v>0</v>
      </c>
    </row>
    <row r="18" spans="2:28" ht="15" hidden="1" customHeight="1">
      <c r="K18"/>
      <c r="L18"/>
      <c r="M18"/>
      <c r="N18"/>
      <c r="O18"/>
      <c r="P18"/>
      <c r="AB18" s="555">
        <v>0</v>
      </c>
    </row>
    <row r="19" spans="2:28" ht="15" hidden="1" customHeight="1">
      <c r="K19"/>
      <c r="L19"/>
      <c r="M19"/>
      <c r="N19"/>
      <c r="O19"/>
      <c r="P19"/>
      <c r="AB19" s="555">
        <v>0</v>
      </c>
    </row>
    <row r="20" spans="2:28" ht="15" hidden="1" customHeight="1">
      <c r="K20"/>
      <c r="L20"/>
      <c r="M20"/>
      <c r="N20"/>
      <c r="O20"/>
      <c r="P20"/>
      <c r="AB20" s="555">
        <v>0</v>
      </c>
    </row>
    <row r="21" spans="2:28" ht="15.75" customHeight="1">
      <c r="K21"/>
      <c r="L21"/>
      <c r="M21"/>
      <c r="N21"/>
      <c r="O21"/>
      <c r="P21"/>
      <c r="AB21" s="538">
        <v>15</v>
      </c>
    </row>
    <row r="22" spans="2:28" ht="23.25" customHeight="1">
      <c r="D22" s="117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178"/>
      <c r="F22" s="1178"/>
      <c r="G22" s="1178"/>
      <c r="H22" s="1178"/>
      <c r="I22" s="1178"/>
      <c r="K22" s="125"/>
      <c r="L22" s="125"/>
      <c r="M22" s="125"/>
      <c r="N22" s="125"/>
      <c r="O22" s="125"/>
      <c r="P22" s="125"/>
      <c r="AB22" s="538">
        <v>22</v>
      </c>
    </row>
    <row r="23" spans="2:28" ht="15.75" customHeight="1">
      <c r="D23" s="1127" t="str">
        <f>IF(org=0,"Не определено",org)</f>
        <v>АО "НИЖЕГОРОДСКИЙ ВОДОКАНАЛ"</v>
      </c>
      <c r="E23" s="1127"/>
      <c r="F23" s="1127"/>
      <c r="G23" s="1127"/>
      <c r="H23" s="1127"/>
      <c r="I23" s="1127"/>
      <c r="K23" s="77"/>
      <c r="L23" s="77"/>
      <c r="M23" s="77"/>
      <c r="N23" s="77"/>
      <c r="O23" s="77"/>
      <c r="P23" s="77"/>
      <c r="AB23" s="538">
        <v>15</v>
      </c>
    </row>
    <row r="24" spans="2:28" ht="15.75" customHeight="1">
      <c r="G24" s="555">
        <v>22</v>
      </c>
      <c r="H24" s="629"/>
      <c r="I24" s="555">
        <v>22</v>
      </c>
      <c r="J24" s="629"/>
      <c r="K24" s="9" t="s">
        <v>22</v>
      </c>
      <c r="L24" s="90"/>
      <c r="M24" s="9" t="s">
        <v>22</v>
      </c>
      <c r="N24" s="90"/>
      <c r="O24" s="9" t="s">
        <v>22</v>
      </c>
      <c r="P24" s="90"/>
      <c r="AB24" s="538">
        <v>15</v>
      </c>
    </row>
    <row r="25" spans="2:28" ht="1.1499999999999999" customHeight="1">
      <c r="H25" s="629"/>
      <c r="I25" s="555" t="s">
        <v>122</v>
      </c>
      <c r="J25" s="629"/>
      <c r="K25" t="s">
        <v>130</v>
      </c>
      <c r="L25" s="90"/>
      <c r="M25" t="s">
        <v>132</v>
      </c>
      <c r="N25" s="90"/>
      <c r="O25" t="s">
        <v>127</v>
      </c>
      <c r="P25" s="90"/>
      <c r="AB25" s="538">
        <v>1</v>
      </c>
    </row>
    <row r="26" spans="2:28" ht="15.75" customHeight="1">
      <c r="D26" s="897"/>
      <c r="E26" s="1275" t="s">
        <v>110</v>
      </c>
      <c r="F26" s="1276"/>
      <c r="G26" s="1302" t="str">
        <f>IF(G25="","",INDEX(DIFFERENTIATION_UNMERGE_VD,MATCH(G25,DIFFERENTIATION_ID_DIFF,0)))</f>
        <v/>
      </c>
      <c r="H26" s="1303"/>
      <c r="I26" s="1302" t="str">
        <f>IF(I25="","",INDEX(DIFFERENTIATION_UNMERGE_VD,MATCH(I25,DIFFERENTIATION_ID_DIFF,0)))</f>
        <v>Холодное водоснабжение. Питьевая вода</v>
      </c>
      <c r="J26" s="1303"/>
      <c r="K26" s="1302" t="str">
        <f>IF(K25="","",INDEX(DIFFERENTIATION_UNMERGE_VD,MATCH(K25,DIFFERENTIATION_ID_DIFF,0)))</f>
        <v>Холодное водоснабжение. Техническая вода</v>
      </c>
      <c r="L26" s="1303"/>
      <c r="M26" s="1302" t="str">
        <f>IF(M25="","",INDEX(DIFFERENTIATION_UNMERGE_VD,MATCH(M25,DIFFERENTIATION_ID_DIFF,0)))</f>
        <v>Подключение (технологическое присоединение) к централизованной системе водоснабжения</v>
      </c>
      <c r="N26" s="1303"/>
      <c r="O26" s="1302" t="str">
        <f>IF(O25="","",INDEX(DIFFERENTIATION_UNMERGE_VD,MATCH(O25,DIFFERENTIATION_ID_DIFF,0)))</f>
        <v>Холодное водоснабжение. Питьевая вода</v>
      </c>
      <c r="P26" s="1303"/>
      <c r="Q26" s="1126" t="s">
        <v>312</v>
      </c>
      <c r="AB26" s="538">
        <v>15</v>
      </c>
    </row>
    <row r="27" spans="2:28" ht="15.75" customHeight="1">
      <c r="D27" s="897"/>
      <c r="E27" s="1275" t="s">
        <v>575</v>
      </c>
      <c r="F27" s="1276"/>
      <c r="G27" s="1302" t="str">
        <f>IF(G25="","",INDEX(DIFFERENTIATION_UNMERGE_AREA,MATCH(G25,DIFFERENTIATION_ID_DIFF,0)))</f>
        <v/>
      </c>
      <c r="H27" s="1303"/>
      <c r="I27" s="1302" t="str">
        <f>IF(I25="","",INDEX(DIFFERENTIATION_UNMERGE_AREA,MATCH(I25,DIFFERENTIATION_ID_DIFF,0)))</f>
        <v>Территория 1</v>
      </c>
      <c r="J27" s="1303"/>
      <c r="K27" s="1302" t="str">
        <f>IF(K25="","",INDEX(DIFFERENTIATION_UNMERGE_AREA,MATCH(K25,DIFFERENTIATION_ID_DIFF,0)))</f>
        <v>Территория 1</v>
      </c>
      <c r="L27" s="1303"/>
      <c r="M27" s="1302" t="str">
        <f>IF(M25="","",INDEX(DIFFERENTIATION_UNMERGE_AREA,MATCH(M25,DIFFERENTIATION_ID_DIFF,0)))</f>
        <v>без дифференциации</v>
      </c>
      <c r="N27" s="1303"/>
      <c r="O27" s="1302" t="str">
        <f>IF(O25="","",INDEX(DIFFERENTIATION_UNMERGE_AREA,MATCH(O25,DIFFERENTIATION_ID_DIFF,0)))</f>
        <v>Территория 2</v>
      </c>
      <c r="P27" s="1303"/>
      <c r="Q27" s="1144"/>
      <c r="AB27" s="538">
        <v>15</v>
      </c>
    </row>
    <row r="28" spans="2:28" ht="15.75" customHeight="1">
      <c r="D28" s="897"/>
      <c r="E28" s="1275" t="s">
        <v>576</v>
      </c>
      <c r="F28" s="1276"/>
      <c r="G28" s="1302" t="str">
        <f>IF(G25="","",INDEX(DIFFERENTIATION_UNMERGE_SYSTEM,MATCH(G25,DIFFERENTIATION_ID_DIFF,0)))</f>
        <v/>
      </c>
      <c r="H28" s="1303"/>
      <c r="I28" s="1302" t="str">
        <f>IF(I25="","",INDEX(DIFFERENTIATION_UNMERGE_SYSTEM,MATCH(I25,DIFFERENTIATION_ID_DIFF,0)))</f>
        <v>Централизованная система водоснабжения города Нижнего Новгорода (1)</v>
      </c>
      <c r="J28" s="1303"/>
      <c r="K28" s="1302" t="str">
        <f>IF(K25="","",INDEX(DIFFERENTIATION_UNMERGE_SYSTEM,MATCH(K25,DIFFERENTIATION_ID_DIFF,0)))</f>
        <v>Централизованная система водоснабжения города Нижнего Новгорода (2)</v>
      </c>
      <c r="L28" s="1303"/>
      <c r="M28" s="1302" t="str">
        <f>IF(M25="","",INDEX(DIFFERENTIATION_UNMERGE_SYSTEM,MATCH(M25,DIFFERENTIATION_ID_DIFF,0)))</f>
        <v>без дифференциации</v>
      </c>
      <c r="N28" s="1303"/>
      <c r="O28" s="1302" t="str">
        <f>IF(O25="","",INDEX(DIFFERENTIATION_UNMERGE_SYSTEM,MATCH(O25,DIFFERENTIATION_ID_DIFF,0)))</f>
        <v>Централизованная система водоснабжения Кстовского муниципального района</v>
      </c>
      <c r="P28" s="1303"/>
      <c r="Q28" s="1144"/>
      <c r="AB28" s="538">
        <v>15</v>
      </c>
    </row>
    <row r="29" spans="2:28" ht="15.75" customHeight="1">
      <c r="D29" s="1277" t="s">
        <v>311</v>
      </c>
      <c r="E29" s="1278"/>
      <c r="F29" s="1278"/>
      <c r="G29" s="898"/>
      <c r="H29" s="898"/>
      <c r="I29" s="898"/>
      <c r="J29" s="899"/>
      <c r="K29" s="380"/>
      <c r="L29" s="380"/>
      <c r="M29" s="380"/>
      <c r="N29" s="380"/>
      <c r="O29" s="380"/>
      <c r="P29" s="380"/>
      <c r="Q29" s="1144"/>
      <c r="AB29" s="538">
        <v>15</v>
      </c>
    </row>
    <row r="30" spans="2:28" ht="35.65" customHeight="1">
      <c r="D30" s="583" t="s">
        <v>87</v>
      </c>
      <c r="E30" s="583" t="s">
        <v>313</v>
      </c>
      <c r="F30" s="583" t="s">
        <v>577</v>
      </c>
      <c r="G30" s="543" t="s">
        <v>314</v>
      </c>
      <c r="H30" s="583" t="s">
        <v>401</v>
      </c>
      <c r="I30" s="543" t="s">
        <v>314</v>
      </c>
      <c r="J30" s="583" t="s">
        <v>401</v>
      </c>
      <c r="K30" s="5" t="s">
        <v>314</v>
      </c>
      <c r="L30" s="35" t="s">
        <v>401</v>
      </c>
      <c r="M30" s="5" t="s">
        <v>314</v>
      </c>
      <c r="N30" s="35" t="s">
        <v>401</v>
      </c>
      <c r="O30" s="5" t="s">
        <v>314</v>
      </c>
      <c r="P30" s="35" t="s">
        <v>401</v>
      </c>
      <c r="Q30" s="1147"/>
      <c r="AB30" s="538">
        <v>34</v>
      </c>
    </row>
    <row r="31" spans="2:28" ht="15" hidden="1" customHeight="1">
      <c r="Q31" s="795"/>
      <c r="AB31" s="538">
        <v>0</v>
      </c>
    </row>
    <row r="32" spans="2:28" ht="24" customHeight="1">
      <c r="B32" s="538" t="s">
        <v>973</v>
      </c>
      <c r="D32" s="392">
        <v>1</v>
      </c>
      <c r="E32" s="393" t="s">
        <v>974</v>
      </c>
      <c r="F32" s="542" t="s">
        <v>317</v>
      </c>
      <c r="G32" s="542" t="s">
        <v>317</v>
      </c>
      <c r="H32" s="542" t="s">
        <v>317</v>
      </c>
      <c r="I32" s="542" t="s">
        <v>317</v>
      </c>
      <c r="J32" s="542" t="s">
        <v>317</v>
      </c>
      <c r="K32" s="4" t="s">
        <v>317</v>
      </c>
      <c r="L32" s="4" t="s">
        <v>317</v>
      </c>
      <c r="M32" s="4" t="s">
        <v>317</v>
      </c>
      <c r="N32" s="4" t="s">
        <v>317</v>
      </c>
      <c r="O32" s="4" t="s">
        <v>317</v>
      </c>
      <c r="P32" s="4" t="s">
        <v>317</v>
      </c>
      <c r="Q32" s="795"/>
      <c r="AB32" s="538">
        <v>23</v>
      </c>
    </row>
    <row r="33" spans="1:28" ht="11.45" customHeight="1">
      <c r="D33" s="760"/>
      <c r="E33" s="44" t="s">
        <v>604</v>
      </c>
      <c r="F33" s="761"/>
      <c r="G33" s="761"/>
      <c r="H33" s="761"/>
      <c r="I33" s="761"/>
      <c r="J33" s="761"/>
      <c r="K33" s="206"/>
      <c r="L33" s="206"/>
      <c r="M33" s="206"/>
      <c r="N33" s="206"/>
      <c r="O33" s="206"/>
      <c r="P33" s="206"/>
      <c r="Q33" s="905"/>
      <c r="AB33" s="538">
        <v>11</v>
      </c>
    </row>
    <row r="34" spans="1:28" ht="24" customHeight="1">
      <c r="B34" s="553" t="s">
        <v>657</v>
      </c>
      <c r="D34" s="392">
        <v>2</v>
      </c>
      <c r="E34" s="393" t="s">
        <v>975</v>
      </c>
      <c r="F34" s="542" t="s">
        <v>317</v>
      </c>
      <c r="G34" s="542" t="s">
        <v>317</v>
      </c>
      <c r="H34" s="542" t="s">
        <v>317</v>
      </c>
      <c r="I34" s="542"/>
      <c r="J34" s="542"/>
      <c r="K34" s="4" t="s">
        <v>317</v>
      </c>
      <c r="L34" s="4" t="s">
        <v>317</v>
      </c>
      <c r="M34" s="4" t="s">
        <v>317</v>
      </c>
      <c r="N34" s="4" t="s">
        <v>317</v>
      </c>
      <c r="O34" s="4" t="s">
        <v>317</v>
      </c>
      <c r="P34" s="4" t="s">
        <v>317</v>
      </c>
      <c r="Q34" s="795"/>
      <c r="AB34" s="538">
        <v>23</v>
      </c>
    </row>
    <row r="35" spans="1:28" ht="11.45" customHeight="1">
      <c r="D35" s="760"/>
      <c r="E35" s="44" t="s">
        <v>976</v>
      </c>
      <c r="F35" s="761"/>
      <c r="G35" s="906"/>
      <c r="H35" s="761"/>
      <c r="I35" s="906"/>
      <c r="J35" s="761"/>
      <c r="K35" s="395"/>
      <c r="L35" s="206"/>
      <c r="M35" s="395"/>
      <c r="N35" s="206"/>
      <c r="O35" s="395"/>
      <c r="P35" s="206"/>
      <c r="Q35" s="905"/>
      <c r="AB35" s="538">
        <v>11</v>
      </c>
    </row>
    <row r="36" spans="1:28" ht="71.25" customHeight="1">
      <c r="B36" s="538" t="s">
        <v>977</v>
      </c>
      <c r="D36" s="392">
        <v>3</v>
      </c>
      <c r="E36" s="393" t="s">
        <v>978</v>
      </c>
      <c r="F36" s="580" t="s">
        <v>317</v>
      </c>
      <c r="G36" s="56" t="s">
        <v>979</v>
      </c>
      <c r="H36" s="542" t="s">
        <v>317</v>
      </c>
      <c r="I36" s="56" t="s">
        <v>979</v>
      </c>
      <c r="J36" s="542" t="s">
        <v>317</v>
      </c>
      <c r="K36" s="56" t="s">
        <v>979</v>
      </c>
      <c r="L36" s="4" t="s">
        <v>317</v>
      </c>
      <c r="M36" s="56" t="s">
        <v>979</v>
      </c>
      <c r="N36" s="4" t="s">
        <v>317</v>
      </c>
      <c r="O36" s="56" t="s">
        <v>979</v>
      </c>
      <c r="P36" s="4" t="s">
        <v>317</v>
      </c>
      <c r="Q36" s="795" t="s">
        <v>980</v>
      </c>
      <c r="AB36" s="538">
        <v>68</v>
      </c>
    </row>
    <row r="37" spans="1:28" ht="11.45" customHeight="1">
      <c r="D37" s="760"/>
      <c r="E37" s="44" t="s">
        <v>981</v>
      </c>
      <c r="F37" s="761"/>
      <c r="G37" s="906"/>
      <c r="H37" s="906"/>
      <c r="I37" s="906"/>
      <c r="J37" s="906"/>
      <c r="K37" s="395"/>
      <c r="L37" s="395"/>
      <c r="M37" s="395"/>
      <c r="N37" s="395"/>
      <c r="O37" s="395"/>
      <c r="P37" s="395"/>
      <c r="Q37" s="905"/>
      <c r="AB37" s="538">
        <v>11</v>
      </c>
    </row>
    <row r="38" spans="1:28" ht="71.25" customHeight="1">
      <c r="B38" s="538" t="s">
        <v>982</v>
      </c>
      <c r="D38" s="392">
        <v>4</v>
      </c>
      <c r="E38" s="393" t="s">
        <v>983</v>
      </c>
      <c r="F38" s="580" t="s">
        <v>317</v>
      </c>
      <c r="G38" s="56" t="s">
        <v>979</v>
      </c>
      <c r="H38" s="583" t="s">
        <v>317</v>
      </c>
      <c r="I38" s="56" t="s">
        <v>979</v>
      </c>
      <c r="J38" s="583" t="s">
        <v>317</v>
      </c>
      <c r="K38" s="56" t="s">
        <v>979</v>
      </c>
      <c r="L38" s="35" t="s">
        <v>317</v>
      </c>
      <c r="M38" s="56" t="s">
        <v>979</v>
      </c>
      <c r="N38" s="35" t="s">
        <v>317</v>
      </c>
      <c r="O38" s="56" t="s">
        <v>979</v>
      </c>
      <c r="P38" s="35" t="s">
        <v>317</v>
      </c>
      <c r="Q38" s="901" t="s">
        <v>984</v>
      </c>
      <c r="AB38" s="538">
        <v>68</v>
      </c>
    </row>
    <row r="39" spans="1:28" ht="11.45" customHeight="1">
      <c r="D39" s="760"/>
      <c r="E39" s="44" t="s">
        <v>985</v>
      </c>
      <c r="F39" s="761"/>
      <c r="G39" s="761"/>
      <c r="H39" s="907"/>
      <c r="I39" s="761"/>
      <c r="J39" s="907"/>
      <c r="K39" s="206"/>
      <c r="L39" s="396"/>
      <c r="M39" s="206"/>
      <c r="N39" s="396"/>
      <c r="O39" s="206"/>
      <c r="P39" s="396"/>
      <c r="Q39" s="905"/>
      <c r="AB39" s="538">
        <v>11</v>
      </c>
    </row>
    <row r="40" spans="1:28" ht="22.5" hidden="1" customHeight="1">
      <c r="A40" s="536" t="s">
        <v>81</v>
      </c>
      <c r="B40" s="538">
        <v>0</v>
      </c>
      <c r="C40" s="731">
        <v>4</v>
      </c>
      <c r="D40" s="538">
        <v>6</v>
      </c>
      <c r="E40" s="538">
        <v>36</v>
      </c>
      <c r="F40" s="538">
        <v>9</v>
      </c>
      <c r="G40" s="538">
        <v>0</v>
      </c>
      <c r="H40" s="538">
        <v>0</v>
      </c>
      <c r="I40" s="538">
        <v>25</v>
      </c>
      <c r="J40" s="538">
        <v>33</v>
      </c>
      <c r="K40" s="3">
        <v>0</v>
      </c>
      <c r="L40" s="3">
        <v>0</v>
      </c>
      <c r="M40" s="3">
        <v>0</v>
      </c>
      <c r="N40" s="3">
        <v>0</v>
      </c>
      <c r="O40" s="3">
        <v>0</v>
      </c>
      <c r="P40" s="3">
        <v>0</v>
      </c>
      <c r="Q40" s="555">
        <v>93</v>
      </c>
      <c r="R40" s="538">
        <v>10</v>
      </c>
      <c r="S40" s="538">
        <v>10</v>
      </c>
      <c r="T40" s="538">
        <v>10</v>
      </c>
      <c r="U40" s="538">
        <v>10</v>
      </c>
      <c r="V40" s="538">
        <v>10</v>
      </c>
      <c r="W40" s="538">
        <v>10</v>
      </c>
      <c r="X40" s="538">
        <v>10</v>
      </c>
      <c r="Y40" s="538">
        <v>10</v>
      </c>
      <c r="Z40" s="538">
        <v>10</v>
      </c>
      <c r="AA40" s="902">
        <v>10</v>
      </c>
      <c r="AB40" s="538">
        <v>23</v>
      </c>
    </row>
  </sheetData>
  <sheetProtection formatColumns="0" formatRows="0" insertRows="0" deleteColumns="0" deleteRows="0" sort="0" autoFilter="0"/>
  <mergeCells count="30">
    <mergeCell ref="B3:B4"/>
    <mergeCell ref="C3:C4"/>
    <mergeCell ref="B6:B7"/>
    <mergeCell ref="C6:C7"/>
    <mergeCell ref="B9:B11"/>
    <mergeCell ref="C9:C11"/>
    <mergeCell ref="M27:N27"/>
    <mergeCell ref="O28:P28"/>
    <mergeCell ref="B13:B14"/>
    <mergeCell ref="C13:C14"/>
    <mergeCell ref="D22:I22"/>
    <mergeCell ref="D23:I23"/>
    <mergeCell ref="I26:J26"/>
    <mergeCell ref="E26:F26"/>
    <mergeCell ref="O26:P26"/>
    <mergeCell ref="O27:P27"/>
    <mergeCell ref="G28:H28"/>
    <mergeCell ref="Q26:Q30"/>
    <mergeCell ref="E27:F27"/>
    <mergeCell ref="E28:F28"/>
    <mergeCell ref="I27:J27"/>
    <mergeCell ref="I28:J28"/>
    <mergeCell ref="G26:H26"/>
    <mergeCell ref="G27:H27"/>
    <mergeCell ref="D29:F29"/>
    <mergeCell ref="K28:L28"/>
    <mergeCell ref="K26:L26"/>
    <mergeCell ref="K27:L27"/>
    <mergeCell ref="M28:N28"/>
    <mergeCell ref="M26:N26"/>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H6:H7 J6:J7 L6:L7 N6:N7 P6:P7 J9:J11 L9:L11 N9:N11 P9:P11 H9:H11 J13:J14 L13:L14 N13:N14 P13:P14 H13:H14">
      <formula1>900</formula1>
    </dataValidation>
    <dataValidation allowBlank="1" showInputMessage="1" showErrorMessage="1" prompt="Для выбора выполните двойной щелчок левой клавиши мыши по ячейке." sqref="I36 G38 I38 G36 K36 K38 M36 M38 O36 O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8"/>
  <sheetViews>
    <sheetView showGridLines="0" zoomScale="85" workbookViewId="0">
      <pane xSplit="7" ySplit="10" topLeftCell="J13" activePane="bottomRight" state="frozen"/>
      <selection pane="topRight" activeCell="H1" sqref="H1"/>
      <selection pane="bottomLeft" activeCell="A11" sqref="A11"/>
      <selection pane="bottomRight" activeCell="X13" sqref="X13:X14"/>
    </sheetView>
  </sheetViews>
  <sheetFormatPr defaultColWidth="9.140625" defaultRowHeight="10.5" customHeight="1"/>
  <cols>
    <col min="1" max="4" width="6.7109375" style="1029" hidden="1" customWidth="1"/>
    <col min="5" max="5" width="3" style="1029" customWidth="1"/>
    <col min="6" max="6" width="6" style="1029" customWidth="1"/>
    <col min="7" max="7" width="61.85546875" style="1029" customWidth="1"/>
    <col min="8" max="8" width="16" style="1029" customWidth="1"/>
    <col min="9" max="10" width="19" style="1029" customWidth="1"/>
    <col min="11" max="11" width="24" style="1029" customWidth="1"/>
    <col min="12" max="13" width="25" style="1029" customWidth="1"/>
    <col min="14" max="16" width="17" style="1029" customWidth="1"/>
    <col min="17" max="24" width="19" style="1029" customWidth="1"/>
    <col min="25" max="25" width="7" style="1029" customWidth="1"/>
    <col min="26" max="26" width="3" style="1029" customWidth="1"/>
    <col min="27" max="27" width="6" style="1029" customWidth="1"/>
    <col min="28" max="28" width="34" style="1029" customWidth="1"/>
    <col min="29" max="30" width="8" style="1029" customWidth="1"/>
    <col min="31" max="31" width="9.140625" style="1029" hidden="1"/>
  </cols>
  <sheetData>
    <row r="1" spans="1:31" ht="10.5" hidden="1" customHeight="1">
      <c r="AE1" s="555" t="s">
        <v>14</v>
      </c>
    </row>
    <row r="2" spans="1:31" ht="10.5" hidden="1" customHeight="1">
      <c r="AE2" s="538">
        <v>0</v>
      </c>
    </row>
    <row r="3" spans="1:31" ht="10.5" hidden="1" customHeight="1">
      <c r="G3" s="536" t="s">
        <v>986</v>
      </c>
      <c r="AE3" s="536">
        <v>0</v>
      </c>
    </row>
    <row r="4" spans="1:31" ht="3" customHeight="1">
      <c r="AE4" s="538">
        <v>3</v>
      </c>
    </row>
    <row r="5" spans="1:31" ht="27.4" customHeight="1">
      <c r="F5" s="1178" t="str">
        <f>IP_NAME_FORM</f>
        <v>Форма 7. Информация об инвестиционных программах организации холодного водоснабжения и отчетах об их исполнении</v>
      </c>
      <c r="G5" s="1178"/>
      <c r="H5" s="1178"/>
      <c r="I5" s="1178"/>
      <c r="J5" s="1178"/>
      <c r="K5" s="1178"/>
      <c r="AE5" s="538">
        <v>26</v>
      </c>
    </row>
    <row r="6" spans="1:31" ht="16.899999999999999" customHeight="1">
      <c r="F6" s="1127" t="str">
        <f>IF(org=0,"Не определено",org)</f>
        <v>АО "НИЖЕГОРОДСКИЙ ВОДОКАНАЛ"</v>
      </c>
      <c r="G6" s="1127"/>
      <c r="H6" s="1127"/>
      <c r="I6" s="1127"/>
      <c r="J6" s="1127"/>
      <c r="K6" s="1127"/>
      <c r="AE6" s="538">
        <v>16</v>
      </c>
    </row>
    <row r="7" spans="1:31" ht="10.5" customHeight="1">
      <c r="AE7" s="538">
        <v>10</v>
      </c>
    </row>
    <row r="8" spans="1:31" ht="10.5" customHeight="1">
      <c r="F8" s="1048" t="s">
        <v>311</v>
      </c>
      <c r="G8" s="1053"/>
      <c r="H8" s="1053"/>
      <c r="I8" s="1053"/>
      <c r="J8" s="1053"/>
      <c r="K8" s="1053"/>
      <c r="L8" s="1053"/>
      <c r="M8" s="1053"/>
      <c r="N8" s="1053"/>
      <c r="O8" s="1053"/>
      <c r="P8" s="1053"/>
      <c r="Q8" s="1053"/>
      <c r="R8" s="1053"/>
      <c r="S8" s="1053"/>
      <c r="T8" s="1053"/>
      <c r="U8" s="1053"/>
      <c r="V8" s="1053"/>
      <c r="W8" s="1053"/>
      <c r="X8" s="1053"/>
      <c r="Y8" s="1053"/>
      <c r="Z8" s="1053"/>
      <c r="AA8" s="1053"/>
      <c r="AB8" s="1047"/>
      <c r="AE8" s="538">
        <v>10</v>
      </c>
    </row>
    <row r="9" spans="1:31" ht="43.15" customHeight="1">
      <c r="F9" s="1066" t="s">
        <v>87</v>
      </c>
      <c r="G9" s="1066" t="s">
        <v>986</v>
      </c>
      <c r="H9" s="1126" t="s">
        <v>987</v>
      </c>
      <c r="I9" s="1066" t="s">
        <v>988</v>
      </c>
      <c r="J9" s="1066" t="s">
        <v>989</v>
      </c>
      <c r="K9" s="1066" t="s">
        <v>990</v>
      </c>
      <c r="L9" s="1066" t="s">
        <v>991</v>
      </c>
      <c r="M9" s="1066" t="s">
        <v>992</v>
      </c>
      <c r="N9" s="1154" t="s">
        <v>993</v>
      </c>
      <c r="O9" s="1154"/>
      <c r="P9" s="1154"/>
      <c r="Q9" s="1203" t="s">
        <v>994</v>
      </c>
      <c r="R9" s="1204"/>
      <c r="S9" s="1204"/>
      <c r="T9" s="1205"/>
      <c r="U9" s="1203" t="s">
        <v>995</v>
      </c>
      <c r="V9" s="1204"/>
      <c r="W9" s="1204"/>
      <c r="X9" s="1205"/>
      <c r="Y9" s="1048" t="s">
        <v>996</v>
      </c>
      <c r="Z9" s="1053"/>
      <c r="AA9" s="1053"/>
      <c r="AB9" s="1047"/>
      <c r="AE9" s="538">
        <v>41</v>
      </c>
    </row>
    <row r="10" spans="1:31" ht="43.15" customHeight="1">
      <c r="F10" s="1126"/>
      <c r="G10" s="1126"/>
      <c r="H10" s="1173"/>
      <c r="I10" s="1126"/>
      <c r="J10" s="1126"/>
      <c r="K10" s="1126"/>
      <c r="L10" s="1126"/>
      <c r="M10" s="1126"/>
      <c r="N10" s="955" t="s">
        <v>997</v>
      </c>
      <c r="O10" s="955" t="s">
        <v>998</v>
      </c>
      <c r="P10" s="829" t="s">
        <v>999</v>
      </c>
      <c r="Q10" s="955" t="s">
        <v>88</v>
      </c>
      <c r="R10" s="955" t="s">
        <v>1000</v>
      </c>
      <c r="S10" s="955" t="s">
        <v>1001</v>
      </c>
      <c r="T10" s="886" t="s">
        <v>1002</v>
      </c>
      <c r="U10" s="955" t="s">
        <v>88</v>
      </c>
      <c r="V10" s="955" t="s">
        <v>1003</v>
      </c>
      <c r="W10" s="955" t="s">
        <v>1001</v>
      </c>
      <c r="X10" s="886" t="s">
        <v>1002</v>
      </c>
      <c r="Y10" s="817" t="s">
        <v>1004</v>
      </c>
      <c r="Z10" s="1048" t="s">
        <v>87</v>
      </c>
      <c r="AA10" s="1047"/>
      <c r="AB10" s="583" t="s">
        <v>1005</v>
      </c>
      <c r="AE10" s="538">
        <v>41</v>
      </c>
    </row>
    <row r="11" spans="1:31" ht="5.25" hidden="1" customHeight="1">
      <c r="F11" s="1325" t="s">
        <v>387</v>
      </c>
      <c r="G11" s="1322"/>
      <c r="H11" s="1321"/>
      <c r="I11" s="1321"/>
      <c r="J11" s="1321"/>
      <c r="K11" s="1323"/>
      <c r="L11" s="1323"/>
      <c r="M11" s="1323"/>
      <c r="N11" s="1321"/>
      <c r="O11" s="1321"/>
      <c r="P11" s="1066"/>
      <c r="Q11" s="1129"/>
      <c r="R11" s="1129"/>
      <c r="S11" s="1129"/>
      <c r="T11" s="1321"/>
      <c r="U11" s="1129"/>
      <c r="V11" s="1129"/>
      <c r="W11" s="1129"/>
      <c r="X11" s="1321"/>
      <c r="Y11" s="1060"/>
      <c r="Z11" s="1060"/>
      <c r="AA11" s="1060"/>
      <c r="AB11" s="1060"/>
      <c r="AD11" s="577" t="s">
        <v>1006</v>
      </c>
      <c r="AE11" s="577">
        <v>0</v>
      </c>
    </row>
    <row r="12" spans="1:31" ht="5.25" hidden="1" customHeight="1">
      <c r="F12" s="1325"/>
      <c r="G12" s="1322"/>
      <c r="H12" s="1321"/>
      <c r="I12" s="1321"/>
      <c r="J12" s="1321"/>
      <c r="K12" s="1323"/>
      <c r="L12" s="1323"/>
      <c r="M12" s="1323"/>
      <c r="N12" s="1321"/>
      <c r="O12" s="1321"/>
      <c r="P12" s="1066"/>
      <c r="Q12" s="1129"/>
      <c r="R12" s="1129"/>
      <c r="S12" s="1129"/>
      <c r="T12" s="1321"/>
      <c r="U12" s="1129"/>
      <c r="V12" s="1129"/>
      <c r="W12" s="1129"/>
      <c r="X12" s="1321"/>
      <c r="Y12" s="1324"/>
      <c r="Z12" s="1324"/>
      <c r="AA12" s="1324"/>
      <c r="AB12" s="1324"/>
      <c r="AE12" s="577">
        <v>0</v>
      </c>
    </row>
    <row r="13" spans="1:31" ht="36.75" customHeight="1">
      <c r="A13"/>
      <c r="B13"/>
      <c r="C13"/>
      <c r="D13"/>
      <c r="E13" s="1304" t="s">
        <v>103</v>
      </c>
      <c r="F13" s="1315" t="s">
        <v>114</v>
      </c>
      <c r="G13" s="1316" t="s">
        <v>1007</v>
      </c>
      <c r="H13" s="1317" t="s">
        <v>61</v>
      </c>
      <c r="I13" s="1319">
        <v>41627.388483796298</v>
      </c>
      <c r="J13" s="1311">
        <v>45245.388668981483</v>
      </c>
      <c r="K13" s="1306" t="s">
        <v>1008</v>
      </c>
      <c r="L13" s="1307" t="s">
        <v>1009</v>
      </c>
      <c r="M13" s="1307" t="s">
        <v>1010</v>
      </c>
      <c r="N13" s="1313" t="s">
        <v>1011</v>
      </c>
      <c r="O13" s="1313" t="s">
        <v>1012</v>
      </c>
      <c r="P13" s="1314" t="str">
        <f>DATEDIF(DATEVALUE(N13),DATEVALUE(O13),"y")&amp;"г. "&amp;DATEDIF(DATEVALUE(N13),DATEVALUE(O13),"ym")&amp;"мес. "&amp;DATEVALUE(O13)-DATE(YEAR(DATEVALUE(O13)),MONTH(DATEVALUE(O13)),1)&amp;"дн. "</f>
        <v xml:space="preserve">16г. 11мес. 30дн. </v>
      </c>
      <c r="Q13" s="1308" t="s">
        <v>1013</v>
      </c>
      <c r="R13" s="1308" t="s">
        <v>1014</v>
      </c>
      <c r="S13" s="1308" t="s">
        <v>1015</v>
      </c>
      <c r="T13" s="1311" t="s">
        <v>1016</v>
      </c>
      <c r="U13" s="1308" t="s">
        <v>1017</v>
      </c>
      <c r="V13" s="1308" t="s">
        <v>1018</v>
      </c>
      <c r="W13" s="1308" t="s">
        <v>1019</v>
      </c>
      <c r="X13" s="1311">
        <v>45245.391192129631</v>
      </c>
      <c r="Y13" s="1309" t="s">
        <v>61</v>
      </c>
      <c r="Z13" s="616"/>
      <c r="AA13" s="583">
        <v>1</v>
      </c>
      <c r="AB13" s="205" t="s">
        <v>1020</v>
      </c>
      <c r="AC13"/>
      <c r="AD13" s="577" t="s">
        <v>1021</v>
      </c>
      <c r="AE13"/>
    </row>
    <row r="14" spans="1:31" ht="10.5" customHeight="1">
      <c r="A14"/>
      <c r="B14"/>
      <c r="C14"/>
      <c r="D14"/>
      <c r="E14" s="1305"/>
      <c r="F14" s="1315" t="s">
        <v>387</v>
      </c>
      <c r="G14" s="1316"/>
      <c r="H14" s="1318"/>
      <c r="I14" s="1320"/>
      <c r="J14" s="1312"/>
      <c r="K14" s="1306"/>
      <c r="L14" s="1307"/>
      <c r="M14" s="1307"/>
      <c r="N14" s="1313"/>
      <c r="O14" s="1313"/>
      <c r="P14" s="1314"/>
      <c r="Q14" s="1308"/>
      <c r="R14" s="1308"/>
      <c r="S14" s="1308"/>
      <c r="T14" s="1312"/>
      <c r="U14" s="1308"/>
      <c r="V14" s="1308"/>
      <c r="W14" s="1308"/>
      <c r="X14" s="1312"/>
      <c r="Y14" s="1310"/>
      <c r="Z14" s="760"/>
      <c r="AA14" s="761"/>
      <c r="AB14" s="59" t="s">
        <v>1022</v>
      </c>
      <c r="AC14"/>
      <c r="AD14"/>
      <c r="AE14"/>
    </row>
    <row r="15" spans="1:31" ht="10.5" customHeight="1">
      <c r="F15" s="353"/>
      <c r="G15" s="44" t="s">
        <v>1023</v>
      </c>
      <c r="H15" s="44"/>
      <c r="I15" s="761"/>
      <c r="J15" s="761"/>
      <c r="K15" s="761"/>
      <c r="L15" s="761"/>
      <c r="M15" s="761"/>
      <c r="N15" s="761"/>
      <c r="O15" s="761"/>
      <c r="P15" s="761"/>
      <c r="Q15" s="761"/>
      <c r="R15" s="761"/>
      <c r="S15" s="761"/>
      <c r="T15" s="761"/>
      <c r="U15" s="761"/>
      <c r="V15" s="761"/>
      <c r="W15" s="761"/>
      <c r="X15" s="761"/>
      <c r="Y15" s="761"/>
      <c r="Z15" s="907"/>
      <c r="AA15" s="907"/>
      <c r="AB15" s="956"/>
      <c r="AE15" s="538">
        <v>10</v>
      </c>
    </row>
    <row r="16" spans="1:31" ht="10.5" customHeight="1">
      <c r="AE16" s="538">
        <v>10</v>
      </c>
    </row>
    <row r="17" spans="1:31" ht="10.5" customHeight="1">
      <c r="H17" s="577">
        <f>IFERROR(MATCH("нет",IP_MAIN_DIFFERENTIATION_EVENTS_FLAG,0),0)</f>
        <v>0</v>
      </c>
      <c r="AE17" s="577">
        <v>10</v>
      </c>
    </row>
    <row r="18" spans="1:31" ht="10.5" hidden="1" customHeight="1">
      <c r="A18" s="456" t="s">
        <v>81</v>
      </c>
      <c r="B18" s="456">
        <v>0</v>
      </c>
      <c r="C18" s="456">
        <v>0</v>
      </c>
      <c r="D18" s="555">
        <v>0</v>
      </c>
      <c r="E18" s="538">
        <v>3</v>
      </c>
      <c r="F18" s="538">
        <v>6</v>
      </c>
      <c r="G18" s="538">
        <v>37</v>
      </c>
      <c r="H18" s="538">
        <v>16</v>
      </c>
      <c r="I18" s="538">
        <v>19</v>
      </c>
      <c r="J18" s="538">
        <v>19</v>
      </c>
      <c r="K18" s="538">
        <v>24</v>
      </c>
      <c r="L18" s="538">
        <v>25</v>
      </c>
      <c r="M18" s="538">
        <v>25</v>
      </c>
      <c r="N18" s="538">
        <v>17</v>
      </c>
      <c r="O18" s="538">
        <v>17</v>
      </c>
      <c r="P18" s="538">
        <v>17</v>
      </c>
      <c r="Q18" s="538">
        <v>19</v>
      </c>
      <c r="R18" s="538">
        <v>19</v>
      </c>
      <c r="S18" s="538">
        <v>19</v>
      </c>
      <c r="T18" s="538">
        <v>19</v>
      </c>
      <c r="U18" s="538">
        <v>19</v>
      </c>
      <c r="V18" s="538">
        <v>19</v>
      </c>
      <c r="W18" s="538">
        <v>19</v>
      </c>
      <c r="X18" s="538">
        <v>19</v>
      </c>
      <c r="Y18" s="538">
        <v>7</v>
      </c>
      <c r="Z18" s="538">
        <v>3</v>
      </c>
      <c r="AA18" s="538">
        <v>6</v>
      </c>
      <c r="AB18" s="538">
        <v>34</v>
      </c>
      <c r="AC18" s="538">
        <v>8</v>
      </c>
      <c r="AD18" s="538">
        <v>8</v>
      </c>
      <c r="AE18" s="538">
        <v>10</v>
      </c>
    </row>
  </sheetData>
  <sheetProtection formatColumns="0" formatRows="0" insertRows="0" deleteColumns="0" deleteRows="0" sort="0" autoFilter="0"/>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Y13:Y14"/>
    <mergeCell ref="S13:S14"/>
    <mergeCell ref="T13:T14"/>
    <mergeCell ref="M13:M14"/>
    <mergeCell ref="N13:N14"/>
    <mergeCell ref="O13:O14"/>
    <mergeCell ref="Q13:Q14"/>
    <mergeCell ref="R13:R14"/>
    <mergeCell ref="W13:W14"/>
    <mergeCell ref="X13:X14"/>
    <mergeCell ref="P13:P14"/>
    <mergeCell ref="E13:E14"/>
    <mergeCell ref="K13:K14"/>
    <mergeCell ref="L13:L14"/>
    <mergeCell ref="U13:U14"/>
    <mergeCell ref="V13:V14"/>
    <mergeCell ref="F13:F14"/>
    <mergeCell ref="G13:G14"/>
    <mergeCell ref="H13:H14"/>
    <mergeCell ref="I13:I14"/>
    <mergeCell ref="J13:J14"/>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1022"/>
  <sheetViews>
    <sheetView showGridLines="0" zoomScale="70" workbookViewId="0">
      <pane xSplit="8" ySplit="12" topLeftCell="I997" activePane="bottomRight" state="frozen"/>
      <selection pane="topRight" activeCell="I1" sqref="I1"/>
      <selection pane="bottomLeft" activeCell="A13" sqref="A13"/>
      <selection pane="bottomRight" activeCell="K35" sqref="K35:K39"/>
    </sheetView>
  </sheetViews>
  <sheetFormatPr defaultColWidth="9.140625" defaultRowHeight="10.5" customHeight="1"/>
  <cols>
    <col min="1" max="4" width="4.140625" style="1029" hidden="1" customWidth="1"/>
    <col min="5" max="5" width="3" style="1029" customWidth="1"/>
    <col min="6" max="6" width="14" style="1029" customWidth="1"/>
    <col min="7" max="7" width="3" style="1029" customWidth="1"/>
    <col min="8" max="8" width="7" style="1029" customWidth="1"/>
    <col min="9" max="10" width="16" style="1029" customWidth="1"/>
    <col min="11" max="11" width="25" style="1029" customWidth="1"/>
    <col min="12" max="12" width="7" style="1029" customWidth="1"/>
    <col min="13" max="13" width="15" style="1029" customWidth="1"/>
    <col min="14" max="14" width="3" style="1029" customWidth="1"/>
    <col min="15" max="15" width="4" style="1029" customWidth="1"/>
    <col min="16" max="16" width="8" style="1029" customWidth="1"/>
    <col min="17" max="17" width="21" style="1029" customWidth="1"/>
    <col min="18" max="18" width="14" style="1029" customWidth="1"/>
    <col min="19" max="20" width="17" style="1029" customWidth="1"/>
    <col min="21" max="21" width="9" style="1029" customWidth="1"/>
    <col min="22" max="22" width="12" style="1029" customWidth="1"/>
    <col min="23" max="23" width="9" style="1029" customWidth="1"/>
    <col min="24" max="24" width="21" style="1029" customWidth="1"/>
    <col min="25" max="25" width="12" style="1029" customWidth="1"/>
    <col min="26" max="26" width="3" style="1029" customWidth="1"/>
    <col min="27" max="27" width="6" style="1029" customWidth="1"/>
    <col min="28" max="28" width="38" style="1029" customWidth="1"/>
    <col min="29" max="29" width="15" style="1029" customWidth="1"/>
    <col min="30" max="30" width="37.5703125" style="1029" customWidth="1"/>
    <col min="31" max="31" width="15.7109375" style="1029" customWidth="1"/>
    <col min="32" max="34" width="16" style="1029" customWidth="1"/>
    <col min="35" max="37" width="16.7109375" style="1029" customWidth="1"/>
    <col min="38" max="58" width="8" style="1029" customWidth="1"/>
    <col min="59" max="59" width="9.140625" style="1029" hidden="1"/>
  </cols>
  <sheetData>
    <row r="1" spans="1:59" ht="10.5" hidden="1" customHeight="1">
      <c r="BG1" s="555" t="s">
        <v>14</v>
      </c>
    </row>
    <row r="2" spans="1:59" ht="10.5" hidden="1" customHeight="1">
      <c r="BG2" s="538">
        <v>0</v>
      </c>
    </row>
    <row r="3" spans="1:59" ht="10.5" hidden="1" customHeight="1">
      <c r="BG3" s="536">
        <v>0</v>
      </c>
    </row>
    <row r="4" spans="1:59" ht="3" customHeight="1">
      <c r="BG4" s="538">
        <v>3</v>
      </c>
    </row>
    <row r="5" spans="1:59" ht="27.4" customHeight="1">
      <c r="F5" s="1178" t="str">
        <f>IP_NAME_FORM</f>
        <v>Форма 7. Информация об инвестиционных программах организации холодного водоснабжения и отчетах об их исполнении</v>
      </c>
      <c r="G5" s="1178"/>
      <c r="H5" s="1178"/>
      <c r="I5" s="1178"/>
      <c r="J5" s="1178"/>
      <c r="K5" s="1178"/>
      <c r="BG5" s="538">
        <v>26</v>
      </c>
    </row>
    <row r="6" spans="1:59" ht="10.5" customHeight="1">
      <c r="F6" s="1127" t="str">
        <f>IF(org=0,"Не определено",org)</f>
        <v>АО "НИЖЕГОРОДСКИЙ ВОДОКАНАЛ"</v>
      </c>
      <c r="G6" s="1127"/>
      <c r="H6" s="1127"/>
      <c r="I6" s="1127"/>
      <c r="J6" s="1127"/>
      <c r="K6" s="1127"/>
      <c r="BG6" s="538">
        <v>10</v>
      </c>
    </row>
    <row r="7" spans="1:59" ht="11.45" customHeight="1">
      <c r="E7" s="556"/>
      <c r="F7" s="957"/>
      <c r="G7" s="957"/>
      <c r="H7" s="957"/>
      <c r="I7" s="957"/>
      <c r="J7" s="957"/>
      <c r="K7" s="463"/>
      <c r="L7" s="463"/>
      <c r="M7" s="463"/>
      <c r="N7" s="957"/>
      <c r="O7" s="957"/>
      <c r="P7" s="957"/>
      <c r="Q7" s="463"/>
      <c r="R7" s="957"/>
      <c r="S7" s="957"/>
      <c r="T7" s="957"/>
      <c r="U7" s="957"/>
      <c r="V7" s="957"/>
      <c r="W7" s="957"/>
      <c r="X7" s="957"/>
      <c r="Y7" s="957"/>
      <c r="Z7" s="957"/>
      <c r="AA7" s="957"/>
      <c r="AB7" s="957"/>
      <c r="AC7" s="958"/>
      <c r="AD7" s="958"/>
      <c r="AE7" s="958"/>
      <c r="AF7" s="957"/>
      <c r="AG7" s="957"/>
      <c r="AH7" s="957"/>
      <c r="AI7" s="957"/>
      <c r="AJ7" s="957"/>
      <c r="AK7" s="957"/>
      <c r="BG7" s="538">
        <v>11</v>
      </c>
    </row>
    <row r="8" spans="1:59" ht="10.5" customHeight="1">
      <c r="E8" s="556"/>
      <c r="F8" s="1362" t="s">
        <v>311</v>
      </c>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4"/>
      <c r="AL8" s="959"/>
      <c r="BG8" s="538">
        <v>10</v>
      </c>
    </row>
    <row r="9" spans="1:59" ht="24" customHeight="1">
      <c r="E9" s="556"/>
      <c r="F9" s="1154" t="s">
        <v>1024</v>
      </c>
      <c r="G9" s="1246" t="s">
        <v>1025</v>
      </c>
      <c r="H9" s="1294"/>
      <c r="I9" s="1066" t="s">
        <v>1026</v>
      </c>
      <c r="J9" s="1066"/>
      <c r="K9" s="1066" t="s">
        <v>1027</v>
      </c>
      <c r="L9" s="1066"/>
      <c r="M9" s="1066"/>
      <c r="N9" s="1066"/>
      <c r="O9" s="1066"/>
      <c r="P9" s="1066"/>
      <c r="Q9" s="1066"/>
      <c r="R9" s="1066"/>
      <c r="S9" s="1066"/>
      <c r="T9" s="1066"/>
      <c r="U9" s="1066"/>
      <c r="V9" s="1066"/>
      <c r="W9" s="1066"/>
      <c r="X9" s="1066"/>
      <c r="Y9" s="1066"/>
      <c r="Z9" s="1141" t="s">
        <v>1028</v>
      </c>
      <c r="AA9" s="1142"/>
      <c r="AB9" s="1066" t="s">
        <v>1029</v>
      </c>
      <c r="AC9" s="1066"/>
      <c r="AD9" s="1066"/>
      <c r="AE9" s="1066"/>
      <c r="AF9" s="1126" t="s">
        <v>1030</v>
      </c>
      <c r="AG9" s="1066" t="s">
        <v>1031</v>
      </c>
      <c r="AH9" s="1066"/>
      <c r="AI9" s="1126" t="s">
        <v>1032</v>
      </c>
      <c r="AJ9" s="1066" t="s">
        <v>1033</v>
      </c>
      <c r="AK9" s="1066"/>
      <c r="BG9" s="538">
        <v>23</v>
      </c>
    </row>
    <row r="10" spans="1:59" ht="25.15" customHeight="1">
      <c r="E10" s="556"/>
      <c r="F10" s="1154"/>
      <c r="G10" s="1247"/>
      <c r="H10" s="1158"/>
      <c r="I10" s="1066"/>
      <c r="J10" s="1066"/>
      <c r="K10" s="1066" t="s">
        <v>1034</v>
      </c>
      <c r="L10" s="1048" t="s">
        <v>1035</v>
      </c>
      <c r="M10" s="1047"/>
      <c r="N10" s="1066" t="s">
        <v>1036</v>
      </c>
      <c r="O10" s="1066"/>
      <c r="P10" s="1066"/>
      <c r="Q10" s="1066"/>
      <c r="R10" s="1066"/>
      <c r="S10" s="1066"/>
      <c r="T10" s="1066"/>
      <c r="U10" s="1066"/>
      <c r="V10" s="1066"/>
      <c r="W10" s="1066"/>
      <c r="X10" s="1066"/>
      <c r="Y10" s="1066"/>
      <c r="Z10" s="1143"/>
      <c r="AA10" s="1144"/>
      <c r="AB10" s="1066"/>
      <c r="AC10" s="1066"/>
      <c r="AD10" s="1066"/>
      <c r="AE10" s="1066"/>
      <c r="AF10" s="1145"/>
      <c r="AG10" s="1066"/>
      <c r="AH10" s="1066"/>
      <c r="AI10" s="1145"/>
      <c r="AJ10" s="1066"/>
      <c r="AK10" s="1066"/>
      <c r="BG10" s="538">
        <v>24</v>
      </c>
    </row>
    <row r="11" spans="1:59" ht="25.15" customHeight="1">
      <c r="E11" s="556"/>
      <c r="F11" s="1154"/>
      <c r="G11" s="1247"/>
      <c r="H11" s="1158"/>
      <c r="I11" s="1066"/>
      <c r="J11" s="1066"/>
      <c r="K11" s="1066"/>
      <c r="L11" s="1126" t="s">
        <v>1037</v>
      </c>
      <c r="M11" s="1126" t="s">
        <v>1038</v>
      </c>
      <c r="N11" s="1066" t="s">
        <v>1039</v>
      </c>
      <c r="O11" s="1066"/>
      <c r="P11" s="1107" t="s">
        <v>1004</v>
      </c>
      <c r="Q11" s="1107" t="s">
        <v>1040</v>
      </c>
      <c r="R11" s="1107" t="s">
        <v>1041</v>
      </c>
      <c r="S11" s="1107" t="s">
        <v>1042</v>
      </c>
      <c r="T11" s="1107"/>
      <c r="U11" s="1107"/>
      <c r="V11" s="1107"/>
      <c r="W11" s="1107"/>
      <c r="X11" s="1107"/>
      <c r="Y11" s="1107"/>
      <c r="Z11" s="1143"/>
      <c r="AA11" s="1144"/>
      <c r="AB11" s="1066" t="s">
        <v>1043</v>
      </c>
      <c r="AC11" s="1066"/>
      <c r="AD11" s="1048" t="s">
        <v>1044</v>
      </c>
      <c r="AE11" s="1047"/>
      <c r="AF11" s="1145"/>
      <c r="AG11" s="1066"/>
      <c r="AH11" s="1066"/>
      <c r="AI11" s="1145"/>
      <c r="AJ11" s="1066"/>
      <c r="AK11" s="1066"/>
      <c r="BG11" s="538">
        <v>24</v>
      </c>
    </row>
    <row r="12" spans="1:59" ht="35.65" customHeight="1">
      <c r="E12" s="556"/>
      <c r="F12" s="1154"/>
      <c r="G12" s="1248"/>
      <c r="H12" s="1361"/>
      <c r="I12" s="583" t="s">
        <v>88</v>
      </c>
      <c r="J12" s="583" t="s">
        <v>1045</v>
      </c>
      <c r="K12" s="1066"/>
      <c r="L12" s="1173"/>
      <c r="M12" s="1173"/>
      <c r="N12" s="1066"/>
      <c r="O12" s="1066"/>
      <c r="P12" s="1107"/>
      <c r="Q12" s="1107"/>
      <c r="R12" s="1107"/>
      <c r="S12" s="602" t="s">
        <v>85</v>
      </c>
      <c r="T12" s="602" t="s">
        <v>86</v>
      </c>
      <c r="U12" s="602" t="s">
        <v>84</v>
      </c>
      <c r="V12" s="602" t="s">
        <v>1046</v>
      </c>
      <c r="W12" s="602" t="s">
        <v>84</v>
      </c>
      <c r="X12" s="602" t="s">
        <v>1047</v>
      </c>
      <c r="Y12" s="602" t="s">
        <v>1048</v>
      </c>
      <c r="Z12" s="1146"/>
      <c r="AA12" s="1147"/>
      <c r="AB12" s="583" t="s">
        <v>1049</v>
      </c>
      <c r="AC12" s="583" t="s">
        <v>1050</v>
      </c>
      <c r="AD12" s="583" t="s">
        <v>1049</v>
      </c>
      <c r="AE12" s="583" t="s">
        <v>1050</v>
      </c>
      <c r="AF12" s="1173"/>
      <c r="AG12" s="583" t="s">
        <v>1051</v>
      </c>
      <c r="AH12" s="583" t="s">
        <v>1052</v>
      </c>
      <c r="AI12" s="1173"/>
      <c r="AJ12" s="583" t="s">
        <v>1051</v>
      </c>
      <c r="AK12" s="583" t="s">
        <v>1052</v>
      </c>
      <c r="BG12" s="538">
        <v>34</v>
      </c>
    </row>
    <row r="13" spans="1:59" ht="1.1499999999999999" customHeight="1">
      <c r="E13" s="556"/>
      <c r="F13" s="556">
        <v>0</v>
      </c>
      <c r="G13" s="556"/>
      <c r="H13" s="556"/>
      <c r="I13" s="556"/>
      <c r="J13" s="556"/>
      <c r="AL13" s="959"/>
      <c r="BG13" s="538">
        <v>1</v>
      </c>
    </row>
    <row r="14" spans="1:59" ht="21" customHeight="1">
      <c r="A14" t="s">
        <v>1021</v>
      </c>
      <c r="B14"/>
      <c r="C14"/>
      <c r="D14"/>
      <c r="E14" s="556" t="s">
        <v>22</v>
      </c>
      <c r="F14" s="765" t="str">
        <f>INDEX(IP_MAIN_LIST_NAME_IP,MATCH(A14,IP_MAIN_LIST_IP_ID,0))&amp;" ("&amp;INDEX(IP_MAIN_START_DATE,MATCH(A14,IP_MAIN_LIST_IP_ID,0))&amp;"-"&amp;INDEX(IP_MAIN_END_DATE,MATCH(A14,IP_MAIN_LIST_IP_ID,0))&amp;")"</f>
        <v>Инвестиционная программа от 19.12.2013 АО "НИЖЕГОРОДСКИЙ ВОДОКАНАЛ"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Нижний Новгород на 2014-2030 годы (01.01.2014-31.12.2030)</v>
      </c>
      <c r="G14" s="766"/>
      <c r="H14" s="766"/>
      <c r="I14" s="767"/>
      <c r="J14" s="767"/>
      <c r="K14" s="768"/>
      <c r="L14" s="768"/>
      <c r="M14" s="768"/>
      <c r="N14" s="769"/>
      <c r="O14" s="769"/>
      <c r="P14" s="769"/>
      <c r="Q14" s="769"/>
      <c r="R14" s="769"/>
      <c r="S14" s="769"/>
      <c r="T14" s="769"/>
      <c r="U14" s="769"/>
      <c r="V14" s="769"/>
      <c r="W14" s="769"/>
      <c r="X14" s="769"/>
      <c r="Y14" s="769"/>
      <c r="Z14" s="769"/>
      <c r="AA14" s="769"/>
      <c r="AB14" s="769"/>
      <c r="AC14" s="769"/>
      <c r="AD14" s="769"/>
      <c r="AE14" s="770"/>
      <c r="AF14" s="768"/>
      <c r="AG14" s="768"/>
      <c r="AH14" s="768"/>
      <c r="AI14" s="768"/>
      <c r="AJ14" s="768"/>
      <c r="AK14" s="768"/>
      <c r="AL14" s="771"/>
      <c r="AM14"/>
      <c r="AN14"/>
      <c r="AO14"/>
      <c r="AP14"/>
      <c r="AQ14"/>
      <c r="AR14"/>
      <c r="AS14"/>
      <c r="AT14"/>
      <c r="AU14"/>
      <c r="AV14"/>
      <c r="AW14"/>
      <c r="AX14"/>
      <c r="AY14"/>
      <c r="AZ14"/>
      <c r="BA14"/>
      <c r="BB14"/>
      <c r="BC14"/>
      <c r="BD14"/>
      <c r="BE14"/>
      <c r="BF14"/>
      <c r="BG14"/>
    </row>
    <row r="15" spans="1:59" ht="0.75" customHeight="1">
      <c r="A15" t="s">
        <v>1021</v>
      </c>
      <c r="B15"/>
      <c r="C15"/>
      <c r="D15"/>
      <c r="E15" s="556"/>
      <c r="F15" s="1353">
        <v>2014</v>
      </c>
      <c r="G15" s="1327"/>
      <c r="H15" s="1357" t="s">
        <v>387</v>
      </c>
      <c r="I15" s="1358"/>
      <c r="J15" s="1350"/>
      <c r="K15" s="1350"/>
      <c r="L15" s="1351"/>
      <c r="M15" s="1200"/>
      <c r="N15" s="214"/>
      <c r="O15" s="215"/>
      <c r="P15" s="214"/>
      <c r="Q15" s="214"/>
      <c r="R15" s="214"/>
      <c r="S15" s="214"/>
      <c r="T15" s="214"/>
      <c r="U15" s="214"/>
      <c r="V15" s="214"/>
      <c r="W15" s="214"/>
      <c r="X15" s="214"/>
      <c r="Y15" s="214"/>
      <c r="Z15" s="214"/>
      <c r="AA15" s="214"/>
      <c r="AB15" s="214"/>
      <c r="AC15" s="214"/>
      <c r="AD15" s="214"/>
      <c r="AE15" s="214"/>
      <c r="AF15" s="1356"/>
      <c r="AG15" s="1351"/>
      <c r="AH15" s="1351"/>
      <c r="AI15" s="1356"/>
      <c r="AJ15" s="1351"/>
      <c r="AK15" s="1351"/>
      <c r="AL15" s="771"/>
      <c r="AM15"/>
      <c r="AN15"/>
      <c r="AO15"/>
      <c r="AP15"/>
      <c r="AQ15"/>
      <c r="AR15"/>
      <c r="AS15"/>
      <c r="AT15"/>
      <c r="AU15"/>
      <c r="AV15"/>
      <c r="AW15"/>
      <c r="AX15"/>
      <c r="AY15"/>
      <c r="AZ15"/>
      <c r="BA15"/>
      <c r="BB15"/>
      <c r="BC15"/>
      <c r="BD15"/>
      <c r="BE15"/>
      <c r="BF15"/>
      <c r="BG15"/>
    </row>
    <row r="16" spans="1:59" ht="0.75" customHeight="1">
      <c r="A16" t="s">
        <v>1021</v>
      </c>
      <c r="B16"/>
      <c r="C16"/>
      <c r="D16"/>
      <c r="E16" s="556"/>
      <c r="F16" s="1353"/>
      <c r="G16" s="1327"/>
      <c r="H16" s="1357"/>
      <c r="I16" s="1358"/>
      <c r="J16" s="1350"/>
      <c r="K16" s="1350"/>
      <c r="L16" s="1351"/>
      <c r="M16" s="1200"/>
      <c r="N16" s="1359"/>
      <c r="O16" s="1360"/>
      <c r="P16" s="1347"/>
      <c r="Q16" s="1350"/>
      <c r="R16" s="1350"/>
      <c r="S16" s="1350"/>
      <c r="T16" s="1350"/>
      <c r="U16" s="1350"/>
      <c r="V16" s="1350"/>
      <c r="W16" s="1350"/>
      <c r="X16" s="1350"/>
      <c r="Y16" s="1350"/>
      <c r="Z16" s="216"/>
      <c r="AA16" s="217"/>
      <c r="AB16" s="217"/>
      <c r="AC16" s="218"/>
      <c r="AD16" s="218"/>
      <c r="AE16" s="219"/>
      <c r="AF16" s="1356"/>
      <c r="AG16" s="1351"/>
      <c r="AH16" s="1351"/>
      <c r="AI16" s="1356"/>
      <c r="AJ16" s="1351"/>
      <c r="AK16" s="1351"/>
      <c r="AL16" s="771"/>
      <c r="AM16"/>
      <c r="AN16"/>
      <c r="AO16"/>
      <c r="AP16"/>
      <c r="AQ16"/>
      <c r="AR16"/>
      <c r="AS16"/>
      <c r="AT16"/>
      <c r="AU16"/>
      <c r="AV16"/>
      <c r="AW16"/>
      <c r="AX16"/>
      <c r="AY16"/>
      <c r="AZ16"/>
      <c r="BA16"/>
      <c r="BB16"/>
      <c r="BC16"/>
      <c r="BD16"/>
      <c r="BE16"/>
      <c r="BF16"/>
      <c r="BG16"/>
    </row>
    <row r="17" spans="1:59" ht="0.75" customHeight="1">
      <c r="A17" t="s">
        <v>1021</v>
      </c>
      <c r="B17"/>
      <c r="C17"/>
      <c r="D17"/>
      <c r="E17" s="556"/>
      <c r="F17" s="1353"/>
      <c r="G17" s="1327"/>
      <c r="H17" s="1357"/>
      <c r="I17" s="1358"/>
      <c r="J17" s="1350"/>
      <c r="K17" s="1350"/>
      <c r="L17" s="1351"/>
      <c r="M17" s="1200"/>
      <c r="N17" s="1359"/>
      <c r="O17" s="1360"/>
      <c r="P17" s="1348"/>
      <c r="Q17" s="1350"/>
      <c r="R17" s="1350"/>
      <c r="S17" s="1350"/>
      <c r="T17" s="1350"/>
      <c r="U17" s="1350"/>
      <c r="V17" s="1350"/>
      <c r="W17" s="1350"/>
      <c r="X17" s="1350"/>
      <c r="Y17" s="1350"/>
      <c r="Z17"/>
      <c r="AA17" s="772"/>
      <c r="AB17" s="773"/>
      <c r="AC17" s="220"/>
      <c r="AD17" s="773"/>
      <c r="AE17" s="220"/>
      <c r="AF17" s="1356"/>
      <c r="AG17" s="1351"/>
      <c r="AH17" s="1351"/>
      <c r="AI17" s="1356"/>
      <c r="AJ17" s="1351"/>
      <c r="AK17" s="1351"/>
      <c r="AL17" s="771"/>
      <c r="AM17"/>
      <c r="AN17"/>
      <c r="AO17"/>
      <c r="AP17"/>
      <c r="AQ17"/>
      <c r="AR17"/>
      <c r="AS17"/>
      <c r="AT17"/>
      <c r="AU17"/>
      <c r="AV17"/>
      <c r="AW17"/>
      <c r="AX17"/>
      <c r="AY17"/>
      <c r="AZ17"/>
      <c r="BA17"/>
      <c r="BB17"/>
      <c r="BC17"/>
      <c r="BD17"/>
      <c r="BE17"/>
      <c r="BF17"/>
      <c r="BG17"/>
    </row>
    <row r="18" spans="1:59" ht="0.75" customHeight="1">
      <c r="A18" t="s">
        <v>1021</v>
      </c>
      <c r="B18"/>
      <c r="C18"/>
      <c r="D18"/>
      <c r="E18" s="556"/>
      <c r="F18" s="1353"/>
      <c r="G18" s="1327"/>
      <c r="H18" s="1357"/>
      <c r="I18" s="1358"/>
      <c r="J18" s="1350"/>
      <c r="K18" s="1350"/>
      <c r="L18" s="1351"/>
      <c r="M18" s="1200"/>
      <c r="N18" s="1359"/>
      <c r="O18" s="1360"/>
      <c r="P18" s="1349"/>
      <c r="Q18" s="1350"/>
      <c r="R18" s="1350"/>
      <c r="S18" s="1350"/>
      <c r="T18" s="1350"/>
      <c r="U18" s="1350"/>
      <c r="V18" s="1350"/>
      <c r="W18" s="1350"/>
      <c r="X18" s="1350"/>
      <c r="Y18" s="1350"/>
      <c r="Z18" s="216"/>
      <c r="AA18" s="217"/>
      <c r="AB18" s="221"/>
      <c r="AC18" s="218"/>
      <c r="AD18" s="218"/>
      <c r="AE18" s="222"/>
      <c r="AF18" s="1356"/>
      <c r="AG18" s="1351"/>
      <c r="AH18" s="1351"/>
      <c r="AI18" s="1356"/>
      <c r="AJ18" s="1351"/>
      <c r="AK18" s="1351"/>
      <c r="AL18" s="771"/>
      <c r="AM18"/>
      <c r="AN18"/>
      <c r="AO18"/>
      <c r="AP18"/>
      <c r="AQ18"/>
      <c r="AR18"/>
      <c r="AS18"/>
      <c r="AT18"/>
      <c r="AU18"/>
      <c r="AV18"/>
      <c r="AW18"/>
      <c r="AX18"/>
      <c r="AY18"/>
      <c r="AZ18"/>
      <c r="BA18"/>
      <c r="BB18"/>
      <c r="BC18"/>
      <c r="BD18"/>
      <c r="BE18"/>
      <c r="BF18"/>
      <c r="BG18"/>
    </row>
    <row r="19" spans="1:59" ht="0.75" customHeight="1">
      <c r="A19" t="s">
        <v>1021</v>
      </c>
      <c r="B19"/>
      <c r="C19"/>
      <c r="D19"/>
      <c r="E19" s="556"/>
      <c r="F19" s="1353"/>
      <c r="G19" s="1327"/>
      <c r="H19" s="1357"/>
      <c r="I19" s="1358"/>
      <c r="J19" s="1350"/>
      <c r="K19" s="1350"/>
      <c r="L19" s="1351"/>
      <c r="M19" s="1200"/>
      <c r="N19" s="217"/>
      <c r="O19" s="217"/>
      <c r="P19" s="221"/>
      <c r="Q19" s="217"/>
      <c r="R19" s="217"/>
      <c r="S19" s="217"/>
      <c r="T19" s="217"/>
      <c r="U19" s="217"/>
      <c r="V19" s="217"/>
      <c r="W19" s="217"/>
      <c r="X19" s="217"/>
      <c r="Y19" s="217"/>
      <c r="Z19" s="217"/>
      <c r="AA19" s="217"/>
      <c r="AB19" s="217"/>
      <c r="AC19" s="217"/>
      <c r="AD19" s="217"/>
      <c r="AE19" s="223"/>
      <c r="AF19" s="1356"/>
      <c r="AG19" s="1351"/>
      <c r="AH19" s="1351"/>
      <c r="AI19" s="1356"/>
      <c r="AJ19" s="1351"/>
      <c r="AK19" s="1351"/>
      <c r="AL19" s="771"/>
      <c r="AM19"/>
      <c r="AN19"/>
      <c r="AO19"/>
      <c r="AP19"/>
      <c r="AQ19"/>
      <c r="AR19"/>
      <c r="AS19"/>
      <c r="AT19"/>
      <c r="AU19"/>
      <c r="AV19"/>
      <c r="AW19"/>
      <c r="AX19"/>
      <c r="AY19"/>
      <c r="AZ19"/>
      <c r="BA19"/>
      <c r="BB19"/>
      <c r="BC19"/>
      <c r="BD19"/>
      <c r="BE19"/>
      <c r="BF19"/>
      <c r="BG19"/>
    </row>
    <row r="20" spans="1:59" ht="11.25" customHeight="1">
      <c r="A20" t="s">
        <v>1021</v>
      </c>
      <c r="B20" t="s">
        <v>22</v>
      </c>
      <c r="C20"/>
      <c r="D20"/>
      <c r="E20" s="556"/>
      <c r="F20" s="1354"/>
      <c r="G20" s="1304" t="s">
        <v>103</v>
      </c>
      <c r="H20" s="1327" t="s">
        <v>114</v>
      </c>
      <c r="I20" s="1328" t="s">
        <v>1053</v>
      </c>
      <c r="J20" s="1329" t="s">
        <v>22</v>
      </c>
      <c r="K20" s="1330" t="s">
        <v>1054</v>
      </c>
      <c r="L20" s="1058" t="s">
        <v>19</v>
      </c>
      <c r="M20" s="1060"/>
      <c r="N20" s="241"/>
      <c r="O20" s="242" t="s">
        <v>387</v>
      </c>
      <c r="P20" s="243"/>
      <c r="Q20" s="243"/>
      <c r="R20" s="243"/>
      <c r="S20" s="243"/>
      <c r="T20" s="243"/>
      <c r="U20" s="243"/>
      <c r="V20" s="243"/>
      <c r="W20" s="243"/>
      <c r="X20" s="243"/>
      <c r="Y20" s="243"/>
      <c r="Z20" s="243"/>
      <c r="AA20" s="243"/>
      <c r="AB20" s="243"/>
      <c r="AC20" s="243"/>
      <c r="AD20" s="243"/>
      <c r="AE20" s="243"/>
      <c r="AF20" s="1331">
        <v>6</v>
      </c>
      <c r="AG20" s="1332" t="s">
        <v>1055</v>
      </c>
      <c r="AH20" s="1332" t="s">
        <v>1056</v>
      </c>
      <c r="AI20" s="1331">
        <v>6</v>
      </c>
      <c r="AJ20" s="1332" t="s">
        <v>1055</v>
      </c>
      <c r="AK20" s="1332" t="s">
        <v>1056</v>
      </c>
      <c r="AL20" s="771"/>
      <c r="AM20"/>
      <c r="AN20"/>
      <c r="AO20"/>
      <c r="AP20"/>
      <c r="AQ20"/>
      <c r="AR20"/>
      <c r="AS20"/>
      <c r="AT20"/>
      <c r="AU20"/>
      <c r="AV20"/>
      <c r="AW20"/>
      <c r="AX20"/>
      <c r="AY20"/>
      <c r="AZ20"/>
      <c r="BA20"/>
      <c r="BB20"/>
      <c r="BC20"/>
      <c r="BD20"/>
      <c r="BE20"/>
      <c r="BF20"/>
      <c r="BG20"/>
    </row>
    <row r="21" spans="1:59" ht="11.25" customHeight="1">
      <c r="A21" t="s">
        <v>1021</v>
      </c>
      <c r="B21"/>
      <c r="C21"/>
      <c r="D21"/>
      <c r="E21" s="556"/>
      <c r="F21" s="1354"/>
      <c r="G21" s="1326"/>
      <c r="H21" s="1327" t="s">
        <v>387</v>
      </c>
      <c r="I21" s="1328"/>
      <c r="J21" s="1329"/>
      <c r="K21" s="1330"/>
      <c r="L21" s="1058"/>
      <c r="M21" s="1060"/>
      <c r="N21" s="1333"/>
      <c r="O21" s="1334">
        <v>1</v>
      </c>
      <c r="P21" s="1335" t="s">
        <v>61</v>
      </c>
      <c r="Q21" s="1339" t="s">
        <v>1057</v>
      </c>
      <c r="R21" s="1340" t="s">
        <v>1058</v>
      </c>
      <c r="S21" s="1340" t="s">
        <v>99</v>
      </c>
      <c r="T21" s="1340" t="s">
        <v>99</v>
      </c>
      <c r="U21" s="1340" t="s">
        <v>100</v>
      </c>
      <c r="V21" s="1340" t="s">
        <v>1059</v>
      </c>
      <c r="W21" s="1340" t="s">
        <v>1060</v>
      </c>
      <c r="X21" s="1340" t="s">
        <v>1061</v>
      </c>
      <c r="Y21" s="1340" t="s">
        <v>1062</v>
      </c>
      <c r="Z21" s="229"/>
      <c r="AA21" s="230"/>
      <c r="AB21" s="230"/>
      <c r="AC21" s="231"/>
      <c r="AD21" s="231"/>
      <c r="AE21" s="244"/>
      <c r="AF21" s="1331"/>
      <c r="AG21" s="1332"/>
      <c r="AH21" s="1332"/>
      <c r="AI21" s="1331"/>
      <c r="AJ21" s="1332"/>
      <c r="AK21" s="1332"/>
      <c r="AL21" s="771"/>
      <c r="AM21"/>
      <c r="AN21"/>
      <c r="AO21"/>
      <c r="AP21"/>
      <c r="AQ21"/>
      <c r="AR21"/>
      <c r="AS21"/>
      <c r="AT21"/>
      <c r="AU21"/>
      <c r="AV21"/>
      <c r="AW21"/>
      <c r="AX21"/>
      <c r="AY21"/>
      <c r="AZ21"/>
      <c r="BA21"/>
      <c r="BB21"/>
      <c r="BC21"/>
      <c r="BD21"/>
      <c r="BE21"/>
      <c r="BF21"/>
      <c r="BG21"/>
    </row>
    <row r="22" spans="1:59" ht="11.25" customHeight="1">
      <c r="A22" t="s">
        <v>1021</v>
      </c>
      <c r="B22"/>
      <c r="C22"/>
      <c r="D22"/>
      <c r="E22" s="556"/>
      <c r="F22" s="1354"/>
      <c r="G22" s="1326"/>
      <c r="H22" s="1327" t="s">
        <v>387</v>
      </c>
      <c r="I22" s="1328"/>
      <c r="J22" s="1329"/>
      <c r="K22" s="1330"/>
      <c r="L22" s="1058"/>
      <c r="M22" s="1060"/>
      <c r="N22" s="1333"/>
      <c r="O22" s="1334"/>
      <c r="P22" s="1336"/>
      <c r="Q22" s="1339"/>
      <c r="R22" s="1323"/>
      <c r="S22" s="1338"/>
      <c r="T22" s="1323"/>
      <c r="U22" s="1323"/>
      <c r="V22" s="1323"/>
      <c r="W22" s="1323"/>
      <c r="X22" s="1323"/>
      <c r="Y22" s="1323"/>
      <c r="Z22"/>
      <c r="AA22" s="777">
        <v>1</v>
      </c>
      <c r="AB22" s="778" t="s">
        <v>1063</v>
      </c>
      <c r="AC22" s="236">
        <v>115.79609360000001</v>
      </c>
      <c r="AD22" s="778" t="str">
        <f>AB22</f>
        <v xml:space="preserve">  Кредиты</v>
      </c>
      <c r="AE22" s="236">
        <f>AC22</f>
        <v>115.79609360000001</v>
      </c>
      <c r="AF22" s="1331"/>
      <c r="AG22" s="1332"/>
      <c r="AH22" s="1332"/>
      <c r="AI22" s="1331"/>
      <c r="AJ22" s="1332"/>
      <c r="AK22" s="1332"/>
      <c r="AL22" s="771"/>
      <c r="AM22"/>
      <c r="AN22"/>
      <c r="AO22"/>
      <c r="AP22"/>
      <c r="AQ22"/>
      <c r="AR22"/>
      <c r="AS22"/>
      <c r="AT22"/>
      <c r="AU22"/>
      <c r="AV22"/>
      <c r="AW22"/>
      <c r="AX22"/>
      <c r="AY22"/>
      <c r="AZ22"/>
      <c r="BA22"/>
      <c r="BB22"/>
      <c r="BC22"/>
      <c r="BD22"/>
      <c r="BE22"/>
      <c r="BF22"/>
      <c r="BG22"/>
    </row>
    <row r="23" spans="1:59" ht="11.25" customHeight="1">
      <c r="A23" t="s">
        <v>1021</v>
      </c>
      <c r="B23"/>
      <c r="C23"/>
      <c r="D23"/>
      <c r="E23" s="556"/>
      <c r="F23" s="1354"/>
      <c r="G23" s="1326"/>
      <c r="H23" s="1327" t="s">
        <v>387</v>
      </c>
      <c r="I23" s="1328"/>
      <c r="J23" s="1329"/>
      <c r="K23" s="1330"/>
      <c r="L23" s="1058"/>
      <c r="M23" s="1060"/>
      <c r="N23" s="1333"/>
      <c r="O23" s="1334"/>
      <c r="P23" s="1337"/>
      <c r="Q23" s="1339"/>
      <c r="R23" s="1323"/>
      <c r="S23" s="1338"/>
      <c r="T23" s="1323"/>
      <c r="U23" s="1323"/>
      <c r="V23" s="1323"/>
      <c r="W23" s="1323"/>
      <c r="X23" s="1323"/>
      <c r="Y23" s="1323"/>
      <c r="Z23" s="229"/>
      <c r="AA23" s="230"/>
      <c r="AB23" s="44" t="s">
        <v>1064</v>
      </c>
      <c r="AC23" s="231"/>
      <c r="AD23" s="231"/>
      <c r="AE23" s="245"/>
      <c r="AF23" s="1331"/>
      <c r="AG23" s="1332"/>
      <c r="AH23" s="1332"/>
      <c r="AI23" s="1331"/>
      <c r="AJ23" s="1332"/>
      <c r="AK23" s="1332"/>
      <c r="AL23" s="771"/>
      <c r="AM23"/>
      <c r="AN23"/>
      <c r="AO23"/>
      <c r="AP23"/>
      <c r="AQ23"/>
      <c r="AR23"/>
      <c r="AS23"/>
      <c r="AT23"/>
      <c r="AU23"/>
      <c r="AV23"/>
      <c r="AW23"/>
      <c r="AX23"/>
      <c r="AY23"/>
      <c r="AZ23"/>
      <c r="BA23"/>
      <c r="BB23"/>
      <c r="BC23"/>
      <c r="BD23"/>
      <c r="BE23"/>
      <c r="BF23"/>
      <c r="BG23"/>
    </row>
    <row r="24" spans="1:59" ht="11.25" customHeight="1">
      <c r="A24" t="s">
        <v>1021</v>
      </c>
      <c r="B24"/>
      <c r="C24"/>
      <c r="D24"/>
      <c r="E24" s="556"/>
      <c r="F24" s="1354"/>
      <c r="G24" s="1326"/>
      <c r="H24" s="1327" t="s">
        <v>387</v>
      </c>
      <c r="I24" s="1328"/>
      <c r="J24" s="1329"/>
      <c r="K24" s="1330"/>
      <c r="L24" s="1058"/>
      <c r="M24" s="1060"/>
      <c r="N24" s="229"/>
      <c r="O24" s="230"/>
      <c r="P24" s="44" t="s">
        <v>1065</v>
      </c>
      <c r="Q24" s="230"/>
      <c r="R24" s="230"/>
      <c r="S24" s="230"/>
      <c r="T24" s="230"/>
      <c r="U24" s="230"/>
      <c r="V24" s="230"/>
      <c r="W24" s="230"/>
      <c r="X24" s="230"/>
      <c r="Y24" s="230"/>
      <c r="Z24" s="230"/>
      <c r="AA24" s="230"/>
      <c r="AB24" s="230"/>
      <c r="AC24" s="230"/>
      <c r="AD24" s="230"/>
      <c r="AE24" s="246"/>
      <c r="AF24" s="1331"/>
      <c r="AG24" s="1332"/>
      <c r="AH24" s="1332"/>
      <c r="AI24" s="1331"/>
      <c r="AJ24" s="1332"/>
      <c r="AK24" s="1332"/>
      <c r="AL24" s="771"/>
      <c r="AM24"/>
      <c r="AN24"/>
      <c r="AO24"/>
      <c r="AP24"/>
      <c r="AQ24"/>
      <c r="AR24"/>
      <c r="AS24"/>
      <c r="AT24"/>
      <c r="AU24"/>
      <c r="AV24"/>
      <c r="AW24"/>
      <c r="AX24"/>
      <c r="AY24"/>
      <c r="AZ24"/>
      <c r="BA24"/>
      <c r="BB24"/>
      <c r="BC24"/>
      <c r="BD24"/>
      <c r="BE24"/>
      <c r="BF24"/>
      <c r="BG24"/>
    </row>
    <row r="25" spans="1:59" ht="11.25" customHeight="1">
      <c r="A25" t="s">
        <v>1021</v>
      </c>
      <c r="B25" t="s">
        <v>22</v>
      </c>
      <c r="C25"/>
      <c r="D25"/>
      <c r="E25" s="556"/>
      <c r="F25" s="1354"/>
      <c r="G25" s="1304" t="s">
        <v>103</v>
      </c>
      <c r="H25" s="1327" t="s">
        <v>102</v>
      </c>
      <c r="I25" s="1328" t="s">
        <v>1066</v>
      </c>
      <c r="J25" s="1329" t="s">
        <v>22</v>
      </c>
      <c r="K25" s="1330" t="s">
        <v>1067</v>
      </c>
      <c r="L25" s="1058" t="s">
        <v>19</v>
      </c>
      <c r="M25" s="1060"/>
      <c r="N25" s="241"/>
      <c r="O25" s="242" t="s">
        <v>387</v>
      </c>
      <c r="P25" s="243"/>
      <c r="Q25" s="243"/>
      <c r="R25" s="243"/>
      <c r="S25" s="243"/>
      <c r="T25" s="243"/>
      <c r="U25" s="243"/>
      <c r="V25" s="243"/>
      <c r="W25" s="243"/>
      <c r="X25" s="243"/>
      <c r="Y25" s="243"/>
      <c r="Z25" s="243"/>
      <c r="AA25" s="243"/>
      <c r="AB25" s="243"/>
      <c r="AC25" s="243"/>
      <c r="AD25" s="243"/>
      <c r="AE25" s="243"/>
      <c r="AF25" s="1331">
        <v>2</v>
      </c>
      <c r="AG25" s="1332" t="s">
        <v>1055</v>
      </c>
      <c r="AH25" s="1332" t="s">
        <v>1068</v>
      </c>
      <c r="AI25" s="1331">
        <v>2</v>
      </c>
      <c r="AJ25" s="1332" t="s">
        <v>1055</v>
      </c>
      <c r="AK25" s="1332" t="s">
        <v>1068</v>
      </c>
      <c r="AL25" s="771"/>
      <c r="AM25"/>
      <c r="AN25"/>
      <c r="AO25"/>
      <c r="AP25"/>
      <c r="AQ25"/>
      <c r="AR25"/>
      <c r="AS25"/>
      <c r="AT25"/>
      <c r="AU25"/>
      <c r="AV25"/>
      <c r="AW25"/>
      <c r="AX25"/>
      <c r="AY25"/>
      <c r="AZ25"/>
      <c r="BA25"/>
      <c r="BB25"/>
      <c r="BC25"/>
      <c r="BD25"/>
      <c r="BE25"/>
      <c r="BF25"/>
      <c r="BG25"/>
    </row>
    <row r="26" spans="1:59" ht="11.25" customHeight="1">
      <c r="A26" t="s">
        <v>1021</v>
      </c>
      <c r="B26"/>
      <c r="C26"/>
      <c r="D26"/>
      <c r="E26" s="556"/>
      <c r="F26" s="1354"/>
      <c r="G26" s="1326"/>
      <c r="H26" s="1327" t="s">
        <v>114</v>
      </c>
      <c r="I26" s="1328"/>
      <c r="J26" s="1329"/>
      <c r="K26" s="1330"/>
      <c r="L26" s="1058"/>
      <c r="M26" s="1060"/>
      <c r="N26" s="1333"/>
      <c r="O26" s="1334">
        <v>1</v>
      </c>
      <c r="P26" s="1335" t="s">
        <v>61</v>
      </c>
      <c r="Q26" s="1339" t="s">
        <v>1069</v>
      </c>
      <c r="R26" s="1340" t="s">
        <v>1058</v>
      </c>
      <c r="S26" s="1340" t="s">
        <v>99</v>
      </c>
      <c r="T26" s="1340" t="s">
        <v>99</v>
      </c>
      <c r="U26" s="1340" t="s">
        <v>100</v>
      </c>
      <c r="V26" s="1340" t="s">
        <v>1059</v>
      </c>
      <c r="W26" s="1340" t="s">
        <v>1060</v>
      </c>
      <c r="X26" s="1340" t="s">
        <v>1070</v>
      </c>
      <c r="Y26" s="1340" t="s">
        <v>1071</v>
      </c>
      <c r="Z26" s="229"/>
      <c r="AA26" s="230"/>
      <c r="AB26" s="230"/>
      <c r="AC26" s="231"/>
      <c r="AD26" s="231"/>
      <c r="AE26" s="244"/>
      <c r="AF26" s="1331"/>
      <c r="AG26" s="1332"/>
      <c r="AH26" s="1332"/>
      <c r="AI26" s="1331"/>
      <c r="AJ26" s="1332"/>
      <c r="AK26" s="1332"/>
      <c r="AL26" s="771"/>
      <c r="AM26"/>
      <c r="AN26"/>
      <c r="AO26"/>
      <c r="AP26"/>
      <c r="AQ26"/>
      <c r="AR26"/>
      <c r="AS26"/>
      <c r="AT26"/>
      <c r="AU26"/>
      <c r="AV26"/>
      <c r="AW26"/>
      <c r="AX26"/>
      <c r="AY26"/>
      <c r="AZ26"/>
      <c r="BA26"/>
      <c r="BB26"/>
      <c r="BC26"/>
      <c r="BD26"/>
      <c r="BE26"/>
      <c r="BF26"/>
      <c r="BG26"/>
    </row>
    <row r="27" spans="1:59" ht="11.25" customHeight="1">
      <c r="A27" t="s">
        <v>1021</v>
      </c>
      <c r="B27"/>
      <c r="C27"/>
      <c r="D27"/>
      <c r="E27" s="556"/>
      <c r="F27" s="1354"/>
      <c r="G27" s="1326"/>
      <c r="H27" s="1327" t="s">
        <v>114</v>
      </c>
      <c r="I27" s="1328"/>
      <c r="J27" s="1329"/>
      <c r="K27" s="1330"/>
      <c r="L27" s="1058"/>
      <c r="M27" s="1060"/>
      <c r="N27" s="1333"/>
      <c r="O27" s="1334"/>
      <c r="P27" s="1336"/>
      <c r="Q27" s="1339"/>
      <c r="R27" s="1323"/>
      <c r="S27" s="1338"/>
      <c r="T27" s="1323"/>
      <c r="U27" s="1323"/>
      <c r="V27" s="1323"/>
      <c r="W27" s="1323"/>
      <c r="X27" s="1323"/>
      <c r="Y27" s="1323"/>
      <c r="Z27"/>
      <c r="AA27" s="777">
        <v>1</v>
      </c>
      <c r="AB27" s="778" t="s">
        <v>1063</v>
      </c>
      <c r="AC27" s="236">
        <v>152.15832</v>
      </c>
      <c r="AD27" s="778" t="str">
        <f>AB27</f>
        <v xml:space="preserve">  Кредиты</v>
      </c>
      <c r="AE27" s="236">
        <f>AC27</f>
        <v>152.15832</v>
      </c>
      <c r="AF27" s="1331"/>
      <c r="AG27" s="1332"/>
      <c r="AH27" s="1332"/>
      <c r="AI27" s="1331"/>
      <c r="AJ27" s="1332"/>
      <c r="AK27" s="1332"/>
      <c r="AL27" s="771"/>
      <c r="AM27"/>
      <c r="AN27"/>
      <c r="AO27"/>
      <c r="AP27"/>
      <c r="AQ27"/>
      <c r="AR27"/>
      <c r="AS27"/>
      <c r="AT27"/>
      <c r="AU27"/>
      <c r="AV27"/>
      <c r="AW27"/>
      <c r="AX27"/>
      <c r="AY27"/>
      <c r="AZ27"/>
      <c r="BA27"/>
      <c r="BB27"/>
      <c r="BC27"/>
      <c r="BD27"/>
      <c r="BE27"/>
      <c r="BF27"/>
      <c r="BG27"/>
    </row>
    <row r="28" spans="1:59" ht="11.25" customHeight="1">
      <c r="A28" t="s">
        <v>1021</v>
      </c>
      <c r="B28"/>
      <c r="C28"/>
      <c r="D28"/>
      <c r="E28" s="556"/>
      <c r="F28" s="1354"/>
      <c r="G28" s="1326"/>
      <c r="H28" s="1327" t="s">
        <v>114</v>
      </c>
      <c r="I28" s="1328"/>
      <c r="J28" s="1329"/>
      <c r="K28" s="1330"/>
      <c r="L28" s="1058"/>
      <c r="M28" s="1060"/>
      <c r="N28" s="1333"/>
      <c r="O28" s="1334"/>
      <c r="P28" s="1337"/>
      <c r="Q28" s="1339"/>
      <c r="R28" s="1323"/>
      <c r="S28" s="1338"/>
      <c r="T28" s="1323"/>
      <c r="U28" s="1323"/>
      <c r="V28" s="1323"/>
      <c r="W28" s="1323"/>
      <c r="X28" s="1323"/>
      <c r="Y28" s="1323"/>
      <c r="Z28" s="229"/>
      <c r="AA28" s="230"/>
      <c r="AB28" s="44" t="s">
        <v>1064</v>
      </c>
      <c r="AC28" s="231"/>
      <c r="AD28" s="231"/>
      <c r="AE28" s="245"/>
      <c r="AF28" s="1331"/>
      <c r="AG28" s="1332"/>
      <c r="AH28" s="1332"/>
      <c r="AI28" s="1331"/>
      <c r="AJ28" s="1332"/>
      <c r="AK28" s="1332"/>
      <c r="AL28" s="771"/>
      <c r="AM28"/>
      <c r="AN28"/>
      <c r="AO28"/>
      <c r="AP28"/>
      <c r="AQ28"/>
      <c r="AR28"/>
      <c r="AS28"/>
      <c r="AT28"/>
      <c r="AU28"/>
      <c r="AV28"/>
      <c r="AW28"/>
      <c r="AX28"/>
      <c r="AY28"/>
      <c r="AZ28"/>
      <c r="BA28"/>
      <c r="BB28"/>
      <c r="BC28"/>
      <c r="BD28"/>
      <c r="BE28"/>
      <c r="BF28"/>
      <c r="BG28"/>
    </row>
    <row r="29" spans="1:59" ht="11.25" customHeight="1">
      <c r="A29" t="s">
        <v>1021</v>
      </c>
      <c r="B29"/>
      <c r="C29"/>
      <c r="D29"/>
      <c r="E29" s="556"/>
      <c r="F29" s="1354"/>
      <c r="G29" s="1326"/>
      <c r="H29" s="1327" t="s">
        <v>114</v>
      </c>
      <c r="I29" s="1328"/>
      <c r="J29" s="1329"/>
      <c r="K29" s="1330"/>
      <c r="L29" s="1058"/>
      <c r="M29" s="1060"/>
      <c r="N29" s="229"/>
      <c r="O29" s="230"/>
      <c r="P29" s="44" t="s">
        <v>1065</v>
      </c>
      <c r="Q29" s="230"/>
      <c r="R29" s="230"/>
      <c r="S29" s="230"/>
      <c r="T29" s="230"/>
      <c r="U29" s="230"/>
      <c r="V29" s="230"/>
      <c r="W29" s="230"/>
      <c r="X29" s="230"/>
      <c r="Y29" s="230"/>
      <c r="Z29" s="230"/>
      <c r="AA29" s="230"/>
      <c r="AB29" s="230"/>
      <c r="AC29" s="230"/>
      <c r="AD29" s="230"/>
      <c r="AE29" s="246"/>
      <c r="AF29" s="1331"/>
      <c r="AG29" s="1332"/>
      <c r="AH29" s="1332"/>
      <c r="AI29" s="1331"/>
      <c r="AJ29" s="1332"/>
      <c r="AK29" s="1332"/>
      <c r="AL29" s="771"/>
      <c r="AM29"/>
      <c r="AN29"/>
      <c r="AO29"/>
      <c r="AP29"/>
      <c r="AQ29"/>
      <c r="AR29"/>
      <c r="AS29"/>
      <c r="AT29"/>
      <c r="AU29"/>
      <c r="AV29"/>
      <c r="AW29"/>
      <c r="AX29"/>
      <c r="AY29"/>
      <c r="AZ29"/>
      <c r="BA29"/>
      <c r="BB29"/>
      <c r="BC29"/>
      <c r="BD29"/>
      <c r="BE29"/>
      <c r="BF29"/>
      <c r="BG29"/>
    </row>
    <row r="30" spans="1:59" ht="11.25" customHeight="1">
      <c r="A30" t="s">
        <v>1021</v>
      </c>
      <c r="B30" t="s">
        <v>22</v>
      </c>
      <c r="C30"/>
      <c r="D30"/>
      <c r="E30" s="556"/>
      <c r="F30" s="1354"/>
      <c r="G30" s="1304" t="s">
        <v>103</v>
      </c>
      <c r="H30" s="1327" t="s">
        <v>89</v>
      </c>
      <c r="I30" s="1328" t="s">
        <v>1066</v>
      </c>
      <c r="J30" s="1329" t="s">
        <v>22</v>
      </c>
      <c r="K30" s="1330" t="s">
        <v>1072</v>
      </c>
      <c r="L30" s="1058" t="s">
        <v>19</v>
      </c>
      <c r="M30" s="1060"/>
      <c r="N30" s="241"/>
      <c r="O30" s="242" t="s">
        <v>387</v>
      </c>
      <c r="P30" s="243"/>
      <c r="Q30" s="243"/>
      <c r="R30" s="243"/>
      <c r="S30" s="243"/>
      <c r="T30" s="243"/>
      <c r="U30" s="243"/>
      <c r="V30" s="243"/>
      <c r="W30" s="243"/>
      <c r="X30" s="243"/>
      <c r="Y30" s="243"/>
      <c r="Z30" s="243"/>
      <c r="AA30" s="243"/>
      <c r="AB30" s="243"/>
      <c r="AC30" s="243"/>
      <c r="AD30" s="243"/>
      <c r="AE30" s="243"/>
      <c r="AF30" s="1331">
        <v>1</v>
      </c>
      <c r="AG30" s="1332" t="s">
        <v>1055</v>
      </c>
      <c r="AH30" s="1332" t="s">
        <v>1073</v>
      </c>
      <c r="AI30" s="1331">
        <v>1</v>
      </c>
      <c r="AJ30" s="1332" t="s">
        <v>1055</v>
      </c>
      <c r="AK30" s="1332" t="s">
        <v>1073</v>
      </c>
      <c r="AL30" s="771"/>
      <c r="AM30"/>
      <c r="AN30"/>
      <c r="AO30"/>
      <c r="AP30"/>
      <c r="AQ30"/>
      <c r="AR30"/>
      <c r="AS30"/>
      <c r="AT30"/>
      <c r="AU30"/>
      <c r="AV30"/>
      <c r="AW30"/>
      <c r="AX30"/>
      <c r="AY30"/>
      <c r="AZ30"/>
      <c r="BA30"/>
      <c r="BB30"/>
      <c r="BC30"/>
      <c r="BD30"/>
      <c r="BE30"/>
      <c r="BF30"/>
      <c r="BG30"/>
    </row>
    <row r="31" spans="1:59" ht="11.25" customHeight="1">
      <c r="A31" t="s">
        <v>1021</v>
      </c>
      <c r="B31"/>
      <c r="C31"/>
      <c r="D31"/>
      <c r="E31" s="556"/>
      <c r="F31" s="1354"/>
      <c r="G31" s="1326"/>
      <c r="H31" s="1327" t="s">
        <v>102</v>
      </c>
      <c r="I31" s="1328"/>
      <c r="J31" s="1329"/>
      <c r="K31" s="1330"/>
      <c r="L31" s="1058"/>
      <c r="M31" s="1060"/>
      <c r="N31" s="1333"/>
      <c r="O31" s="1334">
        <v>1</v>
      </c>
      <c r="P31" s="1335" t="s">
        <v>61</v>
      </c>
      <c r="Q31" s="1339" t="s">
        <v>1074</v>
      </c>
      <c r="R31" s="1340" t="s">
        <v>1058</v>
      </c>
      <c r="S31" s="1340" t="s">
        <v>99</v>
      </c>
      <c r="T31" s="1340" t="s">
        <v>99</v>
      </c>
      <c r="U31" s="1340" t="s">
        <v>100</v>
      </c>
      <c r="V31" s="1340" t="s">
        <v>1059</v>
      </c>
      <c r="W31" s="1340" t="s">
        <v>1060</v>
      </c>
      <c r="X31" s="1340" t="s">
        <v>1070</v>
      </c>
      <c r="Y31" s="1340" t="s">
        <v>1075</v>
      </c>
      <c r="Z31" s="229"/>
      <c r="AA31" s="230"/>
      <c r="AB31" s="230"/>
      <c r="AC31" s="231"/>
      <c r="AD31" s="231"/>
      <c r="AE31" s="244"/>
      <c r="AF31" s="1331"/>
      <c r="AG31" s="1332"/>
      <c r="AH31" s="1332"/>
      <c r="AI31" s="1331"/>
      <c r="AJ31" s="1332"/>
      <c r="AK31" s="1332"/>
      <c r="AL31" s="771"/>
      <c r="AM31"/>
      <c r="AN31"/>
      <c r="AO31"/>
      <c r="AP31"/>
      <c r="AQ31"/>
      <c r="AR31"/>
      <c r="AS31"/>
      <c r="AT31"/>
      <c r="AU31"/>
      <c r="AV31"/>
      <c r="AW31"/>
      <c r="AX31"/>
      <c r="AY31"/>
      <c r="AZ31"/>
      <c r="BA31"/>
      <c r="BB31"/>
      <c r="BC31"/>
      <c r="BD31"/>
      <c r="BE31"/>
      <c r="BF31"/>
      <c r="BG31"/>
    </row>
    <row r="32" spans="1:59" ht="11.25" customHeight="1">
      <c r="A32" t="s">
        <v>1021</v>
      </c>
      <c r="B32"/>
      <c r="C32"/>
      <c r="D32"/>
      <c r="E32" s="556"/>
      <c r="F32" s="1354"/>
      <c r="G32" s="1326"/>
      <c r="H32" s="1327" t="s">
        <v>102</v>
      </c>
      <c r="I32" s="1328"/>
      <c r="J32" s="1329"/>
      <c r="K32" s="1330"/>
      <c r="L32" s="1058"/>
      <c r="M32" s="1060"/>
      <c r="N32" s="1333"/>
      <c r="O32" s="1334"/>
      <c r="P32" s="1336"/>
      <c r="Q32" s="1339"/>
      <c r="R32" s="1323"/>
      <c r="S32" s="1338"/>
      <c r="T32" s="1323"/>
      <c r="U32" s="1323"/>
      <c r="V32" s="1323"/>
      <c r="W32" s="1323"/>
      <c r="X32" s="1323"/>
      <c r="Y32" s="1323"/>
      <c r="Z32"/>
      <c r="AA32" s="777">
        <v>1</v>
      </c>
      <c r="AB32" s="778" t="s">
        <v>1063</v>
      </c>
      <c r="AC32" s="236">
        <v>427.92424999999997</v>
      </c>
      <c r="AD32" s="778" t="str">
        <f>AB32</f>
        <v xml:space="preserve">  Кредиты</v>
      </c>
      <c r="AE32" s="236">
        <f>AC32</f>
        <v>427.92424999999997</v>
      </c>
      <c r="AF32" s="1331"/>
      <c r="AG32" s="1332"/>
      <c r="AH32" s="1332"/>
      <c r="AI32" s="1331"/>
      <c r="AJ32" s="1332"/>
      <c r="AK32" s="1332"/>
      <c r="AL32" s="771"/>
      <c r="AM32"/>
      <c r="AN32"/>
      <c r="AO32"/>
      <c r="AP32"/>
      <c r="AQ32"/>
      <c r="AR32"/>
      <c r="AS32"/>
      <c r="AT32"/>
      <c r="AU32"/>
      <c r="AV32"/>
      <c r="AW32"/>
      <c r="AX32"/>
      <c r="AY32"/>
      <c r="AZ32"/>
      <c r="BA32"/>
      <c r="BB32"/>
      <c r="BC32"/>
      <c r="BD32"/>
      <c r="BE32"/>
      <c r="BF32"/>
      <c r="BG32"/>
    </row>
    <row r="33" spans="1:59" ht="11.25" customHeight="1">
      <c r="A33" t="s">
        <v>1021</v>
      </c>
      <c r="B33"/>
      <c r="C33"/>
      <c r="D33"/>
      <c r="E33" s="556"/>
      <c r="F33" s="1354"/>
      <c r="G33" s="1326"/>
      <c r="H33" s="1327" t="s">
        <v>102</v>
      </c>
      <c r="I33" s="1328"/>
      <c r="J33" s="1329"/>
      <c r="K33" s="1330"/>
      <c r="L33" s="1058"/>
      <c r="M33" s="1060"/>
      <c r="N33" s="1333"/>
      <c r="O33" s="1334"/>
      <c r="P33" s="1337"/>
      <c r="Q33" s="1339"/>
      <c r="R33" s="1323"/>
      <c r="S33" s="1338"/>
      <c r="T33" s="1323"/>
      <c r="U33" s="1323"/>
      <c r="V33" s="1323"/>
      <c r="W33" s="1323"/>
      <c r="X33" s="1323"/>
      <c r="Y33" s="1323"/>
      <c r="Z33" s="229"/>
      <c r="AA33" s="230"/>
      <c r="AB33" s="44" t="s">
        <v>1064</v>
      </c>
      <c r="AC33" s="231"/>
      <c r="AD33" s="231"/>
      <c r="AE33" s="245"/>
      <c r="AF33" s="1331"/>
      <c r="AG33" s="1332"/>
      <c r="AH33" s="1332"/>
      <c r="AI33" s="1331"/>
      <c r="AJ33" s="1332"/>
      <c r="AK33" s="1332"/>
      <c r="AL33" s="771"/>
      <c r="AM33"/>
      <c r="AN33"/>
      <c r="AO33"/>
      <c r="AP33"/>
      <c r="AQ33"/>
      <c r="AR33"/>
      <c r="AS33"/>
      <c r="AT33"/>
      <c r="AU33"/>
      <c r="AV33"/>
      <c r="AW33"/>
      <c r="AX33"/>
      <c r="AY33"/>
      <c r="AZ33"/>
      <c r="BA33"/>
      <c r="BB33"/>
      <c r="BC33"/>
      <c r="BD33"/>
      <c r="BE33"/>
      <c r="BF33"/>
      <c r="BG33"/>
    </row>
    <row r="34" spans="1:59" ht="11.25" customHeight="1">
      <c r="A34" t="s">
        <v>1021</v>
      </c>
      <c r="B34"/>
      <c r="C34"/>
      <c r="D34"/>
      <c r="E34" s="556"/>
      <c r="F34" s="1354"/>
      <c r="G34" s="1326"/>
      <c r="H34" s="1327" t="s">
        <v>102</v>
      </c>
      <c r="I34" s="1328"/>
      <c r="J34" s="1329"/>
      <c r="K34" s="1330"/>
      <c r="L34" s="1058"/>
      <c r="M34" s="1060"/>
      <c r="N34" s="229"/>
      <c r="O34" s="230"/>
      <c r="P34" s="44" t="s">
        <v>1065</v>
      </c>
      <c r="Q34" s="230"/>
      <c r="R34" s="230"/>
      <c r="S34" s="230"/>
      <c r="T34" s="230"/>
      <c r="U34" s="230"/>
      <c r="V34" s="230"/>
      <c r="W34" s="230"/>
      <c r="X34" s="230"/>
      <c r="Y34" s="230"/>
      <c r="Z34" s="230"/>
      <c r="AA34" s="230"/>
      <c r="AB34" s="230"/>
      <c r="AC34" s="230"/>
      <c r="AD34" s="230"/>
      <c r="AE34" s="246"/>
      <c r="AF34" s="1331"/>
      <c r="AG34" s="1332"/>
      <c r="AH34" s="1332"/>
      <c r="AI34" s="1331"/>
      <c r="AJ34" s="1332"/>
      <c r="AK34" s="1332"/>
      <c r="AL34" s="771"/>
      <c r="AM34"/>
      <c r="AN34"/>
      <c r="AO34"/>
      <c r="AP34"/>
      <c r="AQ34"/>
      <c r="AR34"/>
      <c r="AS34"/>
      <c r="AT34"/>
      <c r="AU34"/>
      <c r="AV34"/>
      <c r="AW34"/>
      <c r="AX34"/>
      <c r="AY34"/>
      <c r="AZ34"/>
      <c r="BA34"/>
      <c r="BB34"/>
      <c r="BC34"/>
      <c r="BD34"/>
      <c r="BE34"/>
      <c r="BF34"/>
      <c r="BG34"/>
    </row>
    <row r="35" spans="1:59" ht="11.25" customHeight="1">
      <c r="A35" t="s">
        <v>1021</v>
      </c>
      <c r="B35" t="s">
        <v>1076</v>
      </c>
      <c r="C35"/>
      <c r="D35"/>
      <c r="E35" s="556"/>
      <c r="F35" s="1354"/>
      <c r="G35" s="1304" t="s">
        <v>103</v>
      </c>
      <c r="H35" s="1327" t="s">
        <v>90</v>
      </c>
      <c r="I35" s="1328" t="s">
        <v>1077</v>
      </c>
      <c r="J35" s="1341" t="s">
        <v>1078</v>
      </c>
      <c r="K35" s="1330" t="s">
        <v>1079</v>
      </c>
      <c r="L35" s="1058" t="s">
        <v>19</v>
      </c>
      <c r="M35" s="1060"/>
      <c r="N35" s="241"/>
      <c r="O35" s="242" t="s">
        <v>387</v>
      </c>
      <c r="P35" s="243"/>
      <c r="Q35" s="243"/>
      <c r="R35" s="243"/>
      <c r="S35" s="243"/>
      <c r="T35" s="243"/>
      <c r="U35" s="243"/>
      <c r="V35" s="243"/>
      <c r="W35" s="243"/>
      <c r="X35" s="243"/>
      <c r="Y35" s="243"/>
      <c r="Z35" s="243"/>
      <c r="AA35" s="243"/>
      <c r="AB35" s="243"/>
      <c r="AC35" s="243"/>
      <c r="AD35" s="243"/>
      <c r="AE35" s="243"/>
      <c r="AF35" s="1331">
        <v>1</v>
      </c>
      <c r="AG35" s="1332" t="s">
        <v>1055</v>
      </c>
      <c r="AH35" s="1332" t="s">
        <v>1073</v>
      </c>
      <c r="AI35" s="1331">
        <v>1</v>
      </c>
      <c r="AJ35" s="1332" t="s">
        <v>1055</v>
      </c>
      <c r="AK35" s="1332" t="s">
        <v>1073</v>
      </c>
      <c r="AL35" s="771"/>
      <c r="AM35"/>
      <c r="AN35"/>
      <c r="AO35"/>
      <c r="AP35"/>
      <c r="AQ35"/>
      <c r="AR35"/>
      <c r="AS35"/>
      <c r="AT35"/>
      <c r="AU35"/>
      <c r="AV35"/>
      <c r="AW35"/>
      <c r="AX35"/>
      <c r="AY35"/>
      <c r="AZ35"/>
      <c r="BA35"/>
      <c r="BB35"/>
      <c r="BC35"/>
      <c r="BD35"/>
      <c r="BE35"/>
      <c r="BF35"/>
      <c r="BG35"/>
    </row>
    <row r="36" spans="1:59" ht="11.25" customHeight="1">
      <c r="A36" t="s">
        <v>1021</v>
      </c>
      <c r="B36"/>
      <c r="C36"/>
      <c r="D36"/>
      <c r="E36" s="556"/>
      <c r="F36" s="1354"/>
      <c r="G36" s="1326"/>
      <c r="H36" s="1327" t="s">
        <v>89</v>
      </c>
      <c r="I36" s="1328"/>
      <c r="J36" s="1341"/>
      <c r="K36" s="1330"/>
      <c r="L36" s="1058"/>
      <c r="M36" s="1060"/>
      <c r="N36" s="1333"/>
      <c r="O36" s="1334">
        <v>1</v>
      </c>
      <c r="P36" s="1335" t="s">
        <v>19</v>
      </c>
      <c r="Q36" s="1323" t="s">
        <v>22</v>
      </c>
      <c r="R36" s="1323" t="s">
        <v>22</v>
      </c>
      <c r="S36" s="1323" t="s">
        <v>22</v>
      </c>
      <c r="T36" s="1323" t="s">
        <v>22</v>
      </c>
      <c r="U36" s="1323" t="s">
        <v>22</v>
      </c>
      <c r="V36" s="1323" t="s">
        <v>22</v>
      </c>
      <c r="W36" s="1323" t="s">
        <v>22</v>
      </c>
      <c r="X36" s="1323" t="s">
        <v>22</v>
      </c>
      <c r="Y36" s="1323"/>
      <c r="Z36" s="229"/>
      <c r="AA36" s="230"/>
      <c r="AB36" s="230"/>
      <c r="AC36" s="231"/>
      <c r="AD36" s="231"/>
      <c r="AE36" s="244"/>
      <c r="AF36" s="1331"/>
      <c r="AG36" s="1332"/>
      <c r="AH36" s="1332"/>
      <c r="AI36" s="1331"/>
      <c r="AJ36" s="1332"/>
      <c r="AK36" s="1332"/>
      <c r="AL36" s="771"/>
      <c r="AM36"/>
      <c r="AN36"/>
      <c r="AO36"/>
      <c r="AP36"/>
      <c r="AQ36"/>
      <c r="AR36"/>
      <c r="AS36"/>
      <c r="AT36"/>
      <c r="AU36"/>
      <c r="AV36"/>
      <c r="AW36"/>
      <c r="AX36"/>
      <c r="AY36"/>
      <c r="AZ36"/>
      <c r="BA36"/>
      <c r="BB36"/>
      <c r="BC36"/>
      <c r="BD36"/>
      <c r="BE36"/>
      <c r="BF36"/>
      <c r="BG36"/>
    </row>
    <row r="37" spans="1:59" ht="11.25" customHeight="1">
      <c r="A37" t="s">
        <v>1021</v>
      </c>
      <c r="B37"/>
      <c r="C37"/>
      <c r="D37"/>
      <c r="E37" s="556"/>
      <c r="F37" s="1354"/>
      <c r="G37" s="1326"/>
      <c r="H37" s="1327" t="s">
        <v>89</v>
      </c>
      <c r="I37" s="1328"/>
      <c r="J37" s="1341"/>
      <c r="K37" s="1330"/>
      <c r="L37" s="1058"/>
      <c r="M37" s="1060"/>
      <c r="N37" s="1333"/>
      <c r="O37" s="1334"/>
      <c r="P37" s="1336"/>
      <c r="Q37" s="1323"/>
      <c r="R37" s="1323"/>
      <c r="S37" s="1338"/>
      <c r="T37" s="1323"/>
      <c r="U37" s="1323"/>
      <c r="V37" s="1323"/>
      <c r="W37" s="1323"/>
      <c r="X37" s="1323"/>
      <c r="Y37" s="1323"/>
      <c r="Z37"/>
      <c r="AA37" s="777">
        <v>1</v>
      </c>
      <c r="AB37" s="778" t="s">
        <v>1063</v>
      </c>
      <c r="AC37" s="236">
        <v>143721.66403760001</v>
      </c>
      <c r="AD37" s="778" t="str">
        <f>AB37</f>
        <v xml:space="preserve">  Кредиты</v>
      </c>
      <c r="AE37" s="236">
        <f>AC37</f>
        <v>143721.66403760001</v>
      </c>
      <c r="AF37" s="1331"/>
      <c r="AG37" s="1332"/>
      <c r="AH37" s="1332"/>
      <c r="AI37" s="1331"/>
      <c r="AJ37" s="1332"/>
      <c r="AK37" s="1332"/>
      <c r="AL37" s="771"/>
      <c r="AM37"/>
      <c r="AN37"/>
      <c r="AO37"/>
      <c r="AP37"/>
      <c r="AQ37"/>
      <c r="AR37"/>
      <c r="AS37"/>
      <c r="AT37"/>
      <c r="AU37"/>
      <c r="AV37"/>
      <c r="AW37"/>
      <c r="AX37"/>
      <c r="AY37"/>
      <c r="AZ37"/>
      <c r="BA37"/>
      <c r="BB37"/>
      <c r="BC37"/>
      <c r="BD37"/>
      <c r="BE37"/>
      <c r="BF37"/>
      <c r="BG37"/>
    </row>
    <row r="38" spans="1:59" ht="11.25" customHeight="1">
      <c r="A38" t="s">
        <v>1021</v>
      </c>
      <c r="B38"/>
      <c r="C38"/>
      <c r="D38"/>
      <c r="E38" s="556"/>
      <c r="F38" s="1354"/>
      <c r="G38" s="1326"/>
      <c r="H38" s="1327" t="s">
        <v>89</v>
      </c>
      <c r="I38" s="1328"/>
      <c r="J38" s="1341"/>
      <c r="K38" s="1330"/>
      <c r="L38" s="1058"/>
      <c r="M38" s="1060"/>
      <c r="N38" s="1333"/>
      <c r="O38" s="1334"/>
      <c r="P38" s="1337"/>
      <c r="Q38" s="1323"/>
      <c r="R38" s="1323"/>
      <c r="S38" s="1338"/>
      <c r="T38" s="1323"/>
      <c r="U38" s="1323"/>
      <c r="V38" s="1323"/>
      <c r="W38" s="1323"/>
      <c r="X38" s="1323"/>
      <c r="Y38" s="1323"/>
      <c r="Z38" s="229"/>
      <c r="AA38" s="230"/>
      <c r="AB38" s="44" t="s">
        <v>1064</v>
      </c>
      <c r="AC38" s="231"/>
      <c r="AD38" s="231"/>
      <c r="AE38" s="245"/>
      <c r="AF38" s="1331"/>
      <c r="AG38" s="1332"/>
      <c r="AH38" s="1332"/>
      <c r="AI38" s="1331"/>
      <c r="AJ38" s="1332"/>
      <c r="AK38" s="1332"/>
      <c r="AL38" s="771"/>
      <c r="AM38"/>
      <c r="AN38"/>
      <c r="AO38"/>
      <c r="AP38"/>
      <c r="AQ38"/>
      <c r="AR38"/>
      <c r="AS38"/>
      <c r="AT38"/>
      <c r="AU38"/>
      <c r="AV38"/>
      <c r="AW38"/>
      <c r="AX38"/>
      <c r="AY38"/>
      <c r="AZ38"/>
      <c r="BA38"/>
      <c r="BB38"/>
      <c r="BC38"/>
      <c r="BD38"/>
      <c r="BE38"/>
      <c r="BF38"/>
      <c r="BG38"/>
    </row>
    <row r="39" spans="1:59" ht="11.25" customHeight="1">
      <c r="A39" t="s">
        <v>1021</v>
      </c>
      <c r="B39"/>
      <c r="C39"/>
      <c r="D39"/>
      <c r="E39" s="556"/>
      <c r="F39" s="1354"/>
      <c r="G39" s="1326"/>
      <c r="H39" s="1327" t="s">
        <v>89</v>
      </c>
      <c r="I39" s="1328"/>
      <c r="J39" s="1341"/>
      <c r="K39" s="1330"/>
      <c r="L39" s="1058"/>
      <c r="M39" s="1060"/>
      <c r="N39" s="229"/>
      <c r="O39" s="230"/>
      <c r="P39" s="44" t="s">
        <v>1065</v>
      </c>
      <c r="Q39" s="230"/>
      <c r="R39" s="230"/>
      <c r="S39" s="230"/>
      <c r="T39" s="230"/>
      <c r="U39" s="230"/>
      <c r="V39" s="230"/>
      <c r="W39" s="230"/>
      <c r="X39" s="230"/>
      <c r="Y39" s="230"/>
      <c r="Z39" s="230"/>
      <c r="AA39" s="230"/>
      <c r="AB39" s="230"/>
      <c r="AC39" s="230"/>
      <c r="AD39" s="230"/>
      <c r="AE39" s="246"/>
      <c r="AF39" s="1331"/>
      <c r="AG39" s="1332"/>
      <c r="AH39" s="1332"/>
      <c r="AI39" s="1331"/>
      <c r="AJ39" s="1332"/>
      <c r="AK39" s="1332"/>
      <c r="AL39" s="771"/>
      <c r="AM39"/>
      <c r="AN39"/>
      <c r="AO39"/>
      <c r="AP39"/>
      <c r="AQ39"/>
      <c r="AR39"/>
      <c r="AS39"/>
      <c r="AT39"/>
      <c r="AU39"/>
      <c r="AV39"/>
      <c r="AW39"/>
      <c r="AX39"/>
      <c r="AY39"/>
      <c r="AZ39"/>
      <c r="BA39"/>
      <c r="BB39"/>
      <c r="BC39"/>
      <c r="BD39"/>
      <c r="BE39"/>
      <c r="BF39"/>
      <c r="BG39"/>
    </row>
    <row r="40" spans="1:59" ht="11.25" customHeight="1">
      <c r="A40" t="s">
        <v>1021</v>
      </c>
      <c r="B40" t="s">
        <v>22</v>
      </c>
      <c r="C40"/>
      <c r="D40"/>
      <c r="E40" s="556"/>
      <c r="F40" s="1354"/>
      <c r="G40" s="1304" t="s">
        <v>103</v>
      </c>
      <c r="H40" s="1327" t="s">
        <v>115</v>
      </c>
      <c r="I40" s="1328" t="s">
        <v>1080</v>
      </c>
      <c r="J40" s="1329" t="s">
        <v>22</v>
      </c>
      <c r="K40" s="1330" t="s">
        <v>1081</v>
      </c>
      <c r="L40" s="1058" t="s">
        <v>19</v>
      </c>
      <c r="M40" s="1060"/>
      <c r="N40" s="241"/>
      <c r="O40" s="242" t="s">
        <v>387</v>
      </c>
      <c r="P40" s="243"/>
      <c r="Q40" s="243"/>
      <c r="R40" s="243"/>
      <c r="S40" s="243"/>
      <c r="T40" s="243"/>
      <c r="U40" s="243"/>
      <c r="V40" s="243"/>
      <c r="W40" s="243"/>
      <c r="X40" s="243"/>
      <c r="Y40" s="243"/>
      <c r="Z40" s="243"/>
      <c r="AA40" s="243"/>
      <c r="AB40" s="243"/>
      <c r="AC40" s="243"/>
      <c r="AD40" s="243"/>
      <c r="AE40" s="243"/>
      <c r="AF40" s="1331">
        <v>8</v>
      </c>
      <c r="AG40" s="1332" t="s">
        <v>1055</v>
      </c>
      <c r="AH40" s="1332" t="s">
        <v>1082</v>
      </c>
      <c r="AI40" s="1331">
        <v>8</v>
      </c>
      <c r="AJ40" s="1332" t="s">
        <v>1055</v>
      </c>
      <c r="AK40" s="1332" t="s">
        <v>1082</v>
      </c>
      <c r="AL40" s="771"/>
      <c r="AM40"/>
      <c r="AN40"/>
      <c r="AO40"/>
      <c r="AP40"/>
      <c r="AQ40"/>
      <c r="AR40"/>
      <c r="AS40"/>
      <c r="AT40"/>
      <c r="AU40"/>
      <c r="AV40"/>
      <c r="AW40"/>
      <c r="AX40"/>
      <c r="AY40"/>
      <c r="AZ40"/>
      <c r="BA40"/>
      <c r="BB40"/>
      <c r="BC40"/>
      <c r="BD40"/>
      <c r="BE40"/>
      <c r="BF40"/>
      <c r="BG40"/>
    </row>
    <row r="41" spans="1:59" ht="11.25" customHeight="1">
      <c r="A41" t="s">
        <v>1021</v>
      </c>
      <c r="B41"/>
      <c r="C41"/>
      <c r="D41"/>
      <c r="E41" s="556"/>
      <c r="F41" s="1354"/>
      <c r="G41" s="1326"/>
      <c r="H41" s="1327" t="s">
        <v>90</v>
      </c>
      <c r="I41" s="1328"/>
      <c r="J41" s="1329"/>
      <c r="K41" s="1330"/>
      <c r="L41" s="1058"/>
      <c r="M41" s="1060"/>
      <c r="N41" s="1333"/>
      <c r="O41" s="1334">
        <v>1</v>
      </c>
      <c r="P41" s="1335" t="s">
        <v>19</v>
      </c>
      <c r="Q41" s="1323" t="s">
        <v>22</v>
      </c>
      <c r="R41" s="1323" t="s">
        <v>22</v>
      </c>
      <c r="S41" s="1323" t="s">
        <v>22</v>
      </c>
      <c r="T41" s="1323" t="s">
        <v>22</v>
      </c>
      <c r="U41" s="1323" t="s">
        <v>22</v>
      </c>
      <c r="V41" s="1323" t="s">
        <v>22</v>
      </c>
      <c r="W41" s="1323" t="s">
        <v>22</v>
      </c>
      <c r="X41" s="1323" t="s">
        <v>22</v>
      </c>
      <c r="Y41" s="1323"/>
      <c r="Z41" s="229"/>
      <c r="AA41" s="230"/>
      <c r="AB41" s="230"/>
      <c r="AC41" s="231"/>
      <c r="AD41" s="231"/>
      <c r="AE41" s="244"/>
      <c r="AF41" s="1331"/>
      <c r="AG41" s="1332"/>
      <c r="AH41" s="1332"/>
      <c r="AI41" s="1331"/>
      <c r="AJ41" s="1332"/>
      <c r="AK41" s="1332"/>
      <c r="AL41" s="771"/>
      <c r="AM41"/>
      <c r="AN41"/>
      <c r="AO41"/>
      <c r="AP41"/>
      <c r="AQ41"/>
      <c r="AR41"/>
      <c r="AS41"/>
      <c r="AT41"/>
      <c r="AU41"/>
      <c r="AV41"/>
      <c r="AW41"/>
      <c r="AX41"/>
      <c r="AY41"/>
      <c r="AZ41"/>
      <c r="BA41"/>
      <c r="BB41"/>
      <c r="BC41"/>
      <c r="BD41"/>
      <c r="BE41"/>
      <c r="BF41"/>
      <c r="BG41"/>
    </row>
    <row r="42" spans="1:59" ht="11.25" customHeight="1">
      <c r="A42" t="s">
        <v>1021</v>
      </c>
      <c r="B42"/>
      <c r="C42"/>
      <c r="D42"/>
      <c r="E42" s="556"/>
      <c r="F42" s="1354"/>
      <c r="G42" s="1326"/>
      <c r="H42" s="1327" t="s">
        <v>90</v>
      </c>
      <c r="I42" s="1328"/>
      <c r="J42" s="1329"/>
      <c r="K42" s="1330"/>
      <c r="L42" s="1058"/>
      <c r="M42" s="1060"/>
      <c r="N42" s="1333"/>
      <c r="O42" s="1334"/>
      <c r="P42" s="1336"/>
      <c r="Q42" s="1323"/>
      <c r="R42" s="1323"/>
      <c r="S42" s="1338"/>
      <c r="T42" s="1323"/>
      <c r="U42" s="1323"/>
      <c r="V42" s="1323"/>
      <c r="W42" s="1323"/>
      <c r="X42" s="1323"/>
      <c r="Y42" s="1323"/>
      <c r="Z42"/>
      <c r="AA42" s="777">
        <v>1</v>
      </c>
      <c r="AB42" s="778" t="s">
        <v>1063</v>
      </c>
      <c r="AC42" s="236">
        <v>33365.977298799997</v>
      </c>
      <c r="AD42" s="778" t="str">
        <f>AB42</f>
        <v xml:space="preserve">  Кредиты</v>
      </c>
      <c r="AE42" s="236">
        <f>AC42</f>
        <v>33365.977298799997</v>
      </c>
      <c r="AF42" s="1331"/>
      <c r="AG42" s="1332"/>
      <c r="AH42" s="1332"/>
      <c r="AI42" s="1331"/>
      <c r="AJ42" s="1332"/>
      <c r="AK42" s="1332"/>
      <c r="AL42" s="771"/>
      <c r="AM42"/>
      <c r="AN42"/>
      <c r="AO42"/>
      <c r="AP42"/>
      <c r="AQ42"/>
      <c r="AR42"/>
      <c r="AS42"/>
      <c r="AT42"/>
      <c r="AU42"/>
      <c r="AV42"/>
      <c r="AW42"/>
      <c r="AX42"/>
      <c r="AY42"/>
      <c r="AZ42"/>
      <c r="BA42"/>
      <c r="BB42"/>
      <c r="BC42"/>
      <c r="BD42"/>
      <c r="BE42"/>
      <c r="BF42"/>
      <c r="BG42"/>
    </row>
    <row r="43" spans="1:59" ht="11.25" customHeight="1">
      <c r="A43" t="s">
        <v>1021</v>
      </c>
      <c r="B43"/>
      <c r="C43"/>
      <c r="D43"/>
      <c r="E43" s="556"/>
      <c r="F43" s="1354"/>
      <c r="G43" s="1326"/>
      <c r="H43" s="1327" t="s">
        <v>90</v>
      </c>
      <c r="I43" s="1328"/>
      <c r="J43" s="1329"/>
      <c r="K43" s="1330"/>
      <c r="L43" s="1058"/>
      <c r="M43" s="1060"/>
      <c r="N43" s="1333"/>
      <c r="O43" s="1334"/>
      <c r="P43" s="1337"/>
      <c r="Q43" s="1323"/>
      <c r="R43" s="1323"/>
      <c r="S43" s="1338"/>
      <c r="T43" s="1323"/>
      <c r="U43" s="1323"/>
      <c r="V43" s="1323"/>
      <c r="W43" s="1323"/>
      <c r="X43" s="1323"/>
      <c r="Y43" s="1323"/>
      <c r="Z43" s="229"/>
      <c r="AA43" s="230"/>
      <c r="AB43" s="44" t="s">
        <v>1064</v>
      </c>
      <c r="AC43" s="231"/>
      <c r="AD43" s="231"/>
      <c r="AE43" s="245"/>
      <c r="AF43" s="1331"/>
      <c r="AG43" s="1332"/>
      <c r="AH43" s="1332"/>
      <c r="AI43" s="1331"/>
      <c r="AJ43" s="1332"/>
      <c r="AK43" s="1332"/>
      <c r="AL43" s="771"/>
      <c r="AM43"/>
      <c r="AN43"/>
      <c r="AO43"/>
      <c r="AP43"/>
      <c r="AQ43"/>
      <c r="AR43"/>
      <c r="AS43"/>
      <c r="AT43"/>
      <c r="AU43"/>
      <c r="AV43"/>
      <c r="AW43"/>
      <c r="AX43"/>
      <c r="AY43"/>
      <c r="AZ43"/>
      <c r="BA43"/>
      <c r="BB43"/>
      <c r="BC43"/>
      <c r="BD43"/>
      <c r="BE43"/>
      <c r="BF43"/>
      <c r="BG43"/>
    </row>
    <row r="44" spans="1:59" ht="11.25" customHeight="1">
      <c r="A44" t="s">
        <v>1021</v>
      </c>
      <c r="B44"/>
      <c r="C44"/>
      <c r="D44"/>
      <c r="E44" s="556"/>
      <c r="F44" s="1354"/>
      <c r="G44" s="1326"/>
      <c r="H44" s="1327" t="s">
        <v>90</v>
      </c>
      <c r="I44" s="1328"/>
      <c r="J44" s="1329"/>
      <c r="K44" s="1330"/>
      <c r="L44" s="1058"/>
      <c r="M44" s="1060"/>
      <c r="N44" s="229"/>
      <c r="O44" s="230"/>
      <c r="P44" s="44" t="s">
        <v>1065</v>
      </c>
      <c r="Q44" s="230"/>
      <c r="R44" s="230"/>
      <c r="S44" s="230"/>
      <c r="T44" s="230"/>
      <c r="U44" s="230"/>
      <c r="V44" s="230"/>
      <c r="W44" s="230"/>
      <c r="X44" s="230"/>
      <c r="Y44" s="230"/>
      <c r="Z44" s="230"/>
      <c r="AA44" s="230"/>
      <c r="AB44" s="230"/>
      <c r="AC44" s="230"/>
      <c r="AD44" s="230"/>
      <c r="AE44" s="246"/>
      <c r="AF44" s="1331"/>
      <c r="AG44" s="1332"/>
      <c r="AH44" s="1332"/>
      <c r="AI44" s="1331"/>
      <c r="AJ44" s="1332"/>
      <c r="AK44" s="1332"/>
      <c r="AL44" s="771"/>
      <c r="AM44"/>
      <c r="AN44"/>
      <c r="AO44"/>
      <c r="AP44"/>
      <c r="AQ44"/>
      <c r="AR44"/>
      <c r="AS44"/>
      <c r="AT44"/>
      <c r="AU44"/>
      <c r="AV44"/>
      <c r="AW44"/>
      <c r="AX44"/>
      <c r="AY44"/>
      <c r="AZ44"/>
      <c r="BA44"/>
      <c r="BB44"/>
      <c r="BC44"/>
      <c r="BD44"/>
      <c r="BE44"/>
      <c r="BF44"/>
      <c r="BG44"/>
    </row>
    <row r="45" spans="1:59" ht="12" customHeight="1">
      <c r="A45" t="s">
        <v>1021</v>
      </c>
      <c r="B45"/>
      <c r="C45"/>
      <c r="D45"/>
      <c r="E45" s="556"/>
      <c r="F45" s="1355"/>
      <c r="G45" s="774"/>
      <c r="H45" s="774"/>
      <c r="I45" s="1352" t="s">
        <v>1083</v>
      </c>
      <c r="J45" s="1352"/>
      <c r="K45" s="1352"/>
      <c r="L45" s="775"/>
      <c r="M45" s="775"/>
      <c r="N45" s="776"/>
      <c r="O45" s="776"/>
      <c r="P45" s="776"/>
      <c r="Q45" s="776"/>
      <c r="R45" s="776"/>
      <c r="S45" s="776"/>
      <c r="T45" s="776"/>
      <c r="U45" s="776"/>
      <c r="V45" s="776"/>
      <c r="W45" s="776"/>
      <c r="X45" s="776"/>
      <c r="Y45" s="776"/>
      <c r="Z45" s="776"/>
      <c r="AA45" s="776"/>
      <c r="AB45" s="776"/>
      <c r="AC45" s="776"/>
      <c r="AD45" s="776"/>
      <c r="AE45" s="776"/>
      <c r="AF45" s="776"/>
      <c r="AG45" s="775"/>
      <c r="AH45" s="775"/>
      <c r="AI45" s="776"/>
      <c r="AJ45" s="775"/>
      <c r="AK45" s="776"/>
      <c r="AL45" s="771"/>
      <c r="AM45"/>
      <c r="AN45"/>
      <c r="AO45"/>
      <c r="AP45"/>
      <c r="AQ45"/>
      <c r="AR45"/>
      <c r="AS45"/>
      <c r="AT45"/>
      <c r="AU45"/>
      <c r="AV45"/>
      <c r="AW45"/>
      <c r="AX45"/>
      <c r="AY45"/>
      <c r="AZ45"/>
      <c r="BA45"/>
      <c r="BB45"/>
      <c r="BC45"/>
      <c r="BD45"/>
      <c r="BE45"/>
      <c r="BF45"/>
      <c r="BG45"/>
    </row>
    <row r="46" spans="1:59" ht="0.75" customHeight="1">
      <c r="A46" t="s">
        <v>1021</v>
      </c>
      <c r="B46"/>
      <c r="C46"/>
      <c r="D46"/>
      <c r="E46" s="556"/>
      <c r="F46" s="1353">
        <v>2015</v>
      </c>
      <c r="G46" s="1327"/>
      <c r="H46" s="1357" t="s">
        <v>387</v>
      </c>
      <c r="I46" s="1358"/>
      <c r="J46" s="1350"/>
      <c r="K46" s="1350"/>
      <c r="L46" s="1351"/>
      <c r="M46" s="1200"/>
      <c r="N46" s="214"/>
      <c r="O46" s="215"/>
      <c r="P46" s="214"/>
      <c r="Q46" s="214"/>
      <c r="R46" s="214"/>
      <c r="S46" s="214"/>
      <c r="T46" s="214"/>
      <c r="U46" s="214"/>
      <c r="V46" s="214"/>
      <c r="W46" s="214"/>
      <c r="X46" s="214"/>
      <c r="Y46" s="214"/>
      <c r="Z46" s="214"/>
      <c r="AA46" s="214"/>
      <c r="AB46" s="214"/>
      <c r="AC46" s="214"/>
      <c r="AD46" s="214"/>
      <c r="AE46" s="214"/>
      <c r="AF46" s="1356"/>
      <c r="AG46" s="1351"/>
      <c r="AH46" s="1351"/>
      <c r="AI46" s="1356"/>
      <c r="AJ46" s="1351"/>
      <c r="AK46" s="1351"/>
      <c r="AL46" s="771"/>
      <c r="AM46"/>
      <c r="AN46"/>
      <c r="AO46"/>
      <c r="AP46"/>
      <c r="AQ46"/>
      <c r="AR46"/>
      <c r="AS46"/>
      <c r="AT46"/>
      <c r="AU46"/>
      <c r="AV46"/>
      <c r="AW46"/>
      <c r="AX46"/>
      <c r="AY46"/>
      <c r="AZ46"/>
      <c r="BA46"/>
      <c r="BB46"/>
      <c r="BC46"/>
      <c r="BD46"/>
      <c r="BE46"/>
      <c r="BF46"/>
      <c r="BG46"/>
    </row>
    <row r="47" spans="1:59" ht="0.75" customHeight="1">
      <c r="A47" t="s">
        <v>1021</v>
      </c>
      <c r="B47"/>
      <c r="C47"/>
      <c r="D47"/>
      <c r="E47" s="556"/>
      <c r="F47" s="1353"/>
      <c r="G47" s="1327"/>
      <c r="H47" s="1357"/>
      <c r="I47" s="1358"/>
      <c r="J47" s="1350"/>
      <c r="K47" s="1350"/>
      <c r="L47" s="1351"/>
      <c r="M47" s="1200"/>
      <c r="N47" s="1359"/>
      <c r="O47" s="1360"/>
      <c r="P47" s="1347"/>
      <c r="Q47" s="1350"/>
      <c r="R47" s="1350"/>
      <c r="S47" s="1350"/>
      <c r="T47" s="1350"/>
      <c r="U47" s="1350"/>
      <c r="V47" s="1350"/>
      <c r="W47" s="1350"/>
      <c r="X47" s="1350"/>
      <c r="Y47" s="1350"/>
      <c r="Z47" s="216"/>
      <c r="AA47" s="217"/>
      <c r="AB47" s="217"/>
      <c r="AC47" s="218"/>
      <c r="AD47" s="218"/>
      <c r="AE47" s="219"/>
      <c r="AF47" s="1356"/>
      <c r="AG47" s="1351"/>
      <c r="AH47" s="1351"/>
      <c r="AI47" s="1356"/>
      <c r="AJ47" s="1351"/>
      <c r="AK47" s="1351"/>
      <c r="AL47" s="771"/>
      <c r="AM47"/>
      <c r="AN47"/>
      <c r="AO47"/>
      <c r="AP47"/>
      <c r="AQ47"/>
      <c r="AR47"/>
      <c r="AS47"/>
      <c r="AT47"/>
      <c r="AU47"/>
      <c r="AV47"/>
      <c r="AW47"/>
      <c r="AX47"/>
      <c r="AY47"/>
      <c r="AZ47"/>
      <c r="BA47"/>
      <c r="BB47"/>
      <c r="BC47"/>
      <c r="BD47"/>
      <c r="BE47"/>
      <c r="BF47"/>
      <c r="BG47"/>
    </row>
    <row r="48" spans="1:59" ht="0.75" customHeight="1">
      <c r="A48" t="s">
        <v>1021</v>
      </c>
      <c r="B48"/>
      <c r="C48"/>
      <c r="D48"/>
      <c r="E48" s="556"/>
      <c r="F48" s="1353"/>
      <c r="G48" s="1327"/>
      <c r="H48" s="1357"/>
      <c r="I48" s="1358"/>
      <c r="J48" s="1350"/>
      <c r="K48" s="1350"/>
      <c r="L48" s="1351"/>
      <c r="M48" s="1200"/>
      <c r="N48" s="1359"/>
      <c r="O48" s="1360"/>
      <c r="P48" s="1348"/>
      <c r="Q48" s="1350"/>
      <c r="R48" s="1350"/>
      <c r="S48" s="1350"/>
      <c r="T48" s="1350"/>
      <c r="U48" s="1350"/>
      <c r="V48" s="1350"/>
      <c r="W48" s="1350"/>
      <c r="X48" s="1350"/>
      <c r="Y48" s="1350"/>
      <c r="Z48"/>
      <c r="AA48" s="772"/>
      <c r="AB48" s="773"/>
      <c r="AC48" s="220"/>
      <c r="AD48" s="773"/>
      <c r="AE48" s="220"/>
      <c r="AF48" s="1356"/>
      <c r="AG48" s="1351"/>
      <c r="AH48" s="1351"/>
      <c r="AI48" s="1356"/>
      <c r="AJ48" s="1351"/>
      <c r="AK48" s="1351"/>
      <c r="AL48" s="771"/>
      <c r="AM48"/>
      <c r="AN48"/>
      <c r="AO48"/>
      <c r="AP48"/>
      <c r="AQ48"/>
      <c r="AR48"/>
      <c r="AS48"/>
      <c r="AT48"/>
      <c r="AU48"/>
      <c r="AV48"/>
      <c r="AW48"/>
      <c r="AX48"/>
      <c r="AY48"/>
      <c r="AZ48"/>
      <c r="BA48"/>
      <c r="BB48"/>
      <c r="BC48"/>
      <c r="BD48"/>
      <c r="BE48"/>
      <c r="BF48"/>
      <c r="BG48"/>
    </row>
    <row r="49" spans="1:59" ht="0.75" customHeight="1">
      <c r="A49" t="s">
        <v>1021</v>
      </c>
      <c r="B49"/>
      <c r="C49"/>
      <c r="D49"/>
      <c r="E49" s="556"/>
      <c r="F49" s="1353"/>
      <c r="G49" s="1327"/>
      <c r="H49" s="1357"/>
      <c r="I49" s="1358"/>
      <c r="J49" s="1350"/>
      <c r="K49" s="1350"/>
      <c r="L49" s="1351"/>
      <c r="M49" s="1200"/>
      <c r="N49" s="1359"/>
      <c r="O49" s="1360"/>
      <c r="P49" s="1349"/>
      <c r="Q49" s="1350"/>
      <c r="R49" s="1350"/>
      <c r="S49" s="1350"/>
      <c r="T49" s="1350"/>
      <c r="U49" s="1350"/>
      <c r="V49" s="1350"/>
      <c r="W49" s="1350"/>
      <c r="X49" s="1350"/>
      <c r="Y49" s="1350"/>
      <c r="Z49" s="216"/>
      <c r="AA49" s="217"/>
      <c r="AB49" s="221"/>
      <c r="AC49" s="218"/>
      <c r="AD49" s="218"/>
      <c r="AE49" s="222"/>
      <c r="AF49" s="1356"/>
      <c r="AG49" s="1351"/>
      <c r="AH49" s="1351"/>
      <c r="AI49" s="1356"/>
      <c r="AJ49" s="1351"/>
      <c r="AK49" s="1351"/>
      <c r="AL49" s="771"/>
      <c r="AM49"/>
      <c r="AN49"/>
      <c r="AO49"/>
      <c r="AP49"/>
      <c r="AQ49"/>
      <c r="AR49"/>
      <c r="AS49"/>
      <c r="AT49"/>
      <c r="AU49"/>
      <c r="AV49"/>
      <c r="AW49"/>
      <c r="AX49"/>
      <c r="AY49"/>
      <c r="AZ49"/>
      <c r="BA49"/>
      <c r="BB49"/>
      <c r="BC49"/>
      <c r="BD49"/>
      <c r="BE49"/>
      <c r="BF49"/>
      <c r="BG49"/>
    </row>
    <row r="50" spans="1:59" ht="0.75" customHeight="1">
      <c r="A50" t="s">
        <v>1021</v>
      </c>
      <c r="B50"/>
      <c r="C50"/>
      <c r="D50"/>
      <c r="E50" s="556"/>
      <c r="F50" s="1353"/>
      <c r="G50" s="1327"/>
      <c r="H50" s="1357"/>
      <c r="I50" s="1358"/>
      <c r="J50" s="1350"/>
      <c r="K50" s="1350"/>
      <c r="L50" s="1351"/>
      <c r="M50" s="1200"/>
      <c r="N50" s="217"/>
      <c r="O50" s="217"/>
      <c r="P50" s="221"/>
      <c r="Q50" s="217"/>
      <c r="R50" s="217"/>
      <c r="S50" s="217"/>
      <c r="T50" s="217"/>
      <c r="U50" s="217"/>
      <c r="V50" s="217"/>
      <c r="W50" s="217"/>
      <c r="X50" s="217"/>
      <c r="Y50" s="217"/>
      <c r="Z50" s="217"/>
      <c r="AA50" s="217"/>
      <c r="AB50" s="217"/>
      <c r="AC50" s="217"/>
      <c r="AD50" s="217"/>
      <c r="AE50" s="223"/>
      <c r="AF50" s="1356"/>
      <c r="AG50" s="1351"/>
      <c r="AH50" s="1351"/>
      <c r="AI50" s="1356"/>
      <c r="AJ50" s="1351"/>
      <c r="AK50" s="1351"/>
      <c r="AL50" s="771"/>
      <c r="AM50"/>
      <c r="AN50"/>
      <c r="AO50"/>
      <c r="AP50"/>
      <c r="AQ50"/>
      <c r="AR50"/>
      <c r="AS50"/>
      <c r="AT50"/>
      <c r="AU50"/>
      <c r="AV50"/>
      <c r="AW50"/>
      <c r="AX50"/>
      <c r="AY50"/>
      <c r="AZ50"/>
      <c r="BA50"/>
      <c r="BB50"/>
      <c r="BC50"/>
      <c r="BD50"/>
      <c r="BE50"/>
      <c r="BF50"/>
      <c r="BG50"/>
    </row>
    <row r="51" spans="1:59" ht="11.25" customHeight="1">
      <c r="A51" t="s">
        <v>1021</v>
      </c>
      <c r="B51" t="s">
        <v>22</v>
      </c>
      <c r="C51"/>
      <c r="D51"/>
      <c r="E51" s="556"/>
      <c r="F51" s="1354"/>
      <c r="G51" s="1304" t="s">
        <v>103</v>
      </c>
      <c r="H51" s="1327" t="s">
        <v>114</v>
      </c>
      <c r="I51" s="1328" t="s">
        <v>1053</v>
      </c>
      <c r="J51" s="1329" t="s">
        <v>22</v>
      </c>
      <c r="K51" s="1330" t="s">
        <v>1054</v>
      </c>
      <c r="L51" s="1058" t="s">
        <v>19</v>
      </c>
      <c r="M51" s="1060"/>
      <c r="N51" s="241"/>
      <c r="O51" s="242" t="s">
        <v>387</v>
      </c>
      <c r="P51" s="243"/>
      <c r="Q51" s="243"/>
      <c r="R51" s="243"/>
      <c r="S51" s="243"/>
      <c r="T51" s="243"/>
      <c r="U51" s="243"/>
      <c r="V51" s="243"/>
      <c r="W51" s="243"/>
      <c r="X51" s="243"/>
      <c r="Y51" s="243"/>
      <c r="Z51" s="243"/>
      <c r="AA51" s="243"/>
      <c r="AB51" s="243"/>
      <c r="AC51" s="243"/>
      <c r="AD51" s="243"/>
      <c r="AE51" s="243"/>
      <c r="AF51" s="1331">
        <v>5</v>
      </c>
      <c r="AG51" s="1332" t="s">
        <v>1055</v>
      </c>
      <c r="AH51" s="1332" t="s">
        <v>1056</v>
      </c>
      <c r="AI51" s="1331">
        <v>5</v>
      </c>
      <c r="AJ51" s="1332" t="s">
        <v>1055</v>
      </c>
      <c r="AK51" s="1332" t="s">
        <v>1056</v>
      </c>
      <c r="AL51" s="771"/>
      <c r="AM51"/>
      <c r="AN51"/>
      <c r="AO51"/>
      <c r="AP51"/>
      <c r="AQ51"/>
      <c r="AR51"/>
      <c r="AS51"/>
      <c r="AT51"/>
      <c r="AU51"/>
      <c r="AV51"/>
      <c r="AW51"/>
      <c r="AX51"/>
      <c r="AY51"/>
      <c r="AZ51"/>
      <c r="BA51"/>
      <c r="BB51"/>
      <c r="BC51"/>
      <c r="BD51"/>
      <c r="BE51"/>
      <c r="BF51"/>
      <c r="BG51"/>
    </row>
    <row r="52" spans="1:59" ht="11.25" customHeight="1">
      <c r="A52" t="s">
        <v>1021</v>
      </c>
      <c r="B52"/>
      <c r="C52"/>
      <c r="D52"/>
      <c r="E52" s="556"/>
      <c r="F52" s="1354"/>
      <c r="G52" s="1326"/>
      <c r="H52" s="1327" t="s">
        <v>387</v>
      </c>
      <c r="I52" s="1328"/>
      <c r="J52" s="1329"/>
      <c r="K52" s="1330"/>
      <c r="L52" s="1058"/>
      <c r="M52" s="1060"/>
      <c r="N52" s="1333"/>
      <c r="O52" s="1334">
        <v>1</v>
      </c>
      <c r="P52" s="1335" t="s">
        <v>61</v>
      </c>
      <c r="Q52" s="1339" t="s">
        <v>1057</v>
      </c>
      <c r="R52" s="1340" t="s">
        <v>1058</v>
      </c>
      <c r="S52" s="1340" t="s">
        <v>99</v>
      </c>
      <c r="T52" s="1340" t="s">
        <v>99</v>
      </c>
      <c r="U52" s="1340" t="s">
        <v>100</v>
      </c>
      <c r="V52" s="1340" t="s">
        <v>1059</v>
      </c>
      <c r="W52" s="1340" t="s">
        <v>1060</v>
      </c>
      <c r="X52" s="1340" t="s">
        <v>1061</v>
      </c>
      <c r="Y52" s="1340" t="s">
        <v>1062</v>
      </c>
      <c r="Z52" s="229"/>
      <c r="AA52" s="230"/>
      <c r="AB52" s="230"/>
      <c r="AC52" s="231"/>
      <c r="AD52" s="231"/>
      <c r="AE52" s="244"/>
      <c r="AF52" s="1331"/>
      <c r="AG52" s="1332"/>
      <c r="AH52" s="1332"/>
      <c r="AI52" s="1331"/>
      <c r="AJ52" s="1332"/>
      <c r="AK52" s="1332"/>
      <c r="AL52" s="771"/>
      <c r="AM52"/>
      <c r="AN52"/>
      <c r="AO52"/>
      <c r="AP52"/>
      <c r="AQ52"/>
      <c r="AR52"/>
      <c r="AS52"/>
      <c r="AT52"/>
      <c r="AU52"/>
      <c r="AV52"/>
      <c r="AW52"/>
      <c r="AX52"/>
      <c r="AY52"/>
      <c r="AZ52"/>
      <c r="BA52"/>
      <c r="BB52"/>
      <c r="BC52"/>
      <c r="BD52"/>
      <c r="BE52"/>
      <c r="BF52"/>
      <c r="BG52"/>
    </row>
    <row r="53" spans="1:59" ht="11.25" customHeight="1">
      <c r="A53" t="s">
        <v>1021</v>
      </c>
      <c r="B53"/>
      <c r="C53"/>
      <c r="D53"/>
      <c r="E53" s="556"/>
      <c r="F53" s="1354"/>
      <c r="G53" s="1326"/>
      <c r="H53" s="1327" t="s">
        <v>387</v>
      </c>
      <c r="I53" s="1328"/>
      <c r="J53" s="1329"/>
      <c r="K53" s="1330"/>
      <c r="L53" s="1058"/>
      <c r="M53" s="1060"/>
      <c r="N53" s="1333"/>
      <c r="O53" s="1334"/>
      <c r="P53" s="1336"/>
      <c r="Q53" s="1339"/>
      <c r="R53" s="1323"/>
      <c r="S53" s="1338"/>
      <c r="T53" s="1323"/>
      <c r="U53" s="1323"/>
      <c r="V53" s="1323"/>
      <c r="W53" s="1323"/>
      <c r="X53" s="1323"/>
      <c r="Y53" s="1323"/>
      <c r="Z53"/>
      <c r="AA53" s="777">
        <v>1</v>
      </c>
      <c r="AB53" s="778" t="s">
        <v>1063</v>
      </c>
      <c r="AC53" s="236">
        <v>142629.11817</v>
      </c>
      <c r="AD53" s="778" t="str">
        <f>AB53</f>
        <v xml:space="preserve">  Кредиты</v>
      </c>
      <c r="AE53" s="236">
        <f>AC53</f>
        <v>142629.11817</v>
      </c>
      <c r="AF53" s="1331"/>
      <c r="AG53" s="1332"/>
      <c r="AH53" s="1332"/>
      <c r="AI53" s="1331"/>
      <c r="AJ53" s="1332"/>
      <c r="AK53" s="1332"/>
      <c r="AL53" s="771"/>
      <c r="AM53"/>
      <c r="AN53"/>
      <c r="AO53"/>
      <c r="AP53"/>
      <c r="AQ53"/>
      <c r="AR53"/>
      <c r="AS53"/>
      <c r="AT53"/>
      <c r="AU53"/>
      <c r="AV53"/>
      <c r="AW53"/>
      <c r="AX53"/>
      <c r="AY53"/>
      <c r="AZ53"/>
      <c r="BA53"/>
      <c r="BB53"/>
      <c r="BC53"/>
      <c r="BD53"/>
      <c r="BE53"/>
      <c r="BF53"/>
      <c r="BG53"/>
    </row>
    <row r="54" spans="1:59" ht="11.25" customHeight="1">
      <c r="A54" t="s">
        <v>1021</v>
      </c>
      <c r="B54"/>
      <c r="C54"/>
      <c r="D54"/>
      <c r="E54" s="556"/>
      <c r="F54" s="1354"/>
      <c r="G54" s="1326"/>
      <c r="H54" s="1327" t="s">
        <v>387</v>
      </c>
      <c r="I54" s="1328"/>
      <c r="J54" s="1329"/>
      <c r="K54" s="1330"/>
      <c r="L54" s="1058"/>
      <c r="M54" s="1060"/>
      <c r="N54" s="1333"/>
      <c r="O54" s="1334"/>
      <c r="P54" s="1337"/>
      <c r="Q54" s="1339"/>
      <c r="R54" s="1323"/>
      <c r="S54" s="1338"/>
      <c r="T54" s="1323"/>
      <c r="U54" s="1323"/>
      <c r="V54" s="1323"/>
      <c r="W54" s="1323"/>
      <c r="X54" s="1323"/>
      <c r="Y54" s="1323"/>
      <c r="Z54" s="229"/>
      <c r="AA54" s="230"/>
      <c r="AB54" s="44" t="s">
        <v>1064</v>
      </c>
      <c r="AC54" s="231"/>
      <c r="AD54" s="231"/>
      <c r="AE54" s="245"/>
      <c r="AF54" s="1331"/>
      <c r="AG54" s="1332"/>
      <c r="AH54" s="1332"/>
      <c r="AI54" s="1331"/>
      <c r="AJ54" s="1332"/>
      <c r="AK54" s="1332"/>
      <c r="AL54" s="771"/>
      <c r="AM54"/>
      <c r="AN54"/>
      <c r="AO54"/>
      <c r="AP54"/>
      <c r="AQ54"/>
      <c r="AR54"/>
      <c r="AS54"/>
      <c r="AT54"/>
      <c r="AU54"/>
      <c r="AV54"/>
      <c r="AW54"/>
      <c r="AX54"/>
      <c r="AY54"/>
      <c r="AZ54"/>
      <c r="BA54"/>
      <c r="BB54"/>
      <c r="BC54"/>
      <c r="BD54"/>
      <c r="BE54"/>
      <c r="BF54"/>
      <c r="BG54"/>
    </row>
    <row r="55" spans="1:59" ht="11.25" customHeight="1">
      <c r="A55" t="s">
        <v>1021</v>
      </c>
      <c r="B55"/>
      <c r="C55"/>
      <c r="D55"/>
      <c r="E55" s="556"/>
      <c r="F55" s="1354"/>
      <c r="G55" s="1326"/>
      <c r="H55" s="1327" t="s">
        <v>387</v>
      </c>
      <c r="I55" s="1328"/>
      <c r="J55" s="1329"/>
      <c r="K55" s="1330"/>
      <c r="L55" s="1058"/>
      <c r="M55" s="1060"/>
      <c r="N55" s="229"/>
      <c r="O55" s="230"/>
      <c r="P55" s="44" t="s">
        <v>1065</v>
      </c>
      <c r="Q55" s="230"/>
      <c r="R55" s="230"/>
      <c r="S55" s="230"/>
      <c r="T55" s="230"/>
      <c r="U55" s="230"/>
      <c r="V55" s="230"/>
      <c r="W55" s="230"/>
      <c r="X55" s="230"/>
      <c r="Y55" s="230"/>
      <c r="Z55" s="230"/>
      <c r="AA55" s="230"/>
      <c r="AB55" s="230"/>
      <c r="AC55" s="230"/>
      <c r="AD55" s="230"/>
      <c r="AE55" s="246"/>
      <c r="AF55" s="1331"/>
      <c r="AG55" s="1332"/>
      <c r="AH55" s="1332"/>
      <c r="AI55" s="1331"/>
      <c r="AJ55" s="1332"/>
      <c r="AK55" s="1332"/>
      <c r="AL55" s="771"/>
      <c r="AM55"/>
      <c r="AN55"/>
      <c r="AO55"/>
      <c r="AP55"/>
      <c r="AQ55"/>
      <c r="AR55"/>
      <c r="AS55"/>
      <c r="AT55"/>
      <c r="AU55"/>
      <c r="AV55"/>
      <c r="AW55"/>
      <c r="AX55"/>
      <c r="AY55"/>
      <c r="AZ55"/>
      <c r="BA55"/>
      <c r="BB55"/>
      <c r="BC55"/>
      <c r="BD55"/>
      <c r="BE55"/>
      <c r="BF55"/>
      <c r="BG55"/>
    </row>
    <row r="56" spans="1:59" ht="11.25" customHeight="1">
      <c r="A56" t="s">
        <v>1021</v>
      </c>
      <c r="B56" t="s">
        <v>22</v>
      </c>
      <c r="C56"/>
      <c r="D56"/>
      <c r="E56" s="556"/>
      <c r="F56" s="1354"/>
      <c r="G56" s="1304" t="s">
        <v>103</v>
      </c>
      <c r="H56" s="1327" t="s">
        <v>102</v>
      </c>
      <c r="I56" s="1328" t="s">
        <v>1066</v>
      </c>
      <c r="J56" s="1329" t="s">
        <v>22</v>
      </c>
      <c r="K56" s="1330" t="s">
        <v>1067</v>
      </c>
      <c r="L56" s="1058" t="s">
        <v>19</v>
      </c>
      <c r="M56" s="1060"/>
      <c r="N56" s="241"/>
      <c r="O56" s="242" t="s">
        <v>387</v>
      </c>
      <c r="P56" s="243"/>
      <c r="Q56" s="243"/>
      <c r="R56" s="243"/>
      <c r="S56" s="243"/>
      <c r="T56" s="243"/>
      <c r="U56" s="243"/>
      <c r="V56" s="243"/>
      <c r="W56" s="243"/>
      <c r="X56" s="243"/>
      <c r="Y56" s="243"/>
      <c r="Z56" s="243"/>
      <c r="AA56" s="243"/>
      <c r="AB56" s="243"/>
      <c r="AC56" s="243"/>
      <c r="AD56" s="243"/>
      <c r="AE56" s="243"/>
      <c r="AF56" s="1331">
        <v>1</v>
      </c>
      <c r="AG56" s="1332" t="s">
        <v>1055</v>
      </c>
      <c r="AH56" s="1332" t="s">
        <v>1068</v>
      </c>
      <c r="AI56" s="1331">
        <v>1</v>
      </c>
      <c r="AJ56" s="1332" t="s">
        <v>1055</v>
      </c>
      <c r="AK56" s="1332" t="s">
        <v>1068</v>
      </c>
      <c r="AL56" s="771"/>
      <c r="AM56"/>
      <c r="AN56"/>
      <c r="AO56"/>
      <c r="AP56"/>
      <c r="AQ56"/>
      <c r="AR56"/>
      <c r="AS56"/>
      <c r="AT56"/>
      <c r="AU56"/>
      <c r="AV56"/>
      <c r="AW56"/>
      <c r="AX56"/>
      <c r="AY56"/>
      <c r="AZ56"/>
      <c r="BA56"/>
      <c r="BB56"/>
      <c r="BC56"/>
      <c r="BD56"/>
      <c r="BE56"/>
      <c r="BF56"/>
      <c r="BG56"/>
    </row>
    <row r="57" spans="1:59" ht="11.25" customHeight="1">
      <c r="A57" t="s">
        <v>1021</v>
      </c>
      <c r="B57"/>
      <c r="C57"/>
      <c r="D57"/>
      <c r="E57" s="556"/>
      <c r="F57" s="1354"/>
      <c r="G57" s="1326"/>
      <c r="H57" s="1327" t="s">
        <v>114</v>
      </c>
      <c r="I57" s="1328"/>
      <c r="J57" s="1329"/>
      <c r="K57" s="1330"/>
      <c r="L57" s="1058"/>
      <c r="M57" s="1060"/>
      <c r="N57" s="1333"/>
      <c r="O57" s="1334">
        <v>1</v>
      </c>
      <c r="P57" s="1335" t="s">
        <v>61</v>
      </c>
      <c r="Q57" s="1339" t="s">
        <v>1069</v>
      </c>
      <c r="R57" s="1340" t="s">
        <v>1058</v>
      </c>
      <c r="S57" s="1340" t="s">
        <v>99</v>
      </c>
      <c r="T57" s="1340" t="s">
        <v>99</v>
      </c>
      <c r="U57" s="1340" t="s">
        <v>100</v>
      </c>
      <c r="V57" s="1340" t="s">
        <v>1059</v>
      </c>
      <c r="W57" s="1340" t="s">
        <v>1060</v>
      </c>
      <c r="X57" s="1340" t="s">
        <v>1070</v>
      </c>
      <c r="Y57" s="1340" t="s">
        <v>1071</v>
      </c>
      <c r="Z57" s="229"/>
      <c r="AA57" s="230"/>
      <c r="AB57" s="230"/>
      <c r="AC57" s="231"/>
      <c r="AD57" s="231"/>
      <c r="AE57" s="244"/>
      <c r="AF57" s="1331"/>
      <c r="AG57" s="1332"/>
      <c r="AH57" s="1332"/>
      <c r="AI57" s="1331"/>
      <c r="AJ57" s="1332"/>
      <c r="AK57" s="1332"/>
      <c r="AL57" s="771"/>
      <c r="AM57"/>
      <c r="AN57"/>
      <c r="AO57"/>
      <c r="AP57"/>
      <c r="AQ57"/>
      <c r="AR57"/>
      <c r="AS57"/>
      <c r="AT57"/>
      <c r="AU57"/>
      <c r="AV57"/>
      <c r="AW57"/>
      <c r="AX57"/>
      <c r="AY57"/>
      <c r="AZ57"/>
      <c r="BA57"/>
      <c r="BB57"/>
      <c r="BC57"/>
      <c r="BD57"/>
      <c r="BE57"/>
      <c r="BF57"/>
      <c r="BG57"/>
    </row>
    <row r="58" spans="1:59" ht="11.25" customHeight="1">
      <c r="A58" t="s">
        <v>1021</v>
      </c>
      <c r="B58"/>
      <c r="C58"/>
      <c r="D58"/>
      <c r="E58" s="556"/>
      <c r="F58" s="1354"/>
      <c r="G58" s="1326"/>
      <c r="H58" s="1327" t="s">
        <v>114</v>
      </c>
      <c r="I58" s="1328"/>
      <c r="J58" s="1329"/>
      <c r="K58" s="1330"/>
      <c r="L58" s="1058"/>
      <c r="M58" s="1060"/>
      <c r="N58" s="1333"/>
      <c r="O58" s="1334"/>
      <c r="P58" s="1336"/>
      <c r="Q58" s="1339"/>
      <c r="R58" s="1323"/>
      <c r="S58" s="1338"/>
      <c r="T58" s="1323"/>
      <c r="U58" s="1323"/>
      <c r="V58" s="1323"/>
      <c r="W58" s="1323"/>
      <c r="X58" s="1323"/>
      <c r="Y58" s="1323"/>
      <c r="Z58"/>
      <c r="AA58" s="777">
        <v>1</v>
      </c>
      <c r="AB58" s="778" t="s">
        <v>1063</v>
      </c>
      <c r="AC58" s="236">
        <v>906.07228999999995</v>
      </c>
      <c r="AD58" s="778" t="str">
        <f>AB58</f>
        <v xml:space="preserve">  Кредиты</v>
      </c>
      <c r="AE58" s="236">
        <f>AC58</f>
        <v>906.07228999999995</v>
      </c>
      <c r="AF58" s="1331"/>
      <c r="AG58" s="1332"/>
      <c r="AH58" s="1332"/>
      <c r="AI58" s="1331"/>
      <c r="AJ58" s="1332"/>
      <c r="AK58" s="1332"/>
      <c r="AL58" s="771"/>
      <c r="AM58"/>
      <c r="AN58"/>
      <c r="AO58"/>
      <c r="AP58"/>
      <c r="AQ58"/>
      <c r="AR58"/>
      <c r="AS58"/>
      <c r="AT58"/>
      <c r="AU58"/>
      <c r="AV58"/>
      <c r="AW58"/>
      <c r="AX58"/>
      <c r="AY58"/>
      <c r="AZ58"/>
      <c r="BA58"/>
      <c r="BB58"/>
      <c r="BC58"/>
      <c r="BD58"/>
      <c r="BE58"/>
      <c r="BF58"/>
      <c r="BG58"/>
    </row>
    <row r="59" spans="1:59" ht="11.25" customHeight="1">
      <c r="A59" t="s">
        <v>1021</v>
      </c>
      <c r="B59"/>
      <c r="C59"/>
      <c r="D59"/>
      <c r="E59" s="556"/>
      <c r="F59" s="1354"/>
      <c r="G59" s="1326"/>
      <c r="H59" s="1327" t="s">
        <v>114</v>
      </c>
      <c r="I59" s="1328"/>
      <c r="J59" s="1329"/>
      <c r="K59" s="1330"/>
      <c r="L59" s="1058"/>
      <c r="M59" s="1060"/>
      <c r="N59" s="1333"/>
      <c r="O59" s="1334"/>
      <c r="P59" s="1337"/>
      <c r="Q59" s="1339"/>
      <c r="R59" s="1323"/>
      <c r="S59" s="1338"/>
      <c r="T59" s="1323"/>
      <c r="U59" s="1323"/>
      <c r="V59" s="1323"/>
      <c r="W59" s="1323"/>
      <c r="X59" s="1323"/>
      <c r="Y59" s="1323"/>
      <c r="Z59" s="229"/>
      <c r="AA59" s="230"/>
      <c r="AB59" s="44" t="s">
        <v>1064</v>
      </c>
      <c r="AC59" s="231"/>
      <c r="AD59" s="231"/>
      <c r="AE59" s="245"/>
      <c r="AF59" s="1331"/>
      <c r="AG59" s="1332"/>
      <c r="AH59" s="1332"/>
      <c r="AI59" s="1331"/>
      <c r="AJ59" s="1332"/>
      <c r="AK59" s="1332"/>
      <c r="AL59" s="771"/>
      <c r="AM59"/>
      <c r="AN59"/>
      <c r="AO59"/>
      <c r="AP59"/>
      <c r="AQ59"/>
      <c r="AR59"/>
      <c r="AS59"/>
      <c r="AT59"/>
      <c r="AU59"/>
      <c r="AV59"/>
      <c r="AW59"/>
      <c r="AX59"/>
      <c r="AY59"/>
      <c r="AZ59"/>
      <c r="BA59"/>
      <c r="BB59"/>
      <c r="BC59"/>
      <c r="BD59"/>
      <c r="BE59"/>
      <c r="BF59"/>
      <c r="BG59"/>
    </row>
    <row r="60" spans="1:59" ht="11.25" customHeight="1">
      <c r="A60" s="1029" t="s">
        <v>1021</v>
      </c>
      <c r="E60" s="556"/>
      <c r="F60" s="1354"/>
      <c r="G60" s="1326"/>
      <c r="H60" s="1327" t="s">
        <v>114</v>
      </c>
      <c r="I60" s="1328"/>
      <c r="J60" s="1329"/>
      <c r="K60" s="1330"/>
      <c r="L60" s="1058"/>
      <c r="M60" s="1060"/>
      <c r="N60" s="229"/>
      <c r="O60" s="230"/>
      <c r="P60" s="44" t="s">
        <v>1065</v>
      </c>
      <c r="Q60" s="230"/>
      <c r="R60" s="230"/>
      <c r="S60" s="230"/>
      <c r="T60" s="230"/>
      <c r="U60" s="230"/>
      <c r="V60" s="230"/>
      <c r="W60" s="230"/>
      <c r="X60" s="230"/>
      <c r="Y60" s="230"/>
      <c r="Z60" s="230"/>
      <c r="AA60" s="230"/>
      <c r="AB60" s="230"/>
      <c r="AC60" s="230"/>
      <c r="AD60" s="230"/>
      <c r="AE60" s="246"/>
      <c r="AF60" s="1331"/>
      <c r="AG60" s="1332"/>
      <c r="AH60" s="1332"/>
      <c r="AI60" s="1331"/>
      <c r="AJ60" s="1332"/>
      <c r="AK60" s="1332"/>
      <c r="AL60" s="771"/>
    </row>
    <row r="61" spans="1:59" ht="11.25" customHeight="1">
      <c r="A61" s="1029" t="s">
        <v>1021</v>
      </c>
      <c r="B61" s="1029" t="s">
        <v>1076</v>
      </c>
      <c r="E61" s="556"/>
      <c r="F61" s="1354"/>
      <c r="G61" s="1304" t="s">
        <v>103</v>
      </c>
      <c r="H61" s="1327" t="s">
        <v>89</v>
      </c>
      <c r="I61" s="1328" t="s">
        <v>1077</v>
      </c>
      <c r="J61" s="1341" t="s">
        <v>1078</v>
      </c>
      <c r="K61" s="1330" t="s">
        <v>1084</v>
      </c>
      <c r="L61" s="1058" t="s">
        <v>61</v>
      </c>
      <c r="M61" s="1342" t="s">
        <v>1020</v>
      </c>
      <c r="N61" s="241"/>
      <c r="O61" s="242" t="s">
        <v>387</v>
      </c>
      <c r="P61" s="243"/>
      <c r="Q61" s="243"/>
      <c r="R61" s="243"/>
      <c r="S61" s="243"/>
      <c r="T61" s="243"/>
      <c r="U61" s="243"/>
      <c r="V61" s="243"/>
      <c r="W61" s="243"/>
      <c r="X61" s="243"/>
      <c r="Y61" s="243"/>
      <c r="Z61" s="243"/>
      <c r="AA61" s="243"/>
      <c r="AB61" s="243"/>
      <c r="AC61" s="243"/>
      <c r="AD61" s="243"/>
      <c r="AE61" s="243"/>
      <c r="AF61" s="1331">
        <v>14</v>
      </c>
      <c r="AG61" s="1332" t="s">
        <v>1055</v>
      </c>
      <c r="AH61" s="1332" t="s">
        <v>1085</v>
      </c>
      <c r="AI61" s="1331">
        <v>14</v>
      </c>
      <c r="AJ61" s="1332" t="s">
        <v>1055</v>
      </c>
      <c r="AK61" s="1332" t="s">
        <v>1085</v>
      </c>
      <c r="AL61" s="771"/>
    </row>
    <row r="62" spans="1:59" ht="11.25" customHeight="1">
      <c r="A62" s="1029" t="s">
        <v>1021</v>
      </c>
      <c r="E62" s="556"/>
      <c r="F62" s="1354"/>
      <c r="G62" s="1326"/>
      <c r="H62" s="1327" t="s">
        <v>102</v>
      </c>
      <c r="I62" s="1328"/>
      <c r="J62" s="1341"/>
      <c r="K62" s="1330"/>
      <c r="L62" s="1058"/>
      <c r="M62" s="1342" t="s">
        <v>22</v>
      </c>
      <c r="N62" s="1333"/>
      <c r="O62" s="1334">
        <v>1</v>
      </c>
      <c r="P62" s="1335" t="s">
        <v>19</v>
      </c>
      <c r="Q62" s="1323" t="s">
        <v>22</v>
      </c>
      <c r="R62" s="1323" t="s">
        <v>22</v>
      </c>
      <c r="S62" s="1323" t="s">
        <v>22</v>
      </c>
      <c r="T62" s="1323" t="s">
        <v>22</v>
      </c>
      <c r="U62" s="1323" t="s">
        <v>22</v>
      </c>
      <c r="V62" s="1323" t="s">
        <v>22</v>
      </c>
      <c r="W62" s="1323" t="s">
        <v>22</v>
      </c>
      <c r="X62" s="1323" t="s">
        <v>22</v>
      </c>
      <c r="Y62" s="1323"/>
      <c r="Z62" s="229"/>
      <c r="AA62" s="230"/>
      <c r="AB62" s="230"/>
      <c r="AC62" s="231"/>
      <c r="AD62" s="231"/>
      <c r="AE62" s="244"/>
      <c r="AF62" s="1331"/>
      <c r="AG62" s="1332"/>
      <c r="AH62" s="1332"/>
      <c r="AI62" s="1331"/>
      <c r="AJ62" s="1332"/>
      <c r="AK62" s="1332"/>
      <c r="AL62" s="771"/>
    </row>
    <row r="63" spans="1:59" ht="11.25" customHeight="1">
      <c r="A63" s="1029" t="s">
        <v>1021</v>
      </c>
      <c r="E63" s="556"/>
      <c r="F63" s="1354"/>
      <c r="G63" s="1326"/>
      <c r="H63" s="1327" t="s">
        <v>102</v>
      </c>
      <c r="I63" s="1328"/>
      <c r="J63" s="1341"/>
      <c r="K63" s="1330"/>
      <c r="L63" s="1058"/>
      <c r="M63" s="1342" t="s">
        <v>22</v>
      </c>
      <c r="N63" s="1333"/>
      <c r="O63" s="1334"/>
      <c r="P63" s="1336"/>
      <c r="Q63" s="1323"/>
      <c r="R63" s="1323"/>
      <c r="S63" s="1338"/>
      <c r="T63" s="1323"/>
      <c r="U63" s="1323"/>
      <c r="V63" s="1323"/>
      <c r="W63" s="1323"/>
      <c r="X63" s="1323"/>
      <c r="Y63" s="1323"/>
      <c r="AA63" s="777">
        <v>1</v>
      </c>
      <c r="AB63" s="778" t="s">
        <v>1063</v>
      </c>
      <c r="AC63" s="236">
        <v>44687.786079999903</v>
      </c>
      <c r="AD63" s="778" t="str">
        <f>AB63</f>
        <v xml:space="preserve">  Кредиты</v>
      </c>
      <c r="AE63" s="236">
        <f>AC63</f>
        <v>44687.786079999903</v>
      </c>
      <c r="AF63" s="1331"/>
      <c r="AG63" s="1332"/>
      <c r="AH63" s="1332"/>
      <c r="AI63" s="1331"/>
      <c r="AJ63" s="1332"/>
      <c r="AK63" s="1332"/>
      <c r="AL63" s="771"/>
    </row>
    <row r="64" spans="1:59" ht="11.25" customHeight="1">
      <c r="A64" s="1029" t="s">
        <v>1021</v>
      </c>
      <c r="E64" s="556"/>
      <c r="F64" s="1354"/>
      <c r="G64" s="1326"/>
      <c r="H64" s="1327" t="s">
        <v>102</v>
      </c>
      <c r="I64" s="1328"/>
      <c r="J64" s="1341"/>
      <c r="K64" s="1330"/>
      <c r="L64" s="1058"/>
      <c r="M64" s="1342" t="s">
        <v>22</v>
      </c>
      <c r="N64" s="1333"/>
      <c r="O64" s="1334"/>
      <c r="P64" s="1337"/>
      <c r="Q64" s="1323"/>
      <c r="R64" s="1323"/>
      <c r="S64" s="1338"/>
      <c r="T64" s="1323"/>
      <c r="U64" s="1323"/>
      <c r="V64" s="1323"/>
      <c r="W64" s="1323"/>
      <c r="X64" s="1323"/>
      <c r="Y64" s="1323"/>
      <c r="Z64" s="229"/>
      <c r="AA64" s="230"/>
      <c r="AB64" s="44" t="s">
        <v>1064</v>
      </c>
      <c r="AC64" s="231"/>
      <c r="AD64" s="231"/>
      <c r="AE64" s="245"/>
      <c r="AF64" s="1331"/>
      <c r="AG64" s="1332"/>
      <c r="AH64" s="1332"/>
      <c r="AI64" s="1331"/>
      <c r="AJ64" s="1332"/>
      <c r="AK64" s="1332"/>
      <c r="AL64" s="771"/>
    </row>
    <row r="65" spans="1:38" ht="11.25" customHeight="1">
      <c r="A65" s="1029" t="s">
        <v>1021</v>
      </c>
      <c r="E65" s="556"/>
      <c r="F65" s="1354"/>
      <c r="G65" s="1326"/>
      <c r="H65" s="1327" t="s">
        <v>102</v>
      </c>
      <c r="I65" s="1328"/>
      <c r="J65" s="1341"/>
      <c r="K65" s="1330"/>
      <c r="L65" s="1058"/>
      <c r="M65" s="1342" t="s">
        <v>22</v>
      </c>
      <c r="N65" s="229"/>
      <c r="O65" s="230"/>
      <c r="P65" s="44" t="s">
        <v>1065</v>
      </c>
      <c r="Q65" s="230"/>
      <c r="R65" s="230"/>
      <c r="S65" s="230"/>
      <c r="T65" s="230"/>
      <c r="U65" s="230"/>
      <c r="V65" s="230"/>
      <c r="W65" s="230"/>
      <c r="X65" s="230"/>
      <c r="Y65" s="230"/>
      <c r="Z65" s="230"/>
      <c r="AA65" s="230"/>
      <c r="AB65" s="230"/>
      <c r="AC65" s="230"/>
      <c r="AD65" s="230"/>
      <c r="AE65" s="246"/>
      <c r="AF65" s="1331"/>
      <c r="AG65" s="1332"/>
      <c r="AH65" s="1332"/>
      <c r="AI65" s="1331"/>
      <c r="AJ65" s="1332"/>
      <c r="AK65" s="1332"/>
      <c r="AL65" s="771"/>
    </row>
    <row r="66" spans="1:38" ht="11.25" customHeight="1">
      <c r="A66" s="1029" t="s">
        <v>1021</v>
      </c>
      <c r="B66" s="1029" t="s">
        <v>22</v>
      </c>
      <c r="E66" s="556"/>
      <c r="F66" s="1354"/>
      <c r="G66" s="1304" t="s">
        <v>103</v>
      </c>
      <c r="H66" s="1327" t="s">
        <v>90</v>
      </c>
      <c r="I66" s="1328" t="s">
        <v>1086</v>
      </c>
      <c r="J66" s="1329" t="s">
        <v>22</v>
      </c>
      <c r="K66" s="1330" t="s">
        <v>1087</v>
      </c>
      <c r="L66" s="1058" t="s">
        <v>19</v>
      </c>
      <c r="M66" s="1060"/>
      <c r="N66" s="241"/>
      <c r="O66" s="242" t="s">
        <v>387</v>
      </c>
      <c r="P66" s="243"/>
      <c r="Q66" s="243"/>
      <c r="R66" s="243"/>
      <c r="S66" s="243"/>
      <c r="T66" s="243"/>
      <c r="U66" s="243"/>
      <c r="V66" s="243"/>
      <c r="W66" s="243"/>
      <c r="X66" s="243"/>
      <c r="Y66" s="243"/>
      <c r="Z66" s="243"/>
      <c r="AA66" s="243"/>
      <c r="AB66" s="243"/>
      <c r="AC66" s="243"/>
      <c r="AD66" s="243"/>
      <c r="AE66" s="243"/>
      <c r="AF66" s="1331">
        <v>5</v>
      </c>
      <c r="AG66" s="1332" t="s">
        <v>1055</v>
      </c>
      <c r="AH66" s="1332" t="s">
        <v>1056</v>
      </c>
      <c r="AI66" s="1331">
        <v>5</v>
      </c>
      <c r="AJ66" s="1332" t="s">
        <v>1055</v>
      </c>
      <c r="AK66" s="1332" t="s">
        <v>1056</v>
      </c>
      <c r="AL66" s="771"/>
    </row>
    <row r="67" spans="1:38" ht="11.25" customHeight="1">
      <c r="A67" s="1029" t="s">
        <v>1021</v>
      </c>
      <c r="E67" s="556"/>
      <c r="F67" s="1354"/>
      <c r="G67" s="1326"/>
      <c r="H67" s="1327" t="s">
        <v>89</v>
      </c>
      <c r="I67" s="1328"/>
      <c r="J67" s="1329"/>
      <c r="K67" s="1330"/>
      <c r="L67" s="1058"/>
      <c r="M67" s="1060"/>
      <c r="N67" s="1333"/>
      <c r="O67" s="1334">
        <v>1</v>
      </c>
      <c r="P67" s="1335" t="s">
        <v>61</v>
      </c>
      <c r="Q67" s="1339" t="s">
        <v>1057</v>
      </c>
      <c r="R67" s="1340" t="s">
        <v>1058</v>
      </c>
      <c r="S67" s="1340" t="s">
        <v>99</v>
      </c>
      <c r="T67" s="1340" t="s">
        <v>99</v>
      </c>
      <c r="U67" s="1340" t="s">
        <v>100</v>
      </c>
      <c r="V67" s="1340" t="s">
        <v>1059</v>
      </c>
      <c r="W67" s="1340" t="s">
        <v>1060</v>
      </c>
      <c r="X67" s="1340" t="s">
        <v>1061</v>
      </c>
      <c r="Y67" s="1340" t="s">
        <v>1062</v>
      </c>
      <c r="Z67" s="229"/>
      <c r="AA67" s="230"/>
      <c r="AB67" s="230"/>
      <c r="AC67" s="231"/>
      <c r="AD67" s="231"/>
      <c r="AE67" s="244"/>
      <c r="AF67" s="1331"/>
      <c r="AG67" s="1332"/>
      <c r="AH67" s="1332"/>
      <c r="AI67" s="1331"/>
      <c r="AJ67" s="1332"/>
      <c r="AK67" s="1332"/>
      <c r="AL67" s="771"/>
    </row>
    <row r="68" spans="1:38" ht="11.25" customHeight="1">
      <c r="A68" s="1029" t="s">
        <v>1021</v>
      </c>
      <c r="E68" s="556"/>
      <c r="F68" s="1354"/>
      <c r="G68" s="1326"/>
      <c r="H68" s="1327" t="s">
        <v>89</v>
      </c>
      <c r="I68" s="1328"/>
      <c r="J68" s="1329"/>
      <c r="K68" s="1330"/>
      <c r="L68" s="1058"/>
      <c r="M68" s="1060"/>
      <c r="N68" s="1333"/>
      <c r="O68" s="1334"/>
      <c r="P68" s="1336"/>
      <c r="Q68" s="1339"/>
      <c r="R68" s="1323"/>
      <c r="S68" s="1338"/>
      <c r="T68" s="1323"/>
      <c r="U68" s="1323"/>
      <c r="V68" s="1323"/>
      <c r="W68" s="1323"/>
      <c r="X68" s="1323"/>
      <c r="Y68" s="1323"/>
      <c r="AA68" s="777">
        <v>1</v>
      </c>
      <c r="AB68" s="778" t="s">
        <v>1063</v>
      </c>
      <c r="AC68" s="236">
        <v>105873.17826</v>
      </c>
      <c r="AD68" s="778" t="str">
        <f>AB68</f>
        <v xml:space="preserve">  Кредиты</v>
      </c>
      <c r="AE68" s="236">
        <f>AC68</f>
        <v>105873.17826</v>
      </c>
      <c r="AF68" s="1331"/>
      <c r="AG68" s="1332"/>
      <c r="AH68" s="1332"/>
      <c r="AI68" s="1331"/>
      <c r="AJ68" s="1332"/>
      <c r="AK68" s="1332"/>
      <c r="AL68" s="771"/>
    </row>
    <row r="69" spans="1:38" ht="11.25" customHeight="1">
      <c r="A69" s="1029" t="s">
        <v>1021</v>
      </c>
      <c r="E69" s="556"/>
      <c r="F69" s="1354"/>
      <c r="G69" s="1326"/>
      <c r="H69" s="1327" t="s">
        <v>89</v>
      </c>
      <c r="I69" s="1328"/>
      <c r="J69" s="1329"/>
      <c r="K69" s="1330"/>
      <c r="L69" s="1058"/>
      <c r="M69" s="1060"/>
      <c r="N69" s="1333"/>
      <c r="O69" s="1334"/>
      <c r="P69" s="1337"/>
      <c r="Q69" s="1339"/>
      <c r="R69" s="1323"/>
      <c r="S69" s="1338"/>
      <c r="T69" s="1323"/>
      <c r="U69" s="1323"/>
      <c r="V69" s="1323"/>
      <c r="W69" s="1323"/>
      <c r="X69" s="1323"/>
      <c r="Y69" s="1323"/>
      <c r="Z69" s="229"/>
      <c r="AA69" s="230"/>
      <c r="AB69" s="44" t="s">
        <v>1064</v>
      </c>
      <c r="AC69" s="231"/>
      <c r="AD69" s="231"/>
      <c r="AE69" s="245"/>
      <c r="AF69" s="1331"/>
      <c r="AG69" s="1332"/>
      <c r="AH69" s="1332"/>
      <c r="AI69" s="1331"/>
      <c r="AJ69" s="1332"/>
      <c r="AK69" s="1332"/>
      <c r="AL69" s="771"/>
    </row>
    <row r="70" spans="1:38" ht="11.25" customHeight="1">
      <c r="A70" s="1029" t="s">
        <v>1021</v>
      </c>
      <c r="E70" s="556"/>
      <c r="F70" s="1354"/>
      <c r="G70" s="1326"/>
      <c r="H70" s="1327" t="s">
        <v>89</v>
      </c>
      <c r="I70" s="1328"/>
      <c r="J70" s="1329"/>
      <c r="K70" s="1330"/>
      <c r="L70" s="1058"/>
      <c r="M70" s="1060"/>
      <c r="N70" s="229"/>
      <c r="O70" s="230"/>
      <c r="P70" s="44" t="s">
        <v>1065</v>
      </c>
      <c r="Q70" s="230"/>
      <c r="R70" s="230"/>
      <c r="S70" s="230"/>
      <c r="T70" s="230"/>
      <c r="U70" s="230"/>
      <c r="V70" s="230"/>
      <c r="W70" s="230"/>
      <c r="X70" s="230"/>
      <c r="Y70" s="230"/>
      <c r="Z70" s="230"/>
      <c r="AA70" s="230"/>
      <c r="AB70" s="230"/>
      <c r="AC70" s="230"/>
      <c r="AD70" s="230"/>
      <c r="AE70" s="246"/>
      <c r="AF70" s="1331"/>
      <c r="AG70" s="1332"/>
      <c r="AH70" s="1332"/>
      <c r="AI70" s="1331"/>
      <c r="AJ70" s="1332"/>
      <c r="AK70" s="1332"/>
      <c r="AL70" s="771"/>
    </row>
    <row r="71" spans="1:38" ht="11.25" customHeight="1">
      <c r="A71" s="1029" t="s">
        <v>1021</v>
      </c>
      <c r="B71" s="1029" t="s">
        <v>22</v>
      </c>
      <c r="E71" s="556"/>
      <c r="F71" s="1354"/>
      <c r="G71" s="1304" t="s">
        <v>103</v>
      </c>
      <c r="H71" s="1327" t="s">
        <v>115</v>
      </c>
      <c r="I71" s="1328" t="s">
        <v>1086</v>
      </c>
      <c r="J71" s="1329" t="s">
        <v>22</v>
      </c>
      <c r="K71" s="1330" t="s">
        <v>1088</v>
      </c>
      <c r="L71" s="1058" t="s">
        <v>19</v>
      </c>
      <c r="M71" s="1060"/>
      <c r="N71" s="241"/>
      <c r="O71" s="242" t="s">
        <v>387</v>
      </c>
      <c r="P71" s="243"/>
      <c r="Q71" s="243"/>
      <c r="R71" s="243"/>
      <c r="S71" s="243"/>
      <c r="T71" s="243"/>
      <c r="U71" s="243"/>
      <c r="V71" s="243"/>
      <c r="W71" s="243"/>
      <c r="X71" s="243"/>
      <c r="Y71" s="243"/>
      <c r="Z71" s="243"/>
      <c r="AA71" s="243"/>
      <c r="AB71" s="243"/>
      <c r="AC71" s="243"/>
      <c r="AD71" s="243"/>
      <c r="AE71" s="243"/>
      <c r="AF71" s="1331">
        <v>3</v>
      </c>
      <c r="AG71" s="1332" t="s">
        <v>1055</v>
      </c>
      <c r="AH71" s="1332" t="s">
        <v>1089</v>
      </c>
      <c r="AI71" s="1331">
        <v>3</v>
      </c>
      <c r="AJ71" s="1332" t="s">
        <v>1055</v>
      </c>
      <c r="AK71" s="1332" t="s">
        <v>1089</v>
      </c>
      <c r="AL71" s="771"/>
    </row>
    <row r="72" spans="1:38" ht="11.25" customHeight="1">
      <c r="A72" s="1029" t="s">
        <v>1021</v>
      </c>
      <c r="E72" s="556"/>
      <c r="F72" s="1354"/>
      <c r="G72" s="1326"/>
      <c r="H72" s="1327" t="s">
        <v>90</v>
      </c>
      <c r="I72" s="1328"/>
      <c r="J72" s="1329"/>
      <c r="K72" s="1330"/>
      <c r="L72" s="1058"/>
      <c r="M72" s="1060"/>
      <c r="N72" s="1333"/>
      <c r="O72" s="1334">
        <v>1</v>
      </c>
      <c r="P72" s="1335" t="s">
        <v>61</v>
      </c>
      <c r="Q72" s="1339" t="s">
        <v>1069</v>
      </c>
      <c r="R72" s="1340" t="s">
        <v>1058</v>
      </c>
      <c r="S72" s="1340" t="s">
        <v>99</v>
      </c>
      <c r="T72" s="1340" t="s">
        <v>99</v>
      </c>
      <c r="U72" s="1340" t="s">
        <v>100</v>
      </c>
      <c r="V72" s="1340" t="s">
        <v>1059</v>
      </c>
      <c r="W72" s="1340" t="s">
        <v>1060</v>
      </c>
      <c r="X72" s="1340" t="s">
        <v>1070</v>
      </c>
      <c r="Y72" s="1340" t="s">
        <v>1071</v>
      </c>
      <c r="Z72" s="229"/>
      <c r="AA72" s="230"/>
      <c r="AB72" s="230"/>
      <c r="AC72" s="231"/>
      <c r="AD72" s="231"/>
      <c r="AE72" s="244"/>
      <c r="AF72" s="1331"/>
      <c r="AG72" s="1332"/>
      <c r="AH72" s="1332"/>
      <c r="AI72" s="1331"/>
      <c r="AJ72" s="1332"/>
      <c r="AK72" s="1332"/>
      <c r="AL72" s="771"/>
    </row>
    <row r="73" spans="1:38" ht="11.25" customHeight="1">
      <c r="A73" s="1029" t="s">
        <v>1021</v>
      </c>
      <c r="E73" s="556"/>
      <c r="F73" s="1354"/>
      <c r="G73" s="1326"/>
      <c r="H73" s="1327" t="s">
        <v>90</v>
      </c>
      <c r="I73" s="1328"/>
      <c r="J73" s="1329"/>
      <c r="K73" s="1330"/>
      <c r="L73" s="1058"/>
      <c r="M73" s="1060"/>
      <c r="N73" s="1333"/>
      <c r="O73" s="1334"/>
      <c r="P73" s="1336"/>
      <c r="Q73" s="1339"/>
      <c r="R73" s="1323"/>
      <c r="S73" s="1338"/>
      <c r="T73" s="1323"/>
      <c r="U73" s="1323"/>
      <c r="V73" s="1323"/>
      <c r="W73" s="1323"/>
      <c r="X73" s="1323"/>
      <c r="Y73" s="1323"/>
      <c r="AA73" s="777">
        <v>1</v>
      </c>
      <c r="AB73" s="778" t="s">
        <v>1063</v>
      </c>
      <c r="AC73" s="236">
        <v>19175.2124</v>
      </c>
      <c r="AD73" s="778" t="str">
        <f>AB73</f>
        <v xml:space="preserve">  Кредиты</v>
      </c>
      <c r="AE73" s="236">
        <f>AC73</f>
        <v>19175.2124</v>
      </c>
      <c r="AF73" s="1331"/>
      <c r="AG73" s="1332"/>
      <c r="AH73" s="1332"/>
      <c r="AI73" s="1331"/>
      <c r="AJ73" s="1332"/>
      <c r="AK73" s="1332"/>
      <c r="AL73" s="771"/>
    </row>
    <row r="74" spans="1:38" ht="11.25" customHeight="1">
      <c r="A74" s="1029" t="s">
        <v>1021</v>
      </c>
      <c r="E74" s="556"/>
      <c r="F74" s="1354"/>
      <c r="G74" s="1326"/>
      <c r="H74" s="1327" t="s">
        <v>90</v>
      </c>
      <c r="I74" s="1328"/>
      <c r="J74" s="1329"/>
      <c r="K74" s="1330"/>
      <c r="L74" s="1058"/>
      <c r="M74" s="1060"/>
      <c r="N74" s="1333"/>
      <c r="O74" s="1334"/>
      <c r="P74" s="1337"/>
      <c r="Q74" s="1339"/>
      <c r="R74" s="1323"/>
      <c r="S74" s="1338"/>
      <c r="T74" s="1323"/>
      <c r="U74" s="1323"/>
      <c r="V74" s="1323"/>
      <c r="W74" s="1323"/>
      <c r="X74" s="1323"/>
      <c r="Y74" s="1323"/>
      <c r="Z74" s="229"/>
      <c r="AA74" s="230"/>
      <c r="AB74" s="44" t="s">
        <v>1064</v>
      </c>
      <c r="AC74" s="231"/>
      <c r="AD74" s="231"/>
      <c r="AE74" s="245"/>
      <c r="AF74" s="1331"/>
      <c r="AG74" s="1332"/>
      <c r="AH74" s="1332"/>
      <c r="AI74" s="1331"/>
      <c r="AJ74" s="1332"/>
      <c r="AK74" s="1332"/>
      <c r="AL74" s="771"/>
    </row>
    <row r="75" spans="1:38" ht="11.25" customHeight="1">
      <c r="A75" s="1029" t="s">
        <v>1021</v>
      </c>
      <c r="E75" s="556"/>
      <c r="F75" s="1354"/>
      <c r="G75" s="1326"/>
      <c r="H75" s="1327" t="s">
        <v>90</v>
      </c>
      <c r="I75" s="1328"/>
      <c r="J75" s="1329"/>
      <c r="K75" s="1330"/>
      <c r="L75" s="1058"/>
      <c r="M75" s="1060"/>
      <c r="N75" s="229"/>
      <c r="O75" s="230"/>
      <c r="P75" s="44" t="s">
        <v>1065</v>
      </c>
      <c r="Q75" s="230"/>
      <c r="R75" s="230"/>
      <c r="S75" s="230"/>
      <c r="T75" s="230"/>
      <c r="U75" s="230"/>
      <c r="V75" s="230"/>
      <c r="W75" s="230"/>
      <c r="X75" s="230"/>
      <c r="Y75" s="230"/>
      <c r="Z75" s="230"/>
      <c r="AA75" s="230"/>
      <c r="AB75" s="230"/>
      <c r="AC75" s="230"/>
      <c r="AD75" s="230"/>
      <c r="AE75" s="246"/>
      <c r="AF75" s="1331"/>
      <c r="AG75" s="1332"/>
      <c r="AH75" s="1332"/>
      <c r="AI75" s="1331"/>
      <c r="AJ75" s="1332"/>
      <c r="AK75" s="1332"/>
      <c r="AL75" s="771"/>
    </row>
    <row r="76" spans="1:38" ht="11.25" customHeight="1">
      <c r="A76" s="1029" t="s">
        <v>1021</v>
      </c>
      <c r="B76" s="1029" t="s">
        <v>22</v>
      </c>
      <c r="E76" s="556"/>
      <c r="F76" s="1354"/>
      <c r="G76" s="1304" t="s">
        <v>103</v>
      </c>
      <c r="H76" s="1327" t="s">
        <v>91</v>
      </c>
      <c r="I76" s="1328" t="s">
        <v>1086</v>
      </c>
      <c r="J76" s="1329" t="s">
        <v>22</v>
      </c>
      <c r="K76" s="1330" t="s">
        <v>1090</v>
      </c>
      <c r="L76" s="1058" t="s">
        <v>19</v>
      </c>
      <c r="M76" s="1060"/>
      <c r="N76" s="241"/>
      <c r="O76" s="242" t="s">
        <v>387</v>
      </c>
      <c r="P76" s="243"/>
      <c r="Q76" s="243"/>
      <c r="R76" s="243"/>
      <c r="S76" s="243"/>
      <c r="T76" s="243"/>
      <c r="U76" s="243"/>
      <c r="V76" s="243"/>
      <c r="W76" s="243"/>
      <c r="X76" s="243"/>
      <c r="Y76" s="243"/>
      <c r="Z76" s="243"/>
      <c r="AA76" s="243"/>
      <c r="AB76" s="243"/>
      <c r="AC76" s="243"/>
      <c r="AD76" s="243"/>
      <c r="AE76" s="243"/>
      <c r="AF76" s="1331">
        <v>4</v>
      </c>
      <c r="AG76" s="1332" t="s">
        <v>1055</v>
      </c>
      <c r="AH76" s="1332" t="s">
        <v>1091</v>
      </c>
      <c r="AI76" s="1331">
        <v>4</v>
      </c>
      <c r="AJ76" s="1332" t="s">
        <v>1055</v>
      </c>
      <c r="AK76" s="1332" t="s">
        <v>1091</v>
      </c>
      <c r="AL76" s="771"/>
    </row>
    <row r="77" spans="1:38" ht="11.25" customHeight="1">
      <c r="A77" s="1029" t="s">
        <v>1021</v>
      </c>
      <c r="E77" s="556"/>
      <c r="F77" s="1354"/>
      <c r="G77" s="1326"/>
      <c r="H77" s="1327" t="s">
        <v>115</v>
      </c>
      <c r="I77" s="1328"/>
      <c r="J77" s="1329"/>
      <c r="K77" s="1330"/>
      <c r="L77" s="1058"/>
      <c r="M77" s="1060"/>
      <c r="N77" s="1333"/>
      <c r="O77" s="1334">
        <v>1</v>
      </c>
      <c r="P77" s="1335" t="s">
        <v>61</v>
      </c>
      <c r="Q77" s="1339" t="s">
        <v>1074</v>
      </c>
      <c r="R77" s="1340" t="s">
        <v>1058</v>
      </c>
      <c r="S77" s="1340" t="s">
        <v>99</v>
      </c>
      <c r="T77" s="1340" t="s">
        <v>99</v>
      </c>
      <c r="U77" s="1340" t="s">
        <v>100</v>
      </c>
      <c r="V77" s="1340" t="s">
        <v>1059</v>
      </c>
      <c r="W77" s="1340" t="s">
        <v>1060</v>
      </c>
      <c r="X77" s="1340" t="s">
        <v>1070</v>
      </c>
      <c r="Y77" s="1340" t="s">
        <v>1075</v>
      </c>
      <c r="Z77" s="229"/>
      <c r="AA77" s="230"/>
      <c r="AB77" s="230"/>
      <c r="AC77" s="231"/>
      <c r="AD77" s="231"/>
      <c r="AE77" s="244"/>
      <c r="AF77" s="1331"/>
      <c r="AG77" s="1332"/>
      <c r="AH77" s="1332"/>
      <c r="AI77" s="1331"/>
      <c r="AJ77" s="1332"/>
      <c r="AK77" s="1332"/>
      <c r="AL77" s="771"/>
    </row>
    <row r="78" spans="1:38" ht="11.25" customHeight="1">
      <c r="A78" s="1029" t="s">
        <v>1021</v>
      </c>
      <c r="E78" s="556"/>
      <c r="F78" s="1354"/>
      <c r="G78" s="1326"/>
      <c r="H78" s="1327" t="s">
        <v>115</v>
      </c>
      <c r="I78" s="1328"/>
      <c r="J78" s="1329"/>
      <c r="K78" s="1330"/>
      <c r="L78" s="1058"/>
      <c r="M78" s="1060"/>
      <c r="N78" s="1333"/>
      <c r="O78" s="1334"/>
      <c r="P78" s="1336"/>
      <c r="Q78" s="1339"/>
      <c r="R78" s="1323"/>
      <c r="S78" s="1338"/>
      <c r="T78" s="1323"/>
      <c r="U78" s="1323"/>
      <c r="V78" s="1323"/>
      <c r="W78" s="1323"/>
      <c r="X78" s="1323"/>
      <c r="Y78" s="1323"/>
      <c r="AA78" s="777">
        <v>1</v>
      </c>
      <c r="AB78" s="778" t="s">
        <v>1063</v>
      </c>
      <c r="AC78" s="236">
        <v>47215.271999999997</v>
      </c>
      <c r="AD78" s="778" t="str">
        <f>AB78</f>
        <v xml:space="preserve">  Кредиты</v>
      </c>
      <c r="AE78" s="236">
        <f>AC78</f>
        <v>47215.271999999997</v>
      </c>
      <c r="AF78" s="1331"/>
      <c r="AG78" s="1332"/>
      <c r="AH78" s="1332"/>
      <c r="AI78" s="1331"/>
      <c r="AJ78" s="1332"/>
      <c r="AK78" s="1332"/>
      <c r="AL78" s="771"/>
    </row>
    <row r="79" spans="1:38" ht="11.25" customHeight="1">
      <c r="A79" s="1029" t="s">
        <v>1021</v>
      </c>
      <c r="E79" s="556"/>
      <c r="F79" s="1354"/>
      <c r="G79" s="1326"/>
      <c r="H79" s="1327" t="s">
        <v>115</v>
      </c>
      <c r="I79" s="1328"/>
      <c r="J79" s="1329"/>
      <c r="K79" s="1330"/>
      <c r="L79" s="1058"/>
      <c r="M79" s="1060"/>
      <c r="N79" s="1333"/>
      <c r="O79" s="1334"/>
      <c r="P79" s="1337"/>
      <c r="Q79" s="1339"/>
      <c r="R79" s="1323"/>
      <c r="S79" s="1338"/>
      <c r="T79" s="1323"/>
      <c r="U79" s="1323"/>
      <c r="V79" s="1323"/>
      <c r="W79" s="1323"/>
      <c r="X79" s="1323"/>
      <c r="Y79" s="1323"/>
      <c r="Z79" s="229"/>
      <c r="AA79" s="230"/>
      <c r="AB79" s="44" t="s">
        <v>1064</v>
      </c>
      <c r="AC79" s="231"/>
      <c r="AD79" s="231"/>
      <c r="AE79" s="245"/>
      <c r="AF79" s="1331"/>
      <c r="AG79" s="1332"/>
      <c r="AH79" s="1332"/>
      <c r="AI79" s="1331"/>
      <c r="AJ79" s="1332"/>
      <c r="AK79" s="1332"/>
      <c r="AL79" s="771"/>
    </row>
    <row r="80" spans="1:38" ht="11.25" customHeight="1">
      <c r="A80" s="1029" t="s">
        <v>1021</v>
      </c>
      <c r="E80" s="556"/>
      <c r="F80" s="1354"/>
      <c r="G80" s="1326"/>
      <c r="H80" s="1327" t="s">
        <v>115</v>
      </c>
      <c r="I80" s="1328"/>
      <c r="J80" s="1329"/>
      <c r="K80" s="1330"/>
      <c r="L80" s="1058"/>
      <c r="M80" s="1060"/>
      <c r="N80" s="229"/>
      <c r="O80" s="230"/>
      <c r="P80" s="44" t="s">
        <v>1065</v>
      </c>
      <c r="Q80" s="230"/>
      <c r="R80" s="230"/>
      <c r="S80" s="230"/>
      <c r="T80" s="230"/>
      <c r="U80" s="230"/>
      <c r="V80" s="230"/>
      <c r="W80" s="230"/>
      <c r="X80" s="230"/>
      <c r="Y80" s="230"/>
      <c r="Z80" s="230"/>
      <c r="AA80" s="230"/>
      <c r="AB80" s="230"/>
      <c r="AC80" s="230"/>
      <c r="AD80" s="230"/>
      <c r="AE80" s="246"/>
      <c r="AF80" s="1331"/>
      <c r="AG80" s="1332"/>
      <c r="AH80" s="1332"/>
      <c r="AI80" s="1331"/>
      <c r="AJ80" s="1332"/>
      <c r="AK80" s="1332"/>
      <c r="AL80" s="771"/>
    </row>
    <row r="81" spans="1:38" ht="11.25" customHeight="1">
      <c r="A81" s="1029" t="s">
        <v>1021</v>
      </c>
      <c r="B81" s="1029" t="s">
        <v>22</v>
      </c>
      <c r="E81" s="556"/>
      <c r="F81" s="1354"/>
      <c r="G81" s="1304" t="s">
        <v>103</v>
      </c>
      <c r="H81" s="1327" t="s">
        <v>92</v>
      </c>
      <c r="I81" s="1328" t="s">
        <v>1080</v>
      </c>
      <c r="J81" s="1329" t="s">
        <v>22</v>
      </c>
      <c r="K81" s="1330" t="s">
        <v>1081</v>
      </c>
      <c r="L81" s="1058" t="s">
        <v>19</v>
      </c>
      <c r="M81" s="1060"/>
      <c r="N81" s="241"/>
      <c r="O81" s="242" t="s">
        <v>387</v>
      </c>
      <c r="P81" s="243"/>
      <c r="Q81" s="243"/>
      <c r="R81" s="243"/>
      <c r="S81" s="243"/>
      <c r="T81" s="243"/>
      <c r="U81" s="243"/>
      <c r="V81" s="243"/>
      <c r="W81" s="243"/>
      <c r="X81" s="243"/>
      <c r="Y81" s="243"/>
      <c r="Z81" s="243"/>
      <c r="AA81" s="243"/>
      <c r="AB81" s="243"/>
      <c r="AC81" s="243"/>
      <c r="AD81" s="243"/>
      <c r="AE81" s="243"/>
      <c r="AF81" s="1331">
        <v>7</v>
      </c>
      <c r="AG81" s="1332" t="s">
        <v>1055</v>
      </c>
      <c r="AH81" s="1332" t="s">
        <v>1082</v>
      </c>
      <c r="AI81" s="1331">
        <v>7</v>
      </c>
      <c r="AJ81" s="1332" t="s">
        <v>1055</v>
      </c>
      <c r="AK81" s="1332" t="s">
        <v>1082</v>
      </c>
      <c r="AL81" s="771"/>
    </row>
    <row r="82" spans="1:38" ht="11.25" customHeight="1">
      <c r="A82" s="1029" t="s">
        <v>1021</v>
      </c>
      <c r="E82" s="556"/>
      <c r="F82" s="1354"/>
      <c r="G82" s="1326"/>
      <c r="H82" s="1327" t="s">
        <v>91</v>
      </c>
      <c r="I82" s="1328"/>
      <c r="J82" s="1329"/>
      <c r="K82" s="1330"/>
      <c r="L82" s="1058"/>
      <c r="M82" s="1060"/>
      <c r="N82" s="1333"/>
      <c r="O82" s="1334">
        <v>1</v>
      </c>
      <c r="P82" s="1335" t="s">
        <v>19</v>
      </c>
      <c r="Q82" s="1323" t="s">
        <v>22</v>
      </c>
      <c r="R82" s="1323" t="s">
        <v>22</v>
      </c>
      <c r="S82" s="1323" t="s">
        <v>22</v>
      </c>
      <c r="T82" s="1323" t="s">
        <v>22</v>
      </c>
      <c r="U82" s="1323" t="s">
        <v>22</v>
      </c>
      <c r="V82" s="1323" t="s">
        <v>22</v>
      </c>
      <c r="W82" s="1323" t="s">
        <v>22</v>
      </c>
      <c r="X82" s="1323" t="s">
        <v>22</v>
      </c>
      <c r="Y82" s="1323"/>
      <c r="Z82" s="229"/>
      <c r="AA82" s="230"/>
      <c r="AB82" s="230"/>
      <c r="AC82" s="231"/>
      <c r="AD82" s="231"/>
      <c r="AE82" s="244"/>
      <c r="AF82" s="1331"/>
      <c r="AG82" s="1332"/>
      <c r="AH82" s="1332"/>
      <c r="AI82" s="1331"/>
      <c r="AJ82" s="1332"/>
      <c r="AK82" s="1332"/>
      <c r="AL82" s="771"/>
    </row>
    <row r="83" spans="1:38" ht="11.25" customHeight="1">
      <c r="A83" s="1029" t="s">
        <v>1021</v>
      </c>
      <c r="E83" s="556"/>
      <c r="F83" s="1354"/>
      <c r="G83" s="1326"/>
      <c r="H83" s="1327" t="s">
        <v>91</v>
      </c>
      <c r="I83" s="1328"/>
      <c r="J83" s="1329"/>
      <c r="K83" s="1330"/>
      <c r="L83" s="1058"/>
      <c r="M83" s="1060"/>
      <c r="N83" s="1333"/>
      <c r="O83" s="1334"/>
      <c r="P83" s="1336"/>
      <c r="Q83" s="1323"/>
      <c r="R83" s="1323"/>
      <c r="S83" s="1338"/>
      <c r="T83" s="1323"/>
      <c r="U83" s="1323"/>
      <c r="V83" s="1323"/>
      <c r="W83" s="1323"/>
      <c r="X83" s="1323"/>
      <c r="Y83" s="1323"/>
      <c r="AA83" s="777">
        <v>1</v>
      </c>
      <c r="AB83" s="778" t="s">
        <v>1063</v>
      </c>
      <c r="AC83" s="236">
        <v>185689.34080000001</v>
      </c>
      <c r="AD83" s="778" t="str">
        <f>AB83</f>
        <v xml:space="preserve">  Кредиты</v>
      </c>
      <c r="AE83" s="236">
        <f>AC83</f>
        <v>185689.34080000001</v>
      </c>
      <c r="AF83" s="1331"/>
      <c r="AG83" s="1332"/>
      <c r="AH83" s="1332"/>
      <c r="AI83" s="1331"/>
      <c r="AJ83" s="1332"/>
      <c r="AK83" s="1332"/>
      <c r="AL83" s="771"/>
    </row>
    <row r="84" spans="1:38" ht="11.25" customHeight="1">
      <c r="A84" s="1029" t="s">
        <v>1021</v>
      </c>
      <c r="E84" s="556"/>
      <c r="F84" s="1354"/>
      <c r="G84" s="1326"/>
      <c r="H84" s="1327" t="s">
        <v>91</v>
      </c>
      <c r="I84" s="1328"/>
      <c r="J84" s="1329"/>
      <c r="K84" s="1330"/>
      <c r="L84" s="1058"/>
      <c r="M84" s="1060"/>
      <c r="N84" s="1333"/>
      <c r="O84" s="1334"/>
      <c r="P84" s="1337"/>
      <c r="Q84" s="1323"/>
      <c r="R84" s="1323"/>
      <c r="S84" s="1338"/>
      <c r="T84" s="1323"/>
      <c r="U84" s="1323"/>
      <c r="V84" s="1323"/>
      <c r="W84" s="1323"/>
      <c r="X84" s="1323"/>
      <c r="Y84" s="1323"/>
      <c r="Z84" s="229"/>
      <c r="AA84" s="230"/>
      <c r="AB84" s="44" t="s">
        <v>1064</v>
      </c>
      <c r="AC84" s="231"/>
      <c r="AD84" s="231"/>
      <c r="AE84" s="245"/>
      <c r="AF84" s="1331"/>
      <c r="AG84" s="1332"/>
      <c r="AH84" s="1332"/>
      <c r="AI84" s="1331"/>
      <c r="AJ84" s="1332"/>
      <c r="AK84" s="1332"/>
      <c r="AL84" s="771"/>
    </row>
    <row r="85" spans="1:38" ht="11.25" customHeight="1">
      <c r="A85" s="1029" t="s">
        <v>1021</v>
      </c>
      <c r="E85" s="556"/>
      <c r="F85" s="1354"/>
      <c r="G85" s="1326"/>
      <c r="H85" s="1327" t="s">
        <v>91</v>
      </c>
      <c r="I85" s="1328"/>
      <c r="J85" s="1329"/>
      <c r="K85" s="1330"/>
      <c r="L85" s="1058"/>
      <c r="M85" s="1060"/>
      <c r="N85" s="229"/>
      <c r="O85" s="230"/>
      <c r="P85" s="44" t="s">
        <v>1065</v>
      </c>
      <c r="Q85" s="230"/>
      <c r="R85" s="230"/>
      <c r="S85" s="230"/>
      <c r="T85" s="230"/>
      <c r="U85" s="230"/>
      <c r="V85" s="230"/>
      <c r="W85" s="230"/>
      <c r="X85" s="230"/>
      <c r="Y85" s="230"/>
      <c r="Z85" s="230"/>
      <c r="AA85" s="230"/>
      <c r="AB85" s="230"/>
      <c r="AC85" s="230"/>
      <c r="AD85" s="230"/>
      <c r="AE85" s="246"/>
      <c r="AF85" s="1331"/>
      <c r="AG85" s="1332"/>
      <c r="AH85" s="1332"/>
      <c r="AI85" s="1331"/>
      <c r="AJ85" s="1332"/>
      <c r="AK85" s="1332"/>
      <c r="AL85" s="771"/>
    </row>
    <row r="86" spans="1:38" ht="12" customHeight="1">
      <c r="A86" t="s">
        <v>1021</v>
      </c>
      <c r="E86" s="556"/>
      <c r="F86" s="1355"/>
      <c r="G86" s="774"/>
      <c r="H86" s="774"/>
      <c r="I86" s="1352" t="s">
        <v>1083</v>
      </c>
      <c r="J86" s="1352"/>
      <c r="K86" s="1352"/>
      <c r="L86" s="775"/>
      <c r="M86" s="775"/>
      <c r="N86" s="776"/>
      <c r="O86" s="776"/>
      <c r="P86" s="776"/>
      <c r="Q86" s="776"/>
      <c r="R86" s="776"/>
      <c r="S86" s="776"/>
      <c r="T86" s="776"/>
      <c r="U86" s="776"/>
      <c r="V86" s="776"/>
      <c r="W86" s="776"/>
      <c r="X86" s="776"/>
      <c r="Y86" s="776"/>
      <c r="Z86" s="776"/>
      <c r="AA86" s="776"/>
      <c r="AB86" s="776"/>
      <c r="AC86" s="776"/>
      <c r="AD86" s="776"/>
      <c r="AE86" s="776"/>
      <c r="AF86" s="776"/>
      <c r="AG86" s="775"/>
      <c r="AH86" s="775"/>
      <c r="AI86" s="776"/>
      <c r="AJ86" s="775"/>
      <c r="AK86" s="776"/>
      <c r="AL86" s="771"/>
    </row>
    <row r="87" spans="1:38" ht="0.75" customHeight="1">
      <c r="A87" t="s">
        <v>1021</v>
      </c>
      <c r="E87" s="556"/>
      <c r="F87" s="1353">
        <v>2016</v>
      </c>
      <c r="G87" s="1327"/>
      <c r="H87" s="1357" t="s">
        <v>387</v>
      </c>
      <c r="I87" s="1358"/>
      <c r="J87" s="1350"/>
      <c r="K87" s="1350"/>
      <c r="L87" s="1351"/>
      <c r="M87" s="1200"/>
      <c r="N87" s="214"/>
      <c r="O87" s="215"/>
      <c r="P87" s="214"/>
      <c r="Q87" s="214"/>
      <c r="R87" s="214"/>
      <c r="S87" s="214"/>
      <c r="T87" s="214"/>
      <c r="U87" s="214"/>
      <c r="V87" s="214"/>
      <c r="W87" s="214"/>
      <c r="X87" s="214"/>
      <c r="Y87" s="214"/>
      <c r="Z87" s="214"/>
      <c r="AA87" s="214"/>
      <c r="AB87" s="214"/>
      <c r="AC87" s="214"/>
      <c r="AD87" s="214"/>
      <c r="AE87" s="214"/>
      <c r="AF87" s="1356"/>
      <c r="AG87" s="1351"/>
      <c r="AH87" s="1351"/>
      <c r="AI87" s="1356"/>
      <c r="AJ87" s="1351"/>
      <c r="AK87" s="1351"/>
      <c r="AL87" s="771"/>
    </row>
    <row r="88" spans="1:38" ht="0.75" customHeight="1">
      <c r="A88" t="s">
        <v>1021</v>
      </c>
      <c r="E88" s="556"/>
      <c r="F88" s="1353"/>
      <c r="G88" s="1327"/>
      <c r="H88" s="1357"/>
      <c r="I88" s="1358"/>
      <c r="J88" s="1350"/>
      <c r="K88" s="1350"/>
      <c r="L88" s="1351"/>
      <c r="M88" s="1200"/>
      <c r="N88" s="1359"/>
      <c r="O88" s="1360"/>
      <c r="P88" s="1347"/>
      <c r="Q88" s="1350"/>
      <c r="R88" s="1350"/>
      <c r="S88" s="1350"/>
      <c r="T88" s="1350"/>
      <c r="U88" s="1350"/>
      <c r="V88" s="1350"/>
      <c r="W88" s="1350"/>
      <c r="X88" s="1350"/>
      <c r="Y88" s="1350"/>
      <c r="Z88" s="216"/>
      <c r="AA88" s="217"/>
      <c r="AB88" s="217"/>
      <c r="AC88" s="218"/>
      <c r="AD88" s="218"/>
      <c r="AE88" s="219"/>
      <c r="AF88" s="1356"/>
      <c r="AG88" s="1351"/>
      <c r="AH88" s="1351"/>
      <c r="AI88" s="1356"/>
      <c r="AJ88" s="1351"/>
      <c r="AK88" s="1351"/>
      <c r="AL88" s="771"/>
    </row>
    <row r="89" spans="1:38" ht="0.75" customHeight="1">
      <c r="A89" t="s">
        <v>1021</v>
      </c>
      <c r="E89" s="556"/>
      <c r="F89" s="1353"/>
      <c r="G89" s="1327"/>
      <c r="H89" s="1357"/>
      <c r="I89" s="1358"/>
      <c r="J89" s="1350"/>
      <c r="K89" s="1350"/>
      <c r="L89" s="1351"/>
      <c r="M89" s="1200"/>
      <c r="N89" s="1359"/>
      <c r="O89" s="1360"/>
      <c r="P89" s="1348"/>
      <c r="Q89" s="1350"/>
      <c r="R89" s="1350"/>
      <c r="S89" s="1350"/>
      <c r="T89" s="1350"/>
      <c r="U89" s="1350"/>
      <c r="V89" s="1350"/>
      <c r="W89" s="1350"/>
      <c r="X89" s="1350"/>
      <c r="Y89" s="1350"/>
      <c r="AA89" s="772"/>
      <c r="AB89" s="773"/>
      <c r="AC89" s="220"/>
      <c r="AD89" s="773"/>
      <c r="AE89" s="220"/>
      <c r="AF89" s="1356"/>
      <c r="AG89" s="1351"/>
      <c r="AH89" s="1351"/>
      <c r="AI89" s="1356"/>
      <c r="AJ89" s="1351"/>
      <c r="AK89" s="1351"/>
      <c r="AL89" s="771"/>
    </row>
    <row r="90" spans="1:38" ht="0.75" customHeight="1">
      <c r="A90" t="s">
        <v>1021</v>
      </c>
      <c r="E90" s="556"/>
      <c r="F90" s="1353"/>
      <c r="G90" s="1327"/>
      <c r="H90" s="1357"/>
      <c r="I90" s="1358"/>
      <c r="J90" s="1350"/>
      <c r="K90" s="1350"/>
      <c r="L90" s="1351"/>
      <c r="M90" s="1200"/>
      <c r="N90" s="1359"/>
      <c r="O90" s="1360"/>
      <c r="P90" s="1349"/>
      <c r="Q90" s="1350"/>
      <c r="R90" s="1350"/>
      <c r="S90" s="1350"/>
      <c r="T90" s="1350"/>
      <c r="U90" s="1350"/>
      <c r="V90" s="1350"/>
      <c r="W90" s="1350"/>
      <c r="X90" s="1350"/>
      <c r="Y90" s="1350"/>
      <c r="Z90" s="216"/>
      <c r="AA90" s="217"/>
      <c r="AB90" s="221"/>
      <c r="AC90" s="218"/>
      <c r="AD90" s="218"/>
      <c r="AE90" s="222"/>
      <c r="AF90" s="1356"/>
      <c r="AG90" s="1351"/>
      <c r="AH90" s="1351"/>
      <c r="AI90" s="1356"/>
      <c r="AJ90" s="1351"/>
      <c r="AK90" s="1351"/>
      <c r="AL90" s="771"/>
    </row>
    <row r="91" spans="1:38" ht="0.75" customHeight="1">
      <c r="A91" t="s">
        <v>1021</v>
      </c>
      <c r="E91" s="556"/>
      <c r="F91" s="1353"/>
      <c r="G91" s="1327"/>
      <c r="H91" s="1357"/>
      <c r="I91" s="1358"/>
      <c r="J91" s="1350"/>
      <c r="K91" s="1350"/>
      <c r="L91" s="1351"/>
      <c r="M91" s="1200"/>
      <c r="N91" s="217"/>
      <c r="O91" s="217"/>
      <c r="P91" s="221"/>
      <c r="Q91" s="217"/>
      <c r="R91" s="217"/>
      <c r="S91" s="217"/>
      <c r="T91" s="217"/>
      <c r="U91" s="217"/>
      <c r="V91" s="217"/>
      <c r="W91" s="217"/>
      <c r="X91" s="217"/>
      <c r="Y91" s="217"/>
      <c r="Z91" s="217"/>
      <c r="AA91" s="217"/>
      <c r="AB91" s="217"/>
      <c r="AC91" s="217"/>
      <c r="AD91" s="217"/>
      <c r="AE91" s="223"/>
      <c r="AF91" s="1356"/>
      <c r="AG91" s="1351"/>
      <c r="AH91" s="1351"/>
      <c r="AI91" s="1356"/>
      <c r="AJ91" s="1351"/>
      <c r="AK91" s="1351"/>
      <c r="AL91" s="771"/>
    </row>
    <row r="92" spans="1:38" ht="11.25" customHeight="1">
      <c r="A92" s="1029" t="s">
        <v>1021</v>
      </c>
      <c r="B92" s="1029" t="s">
        <v>22</v>
      </c>
      <c r="E92" s="556"/>
      <c r="F92" s="1354"/>
      <c r="G92" s="1304" t="s">
        <v>103</v>
      </c>
      <c r="H92" s="1327" t="s">
        <v>114</v>
      </c>
      <c r="I92" s="1328" t="s">
        <v>1080</v>
      </c>
      <c r="J92" s="1329" t="s">
        <v>22</v>
      </c>
      <c r="K92" s="1330" t="s">
        <v>1081</v>
      </c>
      <c r="L92" s="1058" t="s">
        <v>19</v>
      </c>
      <c r="M92" s="1060"/>
      <c r="N92" s="241"/>
      <c r="O92" s="242" t="s">
        <v>387</v>
      </c>
      <c r="P92" s="243"/>
      <c r="Q92" s="243"/>
      <c r="R92" s="243"/>
      <c r="S92" s="243"/>
      <c r="T92" s="243"/>
      <c r="U92" s="243"/>
      <c r="V92" s="243"/>
      <c r="W92" s="243"/>
      <c r="X92" s="243"/>
      <c r="Y92" s="243"/>
      <c r="Z92" s="243"/>
      <c r="AA92" s="243"/>
      <c r="AB92" s="243"/>
      <c r="AC92" s="243"/>
      <c r="AD92" s="243"/>
      <c r="AE92" s="243"/>
      <c r="AF92" s="1331">
        <v>6</v>
      </c>
      <c r="AG92" s="1332" t="s">
        <v>1055</v>
      </c>
      <c r="AH92" s="1332" t="s">
        <v>1082</v>
      </c>
      <c r="AI92" s="1331">
        <v>6</v>
      </c>
      <c r="AJ92" s="1332" t="s">
        <v>1055</v>
      </c>
      <c r="AK92" s="1332" t="s">
        <v>1082</v>
      </c>
      <c r="AL92" s="771"/>
    </row>
    <row r="93" spans="1:38" ht="11.25" customHeight="1">
      <c r="A93" s="1029" t="s">
        <v>1021</v>
      </c>
      <c r="E93" s="556"/>
      <c r="F93" s="1354"/>
      <c r="G93" s="1326"/>
      <c r="H93" s="1327" t="s">
        <v>387</v>
      </c>
      <c r="I93" s="1328"/>
      <c r="J93" s="1329"/>
      <c r="K93" s="1330"/>
      <c r="L93" s="1058"/>
      <c r="M93" s="1060"/>
      <c r="N93" s="1333"/>
      <c r="O93" s="1334">
        <v>1</v>
      </c>
      <c r="P93" s="1335" t="s">
        <v>19</v>
      </c>
      <c r="Q93" s="1323" t="s">
        <v>22</v>
      </c>
      <c r="R93" s="1323" t="s">
        <v>22</v>
      </c>
      <c r="S93" s="1323" t="s">
        <v>22</v>
      </c>
      <c r="T93" s="1323" t="s">
        <v>22</v>
      </c>
      <c r="U93" s="1323" t="s">
        <v>22</v>
      </c>
      <c r="V93" s="1323" t="s">
        <v>22</v>
      </c>
      <c r="W93" s="1323" t="s">
        <v>22</v>
      </c>
      <c r="X93" s="1323" t="s">
        <v>22</v>
      </c>
      <c r="Y93" s="1323"/>
      <c r="Z93" s="229"/>
      <c r="AA93" s="230"/>
      <c r="AB93" s="230"/>
      <c r="AC93" s="231"/>
      <c r="AD93" s="231"/>
      <c r="AE93" s="244"/>
      <c r="AF93" s="1331"/>
      <c r="AG93" s="1332"/>
      <c r="AH93" s="1332"/>
      <c r="AI93" s="1331"/>
      <c r="AJ93" s="1332"/>
      <c r="AK93" s="1332"/>
      <c r="AL93" s="771"/>
    </row>
    <row r="94" spans="1:38" ht="11.25" customHeight="1">
      <c r="A94" s="1029" t="s">
        <v>1021</v>
      </c>
      <c r="E94" s="556"/>
      <c r="F94" s="1354"/>
      <c r="G94" s="1326"/>
      <c r="H94" s="1327" t="s">
        <v>387</v>
      </c>
      <c r="I94" s="1328"/>
      <c r="J94" s="1329"/>
      <c r="K94" s="1330"/>
      <c r="L94" s="1058"/>
      <c r="M94" s="1060"/>
      <c r="N94" s="1333"/>
      <c r="O94" s="1334"/>
      <c r="P94" s="1336"/>
      <c r="Q94" s="1323"/>
      <c r="R94" s="1323"/>
      <c r="S94" s="1338"/>
      <c r="T94" s="1323"/>
      <c r="U94" s="1323"/>
      <c r="V94" s="1323"/>
      <c r="W94" s="1323"/>
      <c r="X94" s="1323"/>
      <c r="Y94" s="1323"/>
      <c r="AA94" s="777">
        <v>1</v>
      </c>
      <c r="AB94" s="778" t="s">
        <v>1063</v>
      </c>
      <c r="AC94" s="236">
        <v>50303.4</v>
      </c>
      <c r="AD94" s="778" t="str">
        <f>AB94</f>
        <v xml:space="preserve">  Кредиты</v>
      </c>
      <c r="AE94" s="236">
        <f>AC94</f>
        <v>50303.4</v>
      </c>
      <c r="AF94" s="1331"/>
      <c r="AG94" s="1332"/>
      <c r="AH94" s="1332"/>
      <c r="AI94" s="1331"/>
      <c r="AJ94" s="1332"/>
      <c r="AK94" s="1332"/>
      <c r="AL94" s="771"/>
    </row>
    <row r="95" spans="1:38" ht="11.25" customHeight="1">
      <c r="A95" s="1029" t="s">
        <v>1021</v>
      </c>
      <c r="E95" s="556"/>
      <c r="F95" s="1354"/>
      <c r="G95" s="1326"/>
      <c r="H95" s="1327" t="s">
        <v>387</v>
      </c>
      <c r="I95" s="1328"/>
      <c r="J95" s="1329"/>
      <c r="K95" s="1330"/>
      <c r="L95" s="1058"/>
      <c r="M95" s="1060"/>
      <c r="N95" s="1333"/>
      <c r="O95" s="1334"/>
      <c r="P95" s="1337"/>
      <c r="Q95" s="1323"/>
      <c r="R95" s="1323"/>
      <c r="S95" s="1338"/>
      <c r="T95" s="1323"/>
      <c r="U95" s="1323"/>
      <c r="V95" s="1323"/>
      <c r="W95" s="1323"/>
      <c r="X95" s="1323"/>
      <c r="Y95" s="1323"/>
      <c r="Z95" s="229"/>
      <c r="AA95" s="230"/>
      <c r="AB95" s="44" t="s">
        <v>1064</v>
      </c>
      <c r="AC95" s="231"/>
      <c r="AD95" s="231"/>
      <c r="AE95" s="245"/>
      <c r="AF95" s="1331"/>
      <c r="AG95" s="1332"/>
      <c r="AH95" s="1332"/>
      <c r="AI95" s="1331"/>
      <c r="AJ95" s="1332"/>
      <c r="AK95" s="1332"/>
      <c r="AL95" s="771"/>
    </row>
    <row r="96" spans="1:38" ht="11.25" customHeight="1">
      <c r="A96" s="1029" t="s">
        <v>1021</v>
      </c>
      <c r="E96" s="556"/>
      <c r="F96" s="1354"/>
      <c r="G96" s="1326"/>
      <c r="H96" s="1327" t="s">
        <v>387</v>
      </c>
      <c r="I96" s="1328"/>
      <c r="J96" s="1329"/>
      <c r="K96" s="1330"/>
      <c r="L96" s="1058"/>
      <c r="M96" s="1060"/>
      <c r="N96" s="229"/>
      <c r="O96" s="230"/>
      <c r="P96" s="44" t="s">
        <v>1065</v>
      </c>
      <c r="Q96" s="230"/>
      <c r="R96" s="230"/>
      <c r="S96" s="230"/>
      <c r="T96" s="230"/>
      <c r="U96" s="230"/>
      <c r="V96" s="230"/>
      <c r="W96" s="230"/>
      <c r="X96" s="230"/>
      <c r="Y96" s="230"/>
      <c r="Z96" s="230"/>
      <c r="AA96" s="230"/>
      <c r="AB96" s="230"/>
      <c r="AC96" s="230"/>
      <c r="AD96" s="230"/>
      <c r="AE96" s="246"/>
      <c r="AF96" s="1331"/>
      <c r="AG96" s="1332"/>
      <c r="AH96" s="1332"/>
      <c r="AI96" s="1331"/>
      <c r="AJ96" s="1332"/>
      <c r="AK96" s="1332"/>
      <c r="AL96" s="771"/>
    </row>
    <row r="97" spans="1:38" ht="12" customHeight="1">
      <c r="A97" t="s">
        <v>1021</v>
      </c>
      <c r="E97" s="556"/>
      <c r="F97" s="1355"/>
      <c r="G97" s="774"/>
      <c r="H97" s="774"/>
      <c r="I97" s="1352" t="s">
        <v>1083</v>
      </c>
      <c r="J97" s="1352"/>
      <c r="K97" s="1352"/>
      <c r="L97" s="775"/>
      <c r="M97" s="775"/>
      <c r="N97" s="776"/>
      <c r="O97" s="776"/>
      <c r="P97" s="776"/>
      <c r="Q97" s="776"/>
      <c r="R97" s="776"/>
      <c r="S97" s="776"/>
      <c r="T97" s="776"/>
      <c r="U97" s="776"/>
      <c r="V97" s="776"/>
      <c r="W97" s="776"/>
      <c r="X97" s="776"/>
      <c r="Y97" s="776"/>
      <c r="Z97" s="776"/>
      <c r="AA97" s="776"/>
      <c r="AB97" s="776"/>
      <c r="AC97" s="776"/>
      <c r="AD97" s="776"/>
      <c r="AE97" s="776"/>
      <c r="AF97" s="776"/>
      <c r="AG97" s="775"/>
      <c r="AH97" s="775"/>
      <c r="AI97" s="776"/>
      <c r="AJ97" s="775"/>
      <c r="AK97" s="776"/>
      <c r="AL97" s="771"/>
    </row>
    <row r="98" spans="1:38" ht="0.75" customHeight="1">
      <c r="A98" t="s">
        <v>1021</v>
      </c>
      <c r="E98" s="556"/>
      <c r="F98" s="1353">
        <v>2017</v>
      </c>
      <c r="G98" s="1327"/>
      <c r="H98" s="1357" t="s">
        <v>387</v>
      </c>
      <c r="I98" s="1358"/>
      <c r="J98" s="1350"/>
      <c r="K98" s="1350"/>
      <c r="L98" s="1351"/>
      <c r="M98" s="1200"/>
      <c r="N98" s="214"/>
      <c r="O98" s="215"/>
      <c r="P98" s="214"/>
      <c r="Q98" s="214"/>
      <c r="R98" s="214"/>
      <c r="S98" s="214"/>
      <c r="T98" s="214"/>
      <c r="U98" s="214"/>
      <c r="V98" s="214"/>
      <c r="W98" s="214"/>
      <c r="X98" s="214"/>
      <c r="Y98" s="214"/>
      <c r="Z98" s="214"/>
      <c r="AA98" s="214"/>
      <c r="AB98" s="214"/>
      <c r="AC98" s="214"/>
      <c r="AD98" s="214"/>
      <c r="AE98" s="214"/>
      <c r="AF98" s="1356"/>
      <c r="AG98" s="1351"/>
      <c r="AH98" s="1351"/>
      <c r="AI98" s="1356"/>
      <c r="AJ98" s="1351"/>
      <c r="AK98" s="1351"/>
      <c r="AL98" s="771"/>
    </row>
    <row r="99" spans="1:38" ht="0.75" customHeight="1">
      <c r="A99" t="s">
        <v>1021</v>
      </c>
      <c r="E99" s="556"/>
      <c r="F99" s="1353"/>
      <c r="G99" s="1327"/>
      <c r="H99" s="1357"/>
      <c r="I99" s="1358"/>
      <c r="J99" s="1350"/>
      <c r="K99" s="1350"/>
      <c r="L99" s="1351"/>
      <c r="M99" s="1200"/>
      <c r="N99" s="1359"/>
      <c r="O99" s="1360"/>
      <c r="P99" s="1347"/>
      <c r="Q99" s="1350"/>
      <c r="R99" s="1350"/>
      <c r="S99" s="1350"/>
      <c r="T99" s="1350"/>
      <c r="U99" s="1350"/>
      <c r="V99" s="1350"/>
      <c r="W99" s="1350"/>
      <c r="X99" s="1350"/>
      <c r="Y99" s="1350"/>
      <c r="Z99" s="216"/>
      <c r="AA99" s="217"/>
      <c r="AB99" s="217"/>
      <c r="AC99" s="218"/>
      <c r="AD99" s="218"/>
      <c r="AE99" s="219"/>
      <c r="AF99" s="1356"/>
      <c r="AG99" s="1351"/>
      <c r="AH99" s="1351"/>
      <c r="AI99" s="1356"/>
      <c r="AJ99" s="1351"/>
      <c r="AK99" s="1351"/>
      <c r="AL99" s="771"/>
    </row>
    <row r="100" spans="1:38" ht="0.75" customHeight="1">
      <c r="A100" t="s">
        <v>1021</v>
      </c>
      <c r="E100" s="556"/>
      <c r="F100" s="1353"/>
      <c r="G100" s="1327"/>
      <c r="H100" s="1357"/>
      <c r="I100" s="1358"/>
      <c r="J100" s="1350"/>
      <c r="K100" s="1350"/>
      <c r="L100" s="1351"/>
      <c r="M100" s="1200"/>
      <c r="N100" s="1359"/>
      <c r="O100" s="1360"/>
      <c r="P100" s="1348"/>
      <c r="Q100" s="1350"/>
      <c r="R100" s="1350"/>
      <c r="S100" s="1350"/>
      <c r="T100" s="1350"/>
      <c r="U100" s="1350"/>
      <c r="V100" s="1350"/>
      <c r="W100" s="1350"/>
      <c r="X100" s="1350"/>
      <c r="Y100" s="1350"/>
      <c r="AA100" s="772"/>
      <c r="AB100" s="773"/>
      <c r="AC100" s="220"/>
      <c r="AD100" s="773"/>
      <c r="AE100" s="220"/>
      <c r="AF100" s="1356"/>
      <c r="AG100" s="1351"/>
      <c r="AH100" s="1351"/>
      <c r="AI100" s="1356"/>
      <c r="AJ100" s="1351"/>
      <c r="AK100" s="1351"/>
      <c r="AL100" s="771"/>
    </row>
    <row r="101" spans="1:38" ht="0.75" customHeight="1">
      <c r="A101" t="s">
        <v>1021</v>
      </c>
      <c r="E101" s="556"/>
      <c r="F101" s="1353"/>
      <c r="G101" s="1327"/>
      <c r="H101" s="1357"/>
      <c r="I101" s="1358"/>
      <c r="J101" s="1350"/>
      <c r="K101" s="1350"/>
      <c r="L101" s="1351"/>
      <c r="M101" s="1200"/>
      <c r="N101" s="1359"/>
      <c r="O101" s="1360"/>
      <c r="P101" s="1349"/>
      <c r="Q101" s="1350"/>
      <c r="R101" s="1350"/>
      <c r="S101" s="1350"/>
      <c r="T101" s="1350"/>
      <c r="U101" s="1350"/>
      <c r="V101" s="1350"/>
      <c r="W101" s="1350"/>
      <c r="X101" s="1350"/>
      <c r="Y101" s="1350"/>
      <c r="Z101" s="216"/>
      <c r="AA101" s="217"/>
      <c r="AB101" s="221"/>
      <c r="AC101" s="218"/>
      <c r="AD101" s="218"/>
      <c r="AE101" s="222"/>
      <c r="AF101" s="1356"/>
      <c r="AG101" s="1351"/>
      <c r="AH101" s="1351"/>
      <c r="AI101" s="1356"/>
      <c r="AJ101" s="1351"/>
      <c r="AK101" s="1351"/>
      <c r="AL101" s="771"/>
    </row>
    <row r="102" spans="1:38" ht="0.75" customHeight="1">
      <c r="A102" t="s">
        <v>1021</v>
      </c>
      <c r="E102" s="556"/>
      <c r="F102" s="1353"/>
      <c r="G102" s="1327"/>
      <c r="H102" s="1357"/>
      <c r="I102" s="1358"/>
      <c r="J102" s="1350"/>
      <c r="K102" s="1350"/>
      <c r="L102" s="1351"/>
      <c r="M102" s="1200"/>
      <c r="N102" s="217"/>
      <c r="O102" s="217"/>
      <c r="P102" s="221"/>
      <c r="Q102" s="217"/>
      <c r="R102" s="217"/>
      <c r="S102" s="217"/>
      <c r="T102" s="217"/>
      <c r="U102" s="217"/>
      <c r="V102" s="217"/>
      <c r="W102" s="217"/>
      <c r="X102" s="217"/>
      <c r="Y102" s="217"/>
      <c r="Z102" s="217"/>
      <c r="AA102" s="217"/>
      <c r="AB102" s="217"/>
      <c r="AC102" s="217"/>
      <c r="AD102" s="217"/>
      <c r="AE102" s="223"/>
      <c r="AF102" s="1356"/>
      <c r="AG102" s="1351"/>
      <c r="AH102" s="1351"/>
      <c r="AI102" s="1356"/>
      <c r="AJ102" s="1351"/>
      <c r="AK102" s="1351"/>
      <c r="AL102" s="771"/>
    </row>
    <row r="103" spans="1:38" ht="11.25" customHeight="1">
      <c r="A103" s="1029" t="s">
        <v>1021</v>
      </c>
      <c r="B103" s="1029" t="s">
        <v>22</v>
      </c>
      <c r="E103" s="556"/>
      <c r="F103" s="1354"/>
      <c r="G103" s="1304" t="s">
        <v>103</v>
      </c>
      <c r="H103" s="1327" t="s">
        <v>114</v>
      </c>
      <c r="I103" s="1328" t="s">
        <v>1053</v>
      </c>
      <c r="J103" s="1329" t="s">
        <v>22</v>
      </c>
      <c r="K103" s="1330" t="s">
        <v>1092</v>
      </c>
      <c r="L103" s="1058" t="s">
        <v>19</v>
      </c>
      <c r="M103" s="1060"/>
      <c r="N103" s="241"/>
      <c r="O103" s="242" t="s">
        <v>387</v>
      </c>
      <c r="P103" s="243"/>
      <c r="Q103" s="243"/>
      <c r="R103" s="243"/>
      <c r="S103" s="243"/>
      <c r="T103" s="243"/>
      <c r="U103" s="243"/>
      <c r="V103" s="243"/>
      <c r="W103" s="243"/>
      <c r="X103" s="243"/>
      <c r="Y103" s="243"/>
      <c r="Z103" s="243"/>
      <c r="AA103" s="243"/>
      <c r="AB103" s="243"/>
      <c r="AC103" s="243"/>
      <c r="AD103" s="243"/>
      <c r="AE103" s="243"/>
      <c r="AF103" s="1331">
        <v>6</v>
      </c>
      <c r="AG103" s="1332" t="s">
        <v>1055</v>
      </c>
      <c r="AH103" s="1332" t="s">
        <v>1093</v>
      </c>
      <c r="AI103" s="1331">
        <v>6</v>
      </c>
      <c r="AJ103" s="1332" t="s">
        <v>1055</v>
      </c>
      <c r="AK103" s="1332" t="s">
        <v>1093</v>
      </c>
      <c r="AL103" s="771"/>
    </row>
    <row r="104" spans="1:38" ht="11.25" customHeight="1">
      <c r="A104" s="1029" t="s">
        <v>1021</v>
      </c>
      <c r="E104" s="556"/>
      <c r="F104" s="1354"/>
      <c r="G104" s="1326"/>
      <c r="H104" s="1327" t="s">
        <v>387</v>
      </c>
      <c r="I104" s="1328"/>
      <c r="J104" s="1329"/>
      <c r="K104" s="1330"/>
      <c r="L104" s="1058"/>
      <c r="M104" s="1060"/>
      <c r="N104" s="1333"/>
      <c r="O104" s="1334">
        <v>1</v>
      </c>
      <c r="P104" s="1335" t="s">
        <v>61</v>
      </c>
      <c r="Q104" s="1339" t="s">
        <v>1057</v>
      </c>
      <c r="R104" s="1340" t="s">
        <v>1058</v>
      </c>
      <c r="S104" s="1340" t="s">
        <v>99</v>
      </c>
      <c r="T104" s="1340" t="s">
        <v>99</v>
      </c>
      <c r="U104" s="1340" t="s">
        <v>100</v>
      </c>
      <c r="V104" s="1340" t="s">
        <v>1059</v>
      </c>
      <c r="W104" s="1340" t="s">
        <v>1060</v>
      </c>
      <c r="X104" s="1340" t="s">
        <v>1061</v>
      </c>
      <c r="Y104" s="1340" t="s">
        <v>1062</v>
      </c>
      <c r="Z104" s="229"/>
      <c r="AA104" s="230"/>
      <c r="AB104" s="230"/>
      <c r="AC104" s="231"/>
      <c r="AD104" s="231"/>
      <c r="AE104" s="244"/>
      <c r="AF104" s="1331"/>
      <c r="AG104" s="1332"/>
      <c r="AH104" s="1332"/>
      <c r="AI104" s="1331"/>
      <c r="AJ104" s="1332"/>
      <c r="AK104" s="1332"/>
      <c r="AL104" s="771"/>
    </row>
    <row r="105" spans="1:38" ht="11.25" customHeight="1">
      <c r="A105" s="1029" t="s">
        <v>1021</v>
      </c>
      <c r="E105" s="556"/>
      <c r="F105" s="1354"/>
      <c r="G105" s="1326"/>
      <c r="H105" s="1327" t="s">
        <v>387</v>
      </c>
      <c r="I105" s="1328"/>
      <c r="J105" s="1329"/>
      <c r="K105" s="1330"/>
      <c r="L105" s="1058"/>
      <c r="M105" s="1060"/>
      <c r="N105" s="1333"/>
      <c r="O105" s="1334"/>
      <c r="P105" s="1336"/>
      <c r="Q105" s="1339"/>
      <c r="R105" s="1323"/>
      <c r="S105" s="1338"/>
      <c r="T105" s="1323"/>
      <c r="U105" s="1323"/>
      <c r="V105" s="1323"/>
      <c r="W105" s="1323"/>
      <c r="X105" s="1323"/>
      <c r="Y105" s="1323"/>
      <c r="AA105" s="777">
        <v>1</v>
      </c>
      <c r="AB105" s="778" t="s">
        <v>1063</v>
      </c>
      <c r="AC105" s="236">
        <v>5566</v>
      </c>
      <c r="AD105" s="778" t="str">
        <f>AB105</f>
        <v xml:space="preserve">  Кредиты</v>
      </c>
      <c r="AE105" s="236">
        <f>AC105</f>
        <v>5566</v>
      </c>
      <c r="AF105" s="1331"/>
      <c r="AG105" s="1332"/>
      <c r="AH105" s="1332"/>
      <c r="AI105" s="1331"/>
      <c r="AJ105" s="1332"/>
      <c r="AK105" s="1332"/>
      <c r="AL105" s="771"/>
    </row>
    <row r="106" spans="1:38" ht="11.25" customHeight="1">
      <c r="A106" s="1029" t="s">
        <v>1021</v>
      </c>
      <c r="E106" s="556"/>
      <c r="F106" s="1354"/>
      <c r="G106" s="1326"/>
      <c r="H106" s="1327" t="s">
        <v>387</v>
      </c>
      <c r="I106" s="1328"/>
      <c r="J106" s="1329"/>
      <c r="K106" s="1330"/>
      <c r="L106" s="1058"/>
      <c r="M106" s="1060"/>
      <c r="N106" s="1333"/>
      <c r="O106" s="1334"/>
      <c r="P106" s="1337"/>
      <c r="Q106" s="1339"/>
      <c r="R106" s="1323"/>
      <c r="S106" s="1338"/>
      <c r="T106" s="1323"/>
      <c r="U106" s="1323"/>
      <c r="V106" s="1323"/>
      <c r="W106" s="1323"/>
      <c r="X106" s="1323"/>
      <c r="Y106" s="1323"/>
      <c r="Z106" s="229"/>
      <c r="AA106" s="230"/>
      <c r="AB106" s="44" t="s">
        <v>1064</v>
      </c>
      <c r="AC106" s="231"/>
      <c r="AD106" s="231"/>
      <c r="AE106" s="245"/>
      <c r="AF106" s="1331"/>
      <c r="AG106" s="1332"/>
      <c r="AH106" s="1332"/>
      <c r="AI106" s="1331"/>
      <c r="AJ106" s="1332"/>
      <c r="AK106" s="1332"/>
      <c r="AL106" s="771"/>
    </row>
    <row r="107" spans="1:38" ht="11.25" customHeight="1">
      <c r="A107" s="1029" t="s">
        <v>1021</v>
      </c>
      <c r="E107" s="556"/>
      <c r="F107" s="1354"/>
      <c r="G107" s="1326"/>
      <c r="H107" s="1327" t="s">
        <v>387</v>
      </c>
      <c r="I107" s="1328"/>
      <c r="J107" s="1329"/>
      <c r="K107" s="1330"/>
      <c r="L107" s="1058"/>
      <c r="M107" s="1060"/>
      <c r="N107" s="229"/>
      <c r="O107" s="230"/>
      <c r="P107" s="44" t="s">
        <v>1065</v>
      </c>
      <c r="Q107" s="230"/>
      <c r="R107" s="230"/>
      <c r="S107" s="230"/>
      <c r="T107" s="230"/>
      <c r="U107" s="230"/>
      <c r="V107" s="230"/>
      <c r="W107" s="230"/>
      <c r="X107" s="230"/>
      <c r="Y107" s="230"/>
      <c r="Z107" s="230"/>
      <c r="AA107" s="230"/>
      <c r="AB107" s="230"/>
      <c r="AC107" s="230"/>
      <c r="AD107" s="230"/>
      <c r="AE107" s="246"/>
      <c r="AF107" s="1331"/>
      <c r="AG107" s="1332"/>
      <c r="AH107" s="1332"/>
      <c r="AI107" s="1331"/>
      <c r="AJ107" s="1332"/>
      <c r="AK107" s="1332"/>
      <c r="AL107" s="771"/>
    </row>
    <row r="108" spans="1:38" ht="11.25" customHeight="1">
      <c r="A108" s="1029" t="s">
        <v>1021</v>
      </c>
      <c r="B108" s="1029" t="s">
        <v>22</v>
      </c>
      <c r="E108" s="556"/>
      <c r="F108" s="1354"/>
      <c r="G108" s="1304" t="s">
        <v>103</v>
      </c>
      <c r="H108" s="1327" t="s">
        <v>102</v>
      </c>
      <c r="I108" s="1328" t="s">
        <v>1053</v>
      </c>
      <c r="J108" s="1329" t="s">
        <v>22</v>
      </c>
      <c r="K108" s="1330" t="s">
        <v>1094</v>
      </c>
      <c r="L108" s="1058" t="s">
        <v>19</v>
      </c>
      <c r="M108" s="1060"/>
      <c r="N108" s="241"/>
      <c r="O108" s="242" t="s">
        <v>387</v>
      </c>
      <c r="P108" s="243"/>
      <c r="Q108" s="243"/>
      <c r="R108" s="243"/>
      <c r="S108" s="243"/>
      <c r="T108" s="243"/>
      <c r="U108" s="243"/>
      <c r="V108" s="243"/>
      <c r="W108" s="243"/>
      <c r="X108" s="243"/>
      <c r="Y108" s="243"/>
      <c r="Z108" s="243"/>
      <c r="AA108" s="243"/>
      <c r="AB108" s="243"/>
      <c r="AC108" s="243"/>
      <c r="AD108" s="243"/>
      <c r="AE108" s="243"/>
      <c r="AF108" s="1331">
        <v>4</v>
      </c>
      <c r="AG108" s="1332" t="s">
        <v>1055</v>
      </c>
      <c r="AH108" s="1332" t="s">
        <v>1095</v>
      </c>
      <c r="AI108" s="1331">
        <v>4</v>
      </c>
      <c r="AJ108" s="1332" t="s">
        <v>1055</v>
      </c>
      <c r="AK108" s="1332" t="s">
        <v>1095</v>
      </c>
      <c r="AL108" s="771"/>
    </row>
    <row r="109" spans="1:38" ht="11.25" customHeight="1">
      <c r="A109" s="1029" t="s">
        <v>1021</v>
      </c>
      <c r="E109" s="556"/>
      <c r="F109" s="1354"/>
      <c r="G109" s="1326"/>
      <c r="H109" s="1327" t="s">
        <v>114</v>
      </c>
      <c r="I109" s="1328"/>
      <c r="J109" s="1329"/>
      <c r="K109" s="1330"/>
      <c r="L109" s="1058"/>
      <c r="M109" s="1060"/>
      <c r="N109" s="1333"/>
      <c r="O109" s="1334">
        <v>1</v>
      </c>
      <c r="P109" s="1335" t="s">
        <v>61</v>
      </c>
      <c r="Q109" s="1339" t="s">
        <v>1069</v>
      </c>
      <c r="R109" s="1340" t="s">
        <v>1058</v>
      </c>
      <c r="S109" s="1340" t="s">
        <v>99</v>
      </c>
      <c r="T109" s="1340" t="s">
        <v>99</v>
      </c>
      <c r="U109" s="1340" t="s">
        <v>100</v>
      </c>
      <c r="V109" s="1340" t="s">
        <v>1059</v>
      </c>
      <c r="W109" s="1340" t="s">
        <v>1060</v>
      </c>
      <c r="X109" s="1340" t="s">
        <v>1070</v>
      </c>
      <c r="Y109" s="1340" t="s">
        <v>1071</v>
      </c>
      <c r="Z109" s="229"/>
      <c r="AA109" s="230"/>
      <c r="AB109" s="230"/>
      <c r="AC109" s="231"/>
      <c r="AD109" s="231"/>
      <c r="AE109" s="244"/>
      <c r="AF109" s="1331"/>
      <c r="AG109" s="1332"/>
      <c r="AH109" s="1332"/>
      <c r="AI109" s="1331"/>
      <c r="AJ109" s="1332"/>
      <c r="AK109" s="1332"/>
      <c r="AL109" s="771"/>
    </row>
    <row r="110" spans="1:38" ht="11.25" customHeight="1">
      <c r="A110" s="1029" t="s">
        <v>1021</v>
      </c>
      <c r="E110" s="556"/>
      <c r="F110" s="1354"/>
      <c r="G110" s="1326"/>
      <c r="H110" s="1327" t="s">
        <v>114</v>
      </c>
      <c r="I110" s="1328"/>
      <c r="J110" s="1329"/>
      <c r="K110" s="1330"/>
      <c r="L110" s="1058"/>
      <c r="M110" s="1060"/>
      <c r="N110" s="1333"/>
      <c r="O110" s="1334"/>
      <c r="P110" s="1336"/>
      <c r="Q110" s="1339"/>
      <c r="R110" s="1323"/>
      <c r="S110" s="1338"/>
      <c r="T110" s="1323"/>
      <c r="U110" s="1323"/>
      <c r="V110" s="1323"/>
      <c r="W110" s="1323"/>
      <c r="X110" s="1323"/>
      <c r="Y110" s="1323"/>
      <c r="AA110" s="777">
        <v>1</v>
      </c>
      <c r="AB110" s="778" t="s">
        <v>1063</v>
      </c>
      <c r="AC110" s="236">
        <v>5081</v>
      </c>
      <c r="AD110" s="778" t="str">
        <f>AB110</f>
        <v xml:space="preserve">  Кредиты</v>
      </c>
      <c r="AE110" s="236">
        <f>AC110</f>
        <v>5081</v>
      </c>
      <c r="AF110" s="1331"/>
      <c r="AG110" s="1332"/>
      <c r="AH110" s="1332"/>
      <c r="AI110" s="1331"/>
      <c r="AJ110" s="1332"/>
      <c r="AK110" s="1332"/>
      <c r="AL110" s="771"/>
    </row>
    <row r="111" spans="1:38" ht="11.25" customHeight="1">
      <c r="A111" s="1029" t="s">
        <v>1021</v>
      </c>
      <c r="E111" s="556"/>
      <c r="F111" s="1354"/>
      <c r="G111" s="1326"/>
      <c r="H111" s="1327" t="s">
        <v>114</v>
      </c>
      <c r="I111" s="1328"/>
      <c r="J111" s="1329"/>
      <c r="K111" s="1330"/>
      <c r="L111" s="1058"/>
      <c r="M111" s="1060"/>
      <c r="N111" s="1333"/>
      <c r="O111" s="1334"/>
      <c r="P111" s="1337"/>
      <c r="Q111" s="1339"/>
      <c r="R111" s="1323"/>
      <c r="S111" s="1338"/>
      <c r="T111" s="1323"/>
      <c r="U111" s="1323"/>
      <c r="V111" s="1323"/>
      <c r="W111" s="1323"/>
      <c r="X111" s="1323"/>
      <c r="Y111" s="1323"/>
      <c r="Z111" s="229"/>
      <c r="AA111" s="230"/>
      <c r="AB111" s="44" t="s">
        <v>1064</v>
      </c>
      <c r="AC111" s="231"/>
      <c r="AD111" s="231"/>
      <c r="AE111" s="245"/>
      <c r="AF111" s="1331"/>
      <c r="AG111" s="1332"/>
      <c r="AH111" s="1332"/>
      <c r="AI111" s="1331"/>
      <c r="AJ111" s="1332"/>
      <c r="AK111" s="1332"/>
      <c r="AL111" s="771"/>
    </row>
    <row r="112" spans="1:38" ht="11.25" customHeight="1">
      <c r="A112" s="1029" t="s">
        <v>1021</v>
      </c>
      <c r="E112" s="556"/>
      <c r="F112" s="1354"/>
      <c r="G112" s="1326"/>
      <c r="H112" s="1327" t="s">
        <v>114</v>
      </c>
      <c r="I112" s="1328"/>
      <c r="J112" s="1329"/>
      <c r="K112" s="1330"/>
      <c r="L112" s="1058"/>
      <c r="M112" s="1060"/>
      <c r="N112" s="229"/>
      <c r="O112" s="230"/>
      <c r="P112" s="44" t="s">
        <v>1065</v>
      </c>
      <c r="Q112" s="230"/>
      <c r="R112" s="230"/>
      <c r="S112" s="230"/>
      <c r="T112" s="230"/>
      <c r="U112" s="230"/>
      <c r="V112" s="230"/>
      <c r="W112" s="230"/>
      <c r="X112" s="230"/>
      <c r="Y112" s="230"/>
      <c r="Z112" s="230"/>
      <c r="AA112" s="230"/>
      <c r="AB112" s="230"/>
      <c r="AC112" s="230"/>
      <c r="AD112" s="230"/>
      <c r="AE112" s="246"/>
      <c r="AF112" s="1331"/>
      <c r="AG112" s="1332"/>
      <c r="AH112" s="1332"/>
      <c r="AI112" s="1331"/>
      <c r="AJ112" s="1332"/>
      <c r="AK112" s="1332"/>
      <c r="AL112" s="771"/>
    </row>
    <row r="113" spans="1:38" ht="11.25" customHeight="1">
      <c r="A113" s="1029" t="s">
        <v>1021</v>
      </c>
      <c r="B113" s="1029" t="s">
        <v>22</v>
      </c>
      <c r="E113" s="556"/>
      <c r="F113" s="1354"/>
      <c r="G113" s="1304" t="s">
        <v>103</v>
      </c>
      <c r="H113" s="1327" t="s">
        <v>89</v>
      </c>
      <c r="I113" s="1328" t="s">
        <v>1053</v>
      </c>
      <c r="J113" s="1329" t="s">
        <v>22</v>
      </c>
      <c r="K113" s="1330" t="s">
        <v>1096</v>
      </c>
      <c r="L113" s="1058" t="s">
        <v>19</v>
      </c>
      <c r="M113" s="1060"/>
      <c r="N113" s="241"/>
      <c r="O113" s="242" t="s">
        <v>387</v>
      </c>
      <c r="P113" s="243"/>
      <c r="Q113" s="243"/>
      <c r="R113" s="243"/>
      <c r="S113" s="243"/>
      <c r="T113" s="243"/>
      <c r="U113" s="243"/>
      <c r="V113" s="243"/>
      <c r="W113" s="243"/>
      <c r="X113" s="243"/>
      <c r="Y113" s="243"/>
      <c r="Z113" s="243"/>
      <c r="AA113" s="243"/>
      <c r="AB113" s="243"/>
      <c r="AC113" s="243"/>
      <c r="AD113" s="243"/>
      <c r="AE113" s="243"/>
      <c r="AF113" s="1331">
        <v>1</v>
      </c>
      <c r="AG113" s="1332" t="s">
        <v>1055</v>
      </c>
      <c r="AH113" s="1332" t="s">
        <v>1089</v>
      </c>
      <c r="AI113" s="1331">
        <v>1</v>
      </c>
      <c r="AJ113" s="1332" t="s">
        <v>1055</v>
      </c>
      <c r="AK113" s="1332" t="s">
        <v>1089</v>
      </c>
      <c r="AL113" s="771"/>
    </row>
    <row r="114" spans="1:38" ht="11.25" customHeight="1">
      <c r="A114" s="1029" t="s">
        <v>1021</v>
      </c>
      <c r="E114" s="556"/>
      <c r="F114" s="1354"/>
      <c r="G114" s="1326"/>
      <c r="H114" s="1327" t="s">
        <v>102</v>
      </c>
      <c r="I114" s="1328"/>
      <c r="J114" s="1329"/>
      <c r="K114" s="1330"/>
      <c r="L114" s="1058"/>
      <c r="M114" s="1060"/>
      <c r="N114" s="1333"/>
      <c r="O114" s="1334">
        <v>1</v>
      </c>
      <c r="P114" s="1335" t="s">
        <v>61</v>
      </c>
      <c r="Q114" s="1339" t="s">
        <v>1057</v>
      </c>
      <c r="R114" s="1340" t="s">
        <v>1058</v>
      </c>
      <c r="S114" s="1340" t="s">
        <v>99</v>
      </c>
      <c r="T114" s="1340" t="s">
        <v>99</v>
      </c>
      <c r="U114" s="1340" t="s">
        <v>100</v>
      </c>
      <c r="V114" s="1340" t="s">
        <v>1059</v>
      </c>
      <c r="W114" s="1340" t="s">
        <v>1060</v>
      </c>
      <c r="X114" s="1340" t="s">
        <v>1061</v>
      </c>
      <c r="Y114" s="1340" t="s">
        <v>1062</v>
      </c>
      <c r="Z114" s="229"/>
      <c r="AA114" s="230"/>
      <c r="AB114" s="230"/>
      <c r="AC114" s="231"/>
      <c r="AD114" s="231"/>
      <c r="AE114" s="244"/>
      <c r="AF114" s="1331"/>
      <c r="AG114" s="1332"/>
      <c r="AH114" s="1332"/>
      <c r="AI114" s="1331"/>
      <c r="AJ114" s="1332"/>
      <c r="AK114" s="1332"/>
      <c r="AL114" s="771"/>
    </row>
    <row r="115" spans="1:38" ht="11.25" customHeight="1">
      <c r="A115" s="1029" t="s">
        <v>1021</v>
      </c>
      <c r="E115" s="556"/>
      <c r="F115" s="1354"/>
      <c r="G115" s="1326"/>
      <c r="H115" s="1327" t="s">
        <v>102</v>
      </c>
      <c r="I115" s="1328"/>
      <c r="J115" s="1329"/>
      <c r="K115" s="1330"/>
      <c r="L115" s="1058"/>
      <c r="M115" s="1060"/>
      <c r="N115" s="1333"/>
      <c r="O115" s="1334"/>
      <c r="P115" s="1336"/>
      <c r="Q115" s="1339"/>
      <c r="R115" s="1323"/>
      <c r="S115" s="1338"/>
      <c r="T115" s="1323"/>
      <c r="U115" s="1323"/>
      <c r="V115" s="1323"/>
      <c r="W115" s="1323"/>
      <c r="X115" s="1323"/>
      <c r="Y115" s="1323"/>
      <c r="AA115" s="777">
        <v>1</v>
      </c>
      <c r="AB115" s="778" t="s">
        <v>1063</v>
      </c>
      <c r="AC115" s="236">
        <v>9825</v>
      </c>
      <c r="AD115" s="778" t="str">
        <f>AB115</f>
        <v xml:space="preserve">  Кредиты</v>
      </c>
      <c r="AE115" s="236">
        <f>AC115</f>
        <v>9825</v>
      </c>
      <c r="AF115" s="1331"/>
      <c r="AG115" s="1332"/>
      <c r="AH115" s="1332"/>
      <c r="AI115" s="1331"/>
      <c r="AJ115" s="1332"/>
      <c r="AK115" s="1332"/>
      <c r="AL115" s="771"/>
    </row>
    <row r="116" spans="1:38" ht="11.25" customHeight="1">
      <c r="A116" s="1029" t="s">
        <v>1021</v>
      </c>
      <c r="E116" s="556"/>
      <c r="F116" s="1354"/>
      <c r="G116" s="1326"/>
      <c r="H116" s="1327" t="s">
        <v>102</v>
      </c>
      <c r="I116" s="1328"/>
      <c r="J116" s="1329"/>
      <c r="K116" s="1330"/>
      <c r="L116" s="1058"/>
      <c r="M116" s="1060"/>
      <c r="N116" s="1333"/>
      <c r="O116" s="1334"/>
      <c r="P116" s="1337"/>
      <c r="Q116" s="1339"/>
      <c r="R116" s="1323"/>
      <c r="S116" s="1338"/>
      <c r="T116" s="1323"/>
      <c r="U116" s="1323"/>
      <c r="V116" s="1323"/>
      <c r="W116" s="1323"/>
      <c r="X116" s="1323"/>
      <c r="Y116" s="1323"/>
      <c r="Z116" s="229"/>
      <c r="AA116" s="230"/>
      <c r="AB116" s="44" t="s">
        <v>1064</v>
      </c>
      <c r="AC116" s="231"/>
      <c r="AD116" s="231"/>
      <c r="AE116" s="245"/>
      <c r="AF116" s="1331"/>
      <c r="AG116" s="1332"/>
      <c r="AH116" s="1332"/>
      <c r="AI116" s="1331"/>
      <c r="AJ116" s="1332"/>
      <c r="AK116" s="1332"/>
      <c r="AL116" s="771"/>
    </row>
    <row r="117" spans="1:38" ht="11.25" customHeight="1">
      <c r="A117" s="1029" t="s">
        <v>1021</v>
      </c>
      <c r="E117" s="556"/>
      <c r="F117" s="1354"/>
      <c r="G117" s="1326"/>
      <c r="H117" s="1327" t="s">
        <v>102</v>
      </c>
      <c r="I117" s="1328"/>
      <c r="J117" s="1329"/>
      <c r="K117" s="1330"/>
      <c r="L117" s="1058"/>
      <c r="M117" s="1060"/>
      <c r="N117" s="229"/>
      <c r="O117" s="230"/>
      <c r="P117" s="44" t="s">
        <v>1065</v>
      </c>
      <c r="Q117" s="230"/>
      <c r="R117" s="230"/>
      <c r="S117" s="230"/>
      <c r="T117" s="230"/>
      <c r="U117" s="230"/>
      <c r="V117" s="230"/>
      <c r="W117" s="230"/>
      <c r="X117" s="230"/>
      <c r="Y117" s="230"/>
      <c r="Z117" s="230"/>
      <c r="AA117" s="230"/>
      <c r="AB117" s="230"/>
      <c r="AC117" s="230"/>
      <c r="AD117" s="230"/>
      <c r="AE117" s="246"/>
      <c r="AF117" s="1331"/>
      <c r="AG117" s="1332"/>
      <c r="AH117" s="1332"/>
      <c r="AI117" s="1331"/>
      <c r="AJ117" s="1332"/>
      <c r="AK117" s="1332"/>
      <c r="AL117" s="771"/>
    </row>
    <row r="118" spans="1:38" ht="11.25" customHeight="1">
      <c r="A118" s="1029" t="s">
        <v>1021</v>
      </c>
      <c r="B118" s="1029" t="s">
        <v>1076</v>
      </c>
      <c r="E118" s="556"/>
      <c r="F118" s="1354"/>
      <c r="G118" s="1304" t="s">
        <v>103</v>
      </c>
      <c r="H118" s="1327" t="s">
        <v>90</v>
      </c>
      <c r="I118" s="1328" t="s">
        <v>1077</v>
      </c>
      <c r="J118" s="1341" t="s">
        <v>1078</v>
      </c>
      <c r="K118" s="1330" t="s">
        <v>1084</v>
      </c>
      <c r="L118" s="1058" t="s">
        <v>61</v>
      </c>
      <c r="M118" s="1342" t="s">
        <v>1020</v>
      </c>
      <c r="N118" s="241"/>
      <c r="O118" s="242" t="s">
        <v>387</v>
      </c>
      <c r="P118" s="243"/>
      <c r="Q118" s="243"/>
      <c r="R118" s="243"/>
      <c r="S118" s="243"/>
      <c r="T118" s="243"/>
      <c r="U118" s="243"/>
      <c r="V118" s="243"/>
      <c r="W118" s="243"/>
      <c r="X118" s="243"/>
      <c r="Y118" s="243"/>
      <c r="Z118" s="243"/>
      <c r="AA118" s="243"/>
      <c r="AB118" s="243"/>
      <c r="AC118" s="243"/>
      <c r="AD118" s="243"/>
      <c r="AE118" s="243"/>
      <c r="AF118" s="1331">
        <v>12</v>
      </c>
      <c r="AG118" s="1332" t="s">
        <v>1055</v>
      </c>
      <c r="AH118" s="1332" t="s">
        <v>1085</v>
      </c>
      <c r="AI118" s="1331">
        <v>12</v>
      </c>
      <c r="AJ118" s="1332" t="s">
        <v>1055</v>
      </c>
      <c r="AK118" s="1332" t="s">
        <v>1085</v>
      </c>
      <c r="AL118" s="771"/>
    </row>
    <row r="119" spans="1:38" ht="11.25" customHeight="1">
      <c r="A119" s="1029" t="s">
        <v>1021</v>
      </c>
      <c r="E119" s="556"/>
      <c r="F119" s="1354"/>
      <c r="G119" s="1326"/>
      <c r="H119" s="1327" t="s">
        <v>89</v>
      </c>
      <c r="I119" s="1328"/>
      <c r="J119" s="1341"/>
      <c r="K119" s="1330"/>
      <c r="L119" s="1058"/>
      <c r="M119" s="1342"/>
      <c r="N119" s="1333"/>
      <c r="O119" s="1334">
        <v>1</v>
      </c>
      <c r="P119" s="1335" t="s">
        <v>19</v>
      </c>
      <c r="Q119" s="1323" t="s">
        <v>22</v>
      </c>
      <c r="R119" s="1323" t="s">
        <v>22</v>
      </c>
      <c r="S119" s="1323" t="s">
        <v>22</v>
      </c>
      <c r="T119" s="1323" t="s">
        <v>22</v>
      </c>
      <c r="U119" s="1323" t="s">
        <v>22</v>
      </c>
      <c r="V119" s="1323" t="s">
        <v>22</v>
      </c>
      <c r="W119" s="1323" t="s">
        <v>22</v>
      </c>
      <c r="X119" s="1323" t="s">
        <v>22</v>
      </c>
      <c r="Y119" s="1323"/>
      <c r="Z119" s="229"/>
      <c r="AA119" s="230"/>
      <c r="AB119" s="230"/>
      <c r="AC119" s="231"/>
      <c r="AD119" s="231"/>
      <c r="AE119" s="244"/>
      <c r="AF119" s="1331"/>
      <c r="AG119" s="1332"/>
      <c r="AH119" s="1332"/>
      <c r="AI119" s="1331"/>
      <c r="AJ119" s="1332"/>
      <c r="AK119" s="1332"/>
      <c r="AL119" s="771"/>
    </row>
    <row r="120" spans="1:38" ht="11.25" customHeight="1">
      <c r="A120" s="1029" t="s">
        <v>1021</v>
      </c>
      <c r="E120" s="556"/>
      <c r="F120" s="1354"/>
      <c r="G120" s="1326"/>
      <c r="H120" s="1327" t="s">
        <v>89</v>
      </c>
      <c r="I120" s="1328"/>
      <c r="J120" s="1341"/>
      <c r="K120" s="1330"/>
      <c r="L120" s="1058"/>
      <c r="M120" s="1342"/>
      <c r="N120" s="1333"/>
      <c r="O120" s="1334"/>
      <c r="P120" s="1336"/>
      <c r="Q120" s="1323"/>
      <c r="R120" s="1323"/>
      <c r="S120" s="1338"/>
      <c r="T120" s="1323"/>
      <c r="U120" s="1323"/>
      <c r="V120" s="1323"/>
      <c r="W120" s="1323"/>
      <c r="X120" s="1323"/>
      <c r="Y120" s="1323"/>
      <c r="AA120" s="777">
        <v>1</v>
      </c>
      <c r="AB120" s="778" t="s">
        <v>1063</v>
      </c>
      <c r="AC120" s="236">
        <v>11710.702264199999</v>
      </c>
      <c r="AD120" s="778" t="str">
        <f>AB120</f>
        <v xml:space="preserve">  Кредиты</v>
      </c>
      <c r="AE120" s="236">
        <f>AC120</f>
        <v>11710.702264199999</v>
      </c>
      <c r="AF120" s="1331"/>
      <c r="AG120" s="1332"/>
      <c r="AH120" s="1332"/>
      <c r="AI120" s="1331"/>
      <c r="AJ120" s="1332"/>
      <c r="AK120" s="1332"/>
      <c r="AL120" s="771"/>
    </row>
    <row r="121" spans="1:38" ht="11.25" customHeight="1">
      <c r="A121" s="1029" t="s">
        <v>1021</v>
      </c>
      <c r="E121" s="556"/>
      <c r="F121" s="1354"/>
      <c r="G121" s="1326"/>
      <c r="H121" s="1327" t="s">
        <v>89</v>
      </c>
      <c r="I121" s="1328"/>
      <c r="J121" s="1341"/>
      <c r="K121" s="1330"/>
      <c r="L121" s="1058"/>
      <c r="M121" s="1342"/>
      <c r="N121" s="1333"/>
      <c r="O121" s="1334"/>
      <c r="P121" s="1337"/>
      <c r="Q121" s="1323"/>
      <c r="R121" s="1323"/>
      <c r="S121" s="1338"/>
      <c r="T121" s="1323"/>
      <c r="U121" s="1323"/>
      <c r="V121" s="1323"/>
      <c r="W121" s="1323"/>
      <c r="X121" s="1323"/>
      <c r="Y121" s="1323"/>
      <c r="Z121" s="229"/>
      <c r="AA121" s="230"/>
      <c r="AB121" s="44" t="s">
        <v>1064</v>
      </c>
      <c r="AC121" s="231"/>
      <c r="AD121" s="231"/>
      <c r="AE121" s="245"/>
      <c r="AF121" s="1331"/>
      <c r="AG121" s="1332"/>
      <c r="AH121" s="1332"/>
      <c r="AI121" s="1331"/>
      <c r="AJ121" s="1332"/>
      <c r="AK121" s="1332"/>
      <c r="AL121" s="771"/>
    </row>
    <row r="122" spans="1:38" ht="11.25" customHeight="1">
      <c r="A122" s="1029" t="s">
        <v>1021</v>
      </c>
      <c r="E122" s="556"/>
      <c r="F122" s="1354"/>
      <c r="G122" s="1326"/>
      <c r="H122" s="1327" t="s">
        <v>89</v>
      </c>
      <c r="I122" s="1328"/>
      <c r="J122" s="1341"/>
      <c r="K122" s="1330"/>
      <c r="L122" s="1058"/>
      <c r="M122" s="1342"/>
      <c r="N122" s="229"/>
      <c r="O122" s="230"/>
      <c r="P122" s="44" t="s">
        <v>1065</v>
      </c>
      <c r="Q122" s="230"/>
      <c r="R122" s="230"/>
      <c r="S122" s="230"/>
      <c r="T122" s="230"/>
      <c r="U122" s="230"/>
      <c r="V122" s="230"/>
      <c r="W122" s="230"/>
      <c r="X122" s="230"/>
      <c r="Y122" s="230"/>
      <c r="Z122" s="230"/>
      <c r="AA122" s="230"/>
      <c r="AB122" s="230"/>
      <c r="AC122" s="230"/>
      <c r="AD122" s="230"/>
      <c r="AE122" s="246"/>
      <c r="AF122" s="1331"/>
      <c r="AG122" s="1332"/>
      <c r="AH122" s="1332"/>
      <c r="AI122" s="1331"/>
      <c r="AJ122" s="1332"/>
      <c r="AK122" s="1332"/>
      <c r="AL122" s="771"/>
    </row>
    <row r="123" spans="1:38" ht="11.25" customHeight="1">
      <c r="A123" s="1029" t="s">
        <v>1021</v>
      </c>
      <c r="B123" s="1029" t="s">
        <v>22</v>
      </c>
      <c r="E123" s="556"/>
      <c r="F123" s="1354"/>
      <c r="G123" s="1304" t="s">
        <v>103</v>
      </c>
      <c r="H123" s="1327" t="s">
        <v>115</v>
      </c>
      <c r="I123" s="1328" t="s">
        <v>1086</v>
      </c>
      <c r="J123" s="1329" t="s">
        <v>22</v>
      </c>
      <c r="K123" s="1330" t="s">
        <v>1087</v>
      </c>
      <c r="L123" s="1058" t="s">
        <v>19</v>
      </c>
      <c r="M123" s="1060"/>
      <c r="N123" s="241"/>
      <c r="O123" s="242" t="s">
        <v>387</v>
      </c>
      <c r="P123" s="243"/>
      <c r="Q123" s="243"/>
      <c r="R123" s="243"/>
      <c r="S123" s="243"/>
      <c r="T123" s="243"/>
      <c r="U123" s="243"/>
      <c r="V123" s="243"/>
      <c r="W123" s="243"/>
      <c r="X123" s="243"/>
      <c r="Y123" s="243"/>
      <c r="Z123" s="243"/>
      <c r="AA123" s="243"/>
      <c r="AB123" s="243"/>
      <c r="AC123" s="243"/>
      <c r="AD123" s="243"/>
      <c r="AE123" s="243"/>
      <c r="AF123" s="1331">
        <v>3</v>
      </c>
      <c r="AG123" s="1332" t="s">
        <v>1055</v>
      </c>
      <c r="AH123" s="1332" t="s">
        <v>1056</v>
      </c>
      <c r="AI123" s="1331">
        <v>3</v>
      </c>
      <c r="AJ123" s="1332" t="s">
        <v>1055</v>
      </c>
      <c r="AK123" s="1332" t="s">
        <v>1056</v>
      </c>
      <c r="AL123" s="771"/>
    </row>
    <row r="124" spans="1:38" ht="11.25" customHeight="1">
      <c r="A124" s="1029" t="s">
        <v>1021</v>
      </c>
      <c r="E124" s="556"/>
      <c r="F124" s="1354"/>
      <c r="G124" s="1326"/>
      <c r="H124" s="1327" t="s">
        <v>90</v>
      </c>
      <c r="I124" s="1328"/>
      <c r="J124" s="1329"/>
      <c r="K124" s="1330"/>
      <c r="L124" s="1058"/>
      <c r="M124" s="1060"/>
      <c r="N124" s="1333"/>
      <c r="O124" s="1334">
        <v>1</v>
      </c>
      <c r="P124" s="1335" t="s">
        <v>61</v>
      </c>
      <c r="Q124" s="1339" t="s">
        <v>1057</v>
      </c>
      <c r="R124" s="1340" t="s">
        <v>1058</v>
      </c>
      <c r="S124" s="1340" t="s">
        <v>99</v>
      </c>
      <c r="T124" s="1340" t="s">
        <v>99</v>
      </c>
      <c r="U124" s="1340" t="s">
        <v>100</v>
      </c>
      <c r="V124" s="1340" t="s">
        <v>1059</v>
      </c>
      <c r="W124" s="1340" t="s">
        <v>1060</v>
      </c>
      <c r="X124" s="1340" t="s">
        <v>1061</v>
      </c>
      <c r="Y124" s="1340" t="s">
        <v>1062</v>
      </c>
      <c r="Z124" s="229"/>
      <c r="AA124" s="230"/>
      <c r="AB124" s="230"/>
      <c r="AC124" s="231"/>
      <c r="AD124" s="231"/>
      <c r="AE124" s="244"/>
      <c r="AF124" s="1331"/>
      <c r="AG124" s="1332"/>
      <c r="AH124" s="1332"/>
      <c r="AI124" s="1331"/>
      <c r="AJ124" s="1332"/>
      <c r="AK124" s="1332"/>
      <c r="AL124" s="771"/>
    </row>
    <row r="125" spans="1:38" ht="11.25" customHeight="1">
      <c r="A125" s="1029" t="s">
        <v>1021</v>
      </c>
      <c r="E125" s="556"/>
      <c r="F125" s="1354"/>
      <c r="G125" s="1326"/>
      <c r="H125" s="1327" t="s">
        <v>90</v>
      </c>
      <c r="I125" s="1328"/>
      <c r="J125" s="1329"/>
      <c r="K125" s="1330"/>
      <c r="L125" s="1058"/>
      <c r="M125" s="1060"/>
      <c r="N125" s="1333"/>
      <c r="O125" s="1334"/>
      <c r="P125" s="1336"/>
      <c r="Q125" s="1339"/>
      <c r="R125" s="1323"/>
      <c r="S125" s="1338"/>
      <c r="T125" s="1323"/>
      <c r="U125" s="1323"/>
      <c r="V125" s="1323"/>
      <c r="W125" s="1323"/>
      <c r="X125" s="1323"/>
      <c r="Y125" s="1323"/>
      <c r="AA125" s="777">
        <v>1</v>
      </c>
      <c r="AB125" s="778" t="s">
        <v>1063</v>
      </c>
      <c r="AC125" s="236">
        <v>245.271519600012</v>
      </c>
      <c r="AD125" s="778" t="str">
        <f>AB125</f>
        <v xml:space="preserve">  Кредиты</v>
      </c>
      <c r="AE125" s="236">
        <f>AC125</f>
        <v>245.271519600012</v>
      </c>
      <c r="AF125" s="1331"/>
      <c r="AG125" s="1332"/>
      <c r="AH125" s="1332"/>
      <c r="AI125" s="1331"/>
      <c r="AJ125" s="1332"/>
      <c r="AK125" s="1332"/>
      <c r="AL125" s="771"/>
    </row>
    <row r="126" spans="1:38" ht="11.25" customHeight="1">
      <c r="A126" s="1029" t="s">
        <v>1021</v>
      </c>
      <c r="E126" s="556"/>
      <c r="F126" s="1354"/>
      <c r="G126" s="1326"/>
      <c r="H126" s="1327" t="s">
        <v>90</v>
      </c>
      <c r="I126" s="1328"/>
      <c r="J126" s="1329"/>
      <c r="K126" s="1330"/>
      <c r="L126" s="1058"/>
      <c r="M126" s="1060"/>
      <c r="N126" s="1333"/>
      <c r="O126" s="1334"/>
      <c r="P126" s="1337"/>
      <c r="Q126" s="1339"/>
      <c r="R126" s="1323"/>
      <c r="S126" s="1338"/>
      <c r="T126" s="1323"/>
      <c r="U126" s="1323"/>
      <c r="V126" s="1323"/>
      <c r="W126" s="1323"/>
      <c r="X126" s="1323"/>
      <c r="Y126" s="1323"/>
      <c r="Z126" s="229"/>
      <c r="AA126" s="230"/>
      <c r="AB126" s="44" t="s">
        <v>1064</v>
      </c>
      <c r="AC126" s="231"/>
      <c r="AD126" s="231"/>
      <c r="AE126" s="245"/>
      <c r="AF126" s="1331"/>
      <c r="AG126" s="1332"/>
      <c r="AH126" s="1332"/>
      <c r="AI126" s="1331"/>
      <c r="AJ126" s="1332"/>
      <c r="AK126" s="1332"/>
      <c r="AL126" s="771"/>
    </row>
    <row r="127" spans="1:38" ht="11.25" customHeight="1">
      <c r="A127" s="1029" t="s">
        <v>1021</v>
      </c>
      <c r="E127" s="556"/>
      <c r="F127" s="1354"/>
      <c r="G127" s="1326"/>
      <c r="H127" s="1327" t="s">
        <v>90</v>
      </c>
      <c r="I127" s="1328"/>
      <c r="J127" s="1329"/>
      <c r="K127" s="1330"/>
      <c r="L127" s="1058"/>
      <c r="M127" s="1060"/>
      <c r="N127" s="229"/>
      <c r="O127" s="230"/>
      <c r="P127" s="44" t="s">
        <v>1065</v>
      </c>
      <c r="Q127" s="230"/>
      <c r="R127" s="230"/>
      <c r="S127" s="230"/>
      <c r="T127" s="230"/>
      <c r="U127" s="230"/>
      <c r="V127" s="230"/>
      <c r="W127" s="230"/>
      <c r="X127" s="230"/>
      <c r="Y127" s="230"/>
      <c r="Z127" s="230"/>
      <c r="AA127" s="230"/>
      <c r="AB127" s="230"/>
      <c r="AC127" s="230"/>
      <c r="AD127" s="230"/>
      <c r="AE127" s="246"/>
      <c r="AF127" s="1331"/>
      <c r="AG127" s="1332"/>
      <c r="AH127" s="1332"/>
      <c r="AI127" s="1331"/>
      <c r="AJ127" s="1332"/>
      <c r="AK127" s="1332"/>
      <c r="AL127" s="771"/>
    </row>
    <row r="128" spans="1:38" ht="11.25" customHeight="1">
      <c r="A128" s="1029" t="s">
        <v>1021</v>
      </c>
      <c r="B128" s="1029" t="s">
        <v>22</v>
      </c>
      <c r="E128" s="556"/>
      <c r="F128" s="1354"/>
      <c r="G128" s="1304" t="s">
        <v>103</v>
      </c>
      <c r="H128" s="1327" t="s">
        <v>91</v>
      </c>
      <c r="I128" s="1328" t="s">
        <v>1086</v>
      </c>
      <c r="J128" s="1329" t="s">
        <v>22</v>
      </c>
      <c r="K128" s="1330" t="s">
        <v>1088</v>
      </c>
      <c r="L128" s="1058" t="s">
        <v>19</v>
      </c>
      <c r="M128" s="1060"/>
      <c r="N128" s="241"/>
      <c r="O128" s="242" t="s">
        <v>387</v>
      </c>
      <c r="P128" s="243"/>
      <c r="Q128" s="243"/>
      <c r="R128" s="243"/>
      <c r="S128" s="243"/>
      <c r="T128" s="243"/>
      <c r="U128" s="243"/>
      <c r="V128" s="243"/>
      <c r="W128" s="243"/>
      <c r="X128" s="243"/>
      <c r="Y128" s="243"/>
      <c r="Z128" s="243"/>
      <c r="AA128" s="243"/>
      <c r="AB128" s="243"/>
      <c r="AC128" s="243"/>
      <c r="AD128" s="243"/>
      <c r="AE128" s="243"/>
      <c r="AF128" s="1331">
        <v>1</v>
      </c>
      <c r="AG128" s="1332" t="s">
        <v>1055</v>
      </c>
      <c r="AH128" s="1332" t="s">
        <v>1089</v>
      </c>
      <c r="AI128" s="1331">
        <v>1</v>
      </c>
      <c r="AJ128" s="1332" t="s">
        <v>1055</v>
      </c>
      <c r="AK128" s="1332" t="s">
        <v>1089</v>
      </c>
      <c r="AL128" s="771"/>
    </row>
    <row r="129" spans="1:38" ht="11.25" customHeight="1">
      <c r="A129" s="1029" t="s">
        <v>1021</v>
      </c>
      <c r="E129" s="556"/>
      <c r="F129" s="1354"/>
      <c r="G129" s="1326"/>
      <c r="H129" s="1327" t="s">
        <v>115</v>
      </c>
      <c r="I129" s="1328"/>
      <c r="J129" s="1329"/>
      <c r="K129" s="1330"/>
      <c r="L129" s="1058"/>
      <c r="M129" s="1060"/>
      <c r="N129" s="1333"/>
      <c r="O129" s="1334">
        <v>1</v>
      </c>
      <c r="P129" s="1335" t="s">
        <v>61</v>
      </c>
      <c r="Q129" s="1339" t="s">
        <v>1069</v>
      </c>
      <c r="R129" s="1340" t="s">
        <v>1058</v>
      </c>
      <c r="S129" s="1340" t="s">
        <v>99</v>
      </c>
      <c r="T129" s="1340" t="s">
        <v>99</v>
      </c>
      <c r="U129" s="1340" t="s">
        <v>100</v>
      </c>
      <c r="V129" s="1340" t="s">
        <v>1059</v>
      </c>
      <c r="W129" s="1340" t="s">
        <v>1060</v>
      </c>
      <c r="X129" s="1340" t="s">
        <v>1070</v>
      </c>
      <c r="Y129" s="1340" t="s">
        <v>1071</v>
      </c>
      <c r="Z129" s="229"/>
      <c r="AA129" s="230"/>
      <c r="AB129" s="230"/>
      <c r="AC129" s="231"/>
      <c r="AD129" s="231"/>
      <c r="AE129" s="244"/>
      <c r="AF129" s="1331"/>
      <c r="AG129" s="1332"/>
      <c r="AH129" s="1332"/>
      <c r="AI129" s="1331"/>
      <c r="AJ129" s="1332"/>
      <c r="AK129" s="1332"/>
      <c r="AL129" s="771"/>
    </row>
    <row r="130" spans="1:38" ht="11.25" customHeight="1">
      <c r="A130" s="1029" t="s">
        <v>1021</v>
      </c>
      <c r="E130" s="556"/>
      <c r="F130" s="1354"/>
      <c r="G130" s="1326"/>
      <c r="H130" s="1327" t="s">
        <v>115</v>
      </c>
      <c r="I130" s="1328"/>
      <c r="J130" s="1329"/>
      <c r="K130" s="1330"/>
      <c r="L130" s="1058"/>
      <c r="M130" s="1060"/>
      <c r="N130" s="1333"/>
      <c r="O130" s="1334"/>
      <c r="P130" s="1336"/>
      <c r="Q130" s="1339"/>
      <c r="R130" s="1323"/>
      <c r="S130" s="1338"/>
      <c r="T130" s="1323"/>
      <c r="U130" s="1323"/>
      <c r="V130" s="1323"/>
      <c r="W130" s="1323"/>
      <c r="X130" s="1323"/>
      <c r="Y130" s="1323"/>
      <c r="AA130" s="777">
        <v>1</v>
      </c>
      <c r="AB130" s="778" t="s">
        <v>1063</v>
      </c>
      <c r="AC130" s="236">
        <v>12917.92742</v>
      </c>
      <c r="AD130" s="778" t="str">
        <f>AB130</f>
        <v xml:space="preserve">  Кредиты</v>
      </c>
      <c r="AE130" s="236">
        <f>AC130</f>
        <v>12917.92742</v>
      </c>
      <c r="AF130" s="1331"/>
      <c r="AG130" s="1332"/>
      <c r="AH130" s="1332"/>
      <c r="AI130" s="1331"/>
      <c r="AJ130" s="1332"/>
      <c r="AK130" s="1332"/>
      <c r="AL130" s="771"/>
    </row>
    <row r="131" spans="1:38" ht="11.25" customHeight="1">
      <c r="A131" s="1029" t="s">
        <v>1021</v>
      </c>
      <c r="E131" s="556"/>
      <c r="F131" s="1354"/>
      <c r="G131" s="1326"/>
      <c r="H131" s="1327" t="s">
        <v>115</v>
      </c>
      <c r="I131" s="1328"/>
      <c r="J131" s="1329"/>
      <c r="K131" s="1330"/>
      <c r="L131" s="1058"/>
      <c r="M131" s="1060"/>
      <c r="N131" s="1333"/>
      <c r="O131" s="1334"/>
      <c r="P131" s="1337"/>
      <c r="Q131" s="1339"/>
      <c r="R131" s="1323"/>
      <c r="S131" s="1338"/>
      <c r="T131" s="1323"/>
      <c r="U131" s="1323"/>
      <c r="V131" s="1323"/>
      <c r="W131" s="1323"/>
      <c r="X131" s="1323"/>
      <c r="Y131" s="1323"/>
      <c r="Z131" s="229"/>
      <c r="AA131" s="230"/>
      <c r="AB131" s="44" t="s">
        <v>1064</v>
      </c>
      <c r="AC131" s="231"/>
      <c r="AD131" s="231"/>
      <c r="AE131" s="245"/>
      <c r="AF131" s="1331"/>
      <c r="AG131" s="1332"/>
      <c r="AH131" s="1332"/>
      <c r="AI131" s="1331"/>
      <c r="AJ131" s="1332"/>
      <c r="AK131" s="1332"/>
      <c r="AL131" s="771"/>
    </row>
    <row r="132" spans="1:38" ht="11.25" customHeight="1">
      <c r="A132" s="1029" t="s">
        <v>1021</v>
      </c>
      <c r="E132" s="556"/>
      <c r="F132" s="1354"/>
      <c r="G132" s="1326"/>
      <c r="H132" s="1327" t="s">
        <v>115</v>
      </c>
      <c r="I132" s="1328"/>
      <c r="J132" s="1329"/>
      <c r="K132" s="1330"/>
      <c r="L132" s="1058"/>
      <c r="M132" s="1060"/>
      <c r="N132" s="229"/>
      <c r="O132" s="230"/>
      <c r="P132" s="44" t="s">
        <v>1065</v>
      </c>
      <c r="Q132" s="230"/>
      <c r="R132" s="230"/>
      <c r="S132" s="230"/>
      <c r="T132" s="230"/>
      <c r="U132" s="230"/>
      <c r="V132" s="230"/>
      <c r="W132" s="230"/>
      <c r="X132" s="230"/>
      <c r="Y132" s="230"/>
      <c r="Z132" s="230"/>
      <c r="AA132" s="230"/>
      <c r="AB132" s="230"/>
      <c r="AC132" s="230"/>
      <c r="AD132" s="230"/>
      <c r="AE132" s="246"/>
      <c r="AF132" s="1331"/>
      <c r="AG132" s="1332"/>
      <c r="AH132" s="1332"/>
      <c r="AI132" s="1331"/>
      <c r="AJ132" s="1332"/>
      <c r="AK132" s="1332"/>
      <c r="AL132" s="771"/>
    </row>
    <row r="133" spans="1:38" ht="11.25" customHeight="1">
      <c r="A133" s="1029" t="s">
        <v>1021</v>
      </c>
      <c r="B133" s="1029" t="s">
        <v>22</v>
      </c>
      <c r="E133" s="556"/>
      <c r="F133" s="1354"/>
      <c r="G133" s="1304" t="s">
        <v>103</v>
      </c>
      <c r="H133" s="1327" t="s">
        <v>92</v>
      </c>
      <c r="I133" s="1328" t="s">
        <v>1086</v>
      </c>
      <c r="J133" s="1329" t="s">
        <v>22</v>
      </c>
      <c r="K133" s="1330" t="s">
        <v>1097</v>
      </c>
      <c r="L133" s="1058" t="s">
        <v>19</v>
      </c>
      <c r="M133" s="1060"/>
      <c r="N133" s="241"/>
      <c r="O133" s="242" t="s">
        <v>387</v>
      </c>
      <c r="P133" s="243"/>
      <c r="Q133" s="243"/>
      <c r="R133" s="243"/>
      <c r="S133" s="243"/>
      <c r="T133" s="243"/>
      <c r="U133" s="243"/>
      <c r="V133" s="243"/>
      <c r="W133" s="243"/>
      <c r="X133" s="243"/>
      <c r="Y133" s="243"/>
      <c r="Z133" s="243"/>
      <c r="AA133" s="243"/>
      <c r="AB133" s="243"/>
      <c r="AC133" s="243"/>
      <c r="AD133" s="243"/>
      <c r="AE133" s="243"/>
      <c r="AF133" s="1331">
        <v>1</v>
      </c>
      <c r="AG133" s="1332" t="s">
        <v>1055</v>
      </c>
      <c r="AH133" s="1332" t="s">
        <v>1089</v>
      </c>
      <c r="AI133" s="1331">
        <v>1</v>
      </c>
      <c r="AJ133" s="1332" t="s">
        <v>1055</v>
      </c>
      <c r="AK133" s="1332" t="s">
        <v>1089</v>
      </c>
      <c r="AL133" s="771"/>
    </row>
    <row r="134" spans="1:38" ht="11.25" customHeight="1">
      <c r="A134" s="1029" t="s">
        <v>1021</v>
      </c>
      <c r="E134" s="556"/>
      <c r="F134" s="1354"/>
      <c r="G134" s="1326"/>
      <c r="H134" s="1327" t="s">
        <v>91</v>
      </c>
      <c r="I134" s="1328"/>
      <c r="J134" s="1329"/>
      <c r="K134" s="1330"/>
      <c r="L134" s="1058"/>
      <c r="M134" s="1060"/>
      <c r="N134" s="1333"/>
      <c r="O134" s="1334">
        <v>1</v>
      </c>
      <c r="P134" s="1335" t="s">
        <v>61</v>
      </c>
      <c r="Q134" s="1339" t="s">
        <v>1069</v>
      </c>
      <c r="R134" s="1340" t="s">
        <v>1058</v>
      </c>
      <c r="S134" s="1340" t="s">
        <v>99</v>
      </c>
      <c r="T134" s="1340" t="s">
        <v>99</v>
      </c>
      <c r="U134" s="1340" t="s">
        <v>100</v>
      </c>
      <c r="V134" s="1340" t="s">
        <v>1059</v>
      </c>
      <c r="W134" s="1340" t="s">
        <v>1060</v>
      </c>
      <c r="X134" s="1340" t="s">
        <v>1070</v>
      </c>
      <c r="Y134" s="1340" t="s">
        <v>1071</v>
      </c>
      <c r="Z134" s="229"/>
      <c r="AA134" s="230"/>
      <c r="AB134" s="230"/>
      <c r="AC134" s="231"/>
      <c r="AD134" s="231"/>
      <c r="AE134" s="244"/>
      <c r="AF134" s="1331"/>
      <c r="AG134" s="1332"/>
      <c r="AH134" s="1332"/>
      <c r="AI134" s="1331"/>
      <c r="AJ134" s="1332"/>
      <c r="AK134" s="1332"/>
      <c r="AL134" s="771"/>
    </row>
    <row r="135" spans="1:38" ht="11.25" customHeight="1">
      <c r="A135" s="1029" t="s">
        <v>1021</v>
      </c>
      <c r="E135" s="556"/>
      <c r="F135" s="1354"/>
      <c r="G135" s="1326"/>
      <c r="H135" s="1327" t="s">
        <v>91</v>
      </c>
      <c r="I135" s="1328"/>
      <c r="J135" s="1329"/>
      <c r="K135" s="1330"/>
      <c r="L135" s="1058"/>
      <c r="M135" s="1060"/>
      <c r="N135" s="1333"/>
      <c r="O135" s="1334"/>
      <c r="P135" s="1336"/>
      <c r="Q135" s="1339"/>
      <c r="R135" s="1323"/>
      <c r="S135" s="1338"/>
      <c r="T135" s="1323"/>
      <c r="U135" s="1323"/>
      <c r="V135" s="1323"/>
      <c r="W135" s="1323"/>
      <c r="X135" s="1323"/>
      <c r="Y135" s="1323"/>
      <c r="AA135" s="777">
        <v>1</v>
      </c>
      <c r="AB135" s="778" t="s">
        <v>1063</v>
      </c>
      <c r="AC135" s="236">
        <v>13307.876759999999</v>
      </c>
      <c r="AD135" s="778" t="str">
        <f>AB135</f>
        <v xml:space="preserve">  Кредиты</v>
      </c>
      <c r="AE135" s="236">
        <f>AC135</f>
        <v>13307.876759999999</v>
      </c>
      <c r="AF135" s="1331"/>
      <c r="AG135" s="1332"/>
      <c r="AH135" s="1332"/>
      <c r="AI135" s="1331"/>
      <c r="AJ135" s="1332"/>
      <c r="AK135" s="1332"/>
      <c r="AL135" s="771"/>
    </row>
    <row r="136" spans="1:38" ht="11.25" customHeight="1">
      <c r="A136" s="1029" t="s">
        <v>1021</v>
      </c>
      <c r="E136" s="556"/>
      <c r="F136" s="1354"/>
      <c r="G136" s="1326"/>
      <c r="H136" s="1327" t="s">
        <v>91</v>
      </c>
      <c r="I136" s="1328"/>
      <c r="J136" s="1329"/>
      <c r="K136" s="1330"/>
      <c r="L136" s="1058"/>
      <c r="M136" s="1060"/>
      <c r="N136" s="1333"/>
      <c r="O136" s="1334"/>
      <c r="P136" s="1337"/>
      <c r="Q136" s="1339"/>
      <c r="R136" s="1323"/>
      <c r="S136" s="1338"/>
      <c r="T136" s="1323"/>
      <c r="U136" s="1323"/>
      <c r="V136" s="1323"/>
      <c r="W136" s="1323"/>
      <c r="X136" s="1323"/>
      <c r="Y136" s="1323"/>
      <c r="Z136" s="229"/>
      <c r="AA136" s="230"/>
      <c r="AB136" s="44" t="s">
        <v>1064</v>
      </c>
      <c r="AC136" s="231"/>
      <c r="AD136" s="231"/>
      <c r="AE136" s="245"/>
      <c r="AF136" s="1331"/>
      <c r="AG136" s="1332"/>
      <c r="AH136" s="1332"/>
      <c r="AI136" s="1331"/>
      <c r="AJ136" s="1332"/>
      <c r="AK136" s="1332"/>
      <c r="AL136" s="771"/>
    </row>
    <row r="137" spans="1:38" ht="11.25" customHeight="1">
      <c r="A137" s="1029" t="s">
        <v>1021</v>
      </c>
      <c r="E137" s="556"/>
      <c r="F137" s="1354"/>
      <c r="G137" s="1326"/>
      <c r="H137" s="1327" t="s">
        <v>91</v>
      </c>
      <c r="I137" s="1328"/>
      <c r="J137" s="1329"/>
      <c r="K137" s="1330"/>
      <c r="L137" s="1058"/>
      <c r="M137" s="1060"/>
      <c r="N137" s="229"/>
      <c r="O137" s="230"/>
      <c r="P137" s="44" t="s">
        <v>1065</v>
      </c>
      <c r="Q137" s="230"/>
      <c r="R137" s="230"/>
      <c r="S137" s="230"/>
      <c r="T137" s="230"/>
      <c r="U137" s="230"/>
      <c r="V137" s="230"/>
      <c r="W137" s="230"/>
      <c r="X137" s="230"/>
      <c r="Y137" s="230"/>
      <c r="Z137" s="230"/>
      <c r="AA137" s="230"/>
      <c r="AB137" s="230"/>
      <c r="AC137" s="230"/>
      <c r="AD137" s="230"/>
      <c r="AE137" s="246"/>
      <c r="AF137" s="1331"/>
      <c r="AG137" s="1332"/>
      <c r="AH137" s="1332"/>
      <c r="AI137" s="1331"/>
      <c r="AJ137" s="1332"/>
      <c r="AK137" s="1332"/>
      <c r="AL137" s="771"/>
    </row>
    <row r="138" spans="1:38" ht="11.25" customHeight="1">
      <c r="A138" s="1029" t="s">
        <v>1021</v>
      </c>
      <c r="B138" s="1029" t="s">
        <v>22</v>
      </c>
      <c r="E138" s="556"/>
      <c r="F138" s="1354"/>
      <c r="G138" s="1304" t="s">
        <v>103</v>
      </c>
      <c r="H138" s="1327" t="s">
        <v>116</v>
      </c>
      <c r="I138" s="1328" t="s">
        <v>1086</v>
      </c>
      <c r="J138" s="1329" t="s">
        <v>22</v>
      </c>
      <c r="K138" s="1330" t="s">
        <v>1090</v>
      </c>
      <c r="L138" s="1058" t="s">
        <v>19</v>
      </c>
      <c r="M138" s="1060"/>
      <c r="N138" s="241"/>
      <c r="O138" s="242" t="s">
        <v>387</v>
      </c>
      <c r="P138" s="243"/>
      <c r="Q138" s="243"/>
      <c r="R138" s="243"/>
      <c r="S138" s="243"/>
      <c r="T138" s="243"/>
      <c r="U138" s="243"/>
      <c r="V138" s="243"/>
      <c r="W138" s="243"/>
      <c r="X138" s="243"/>
      <c r="Y138" s="243"/>
      <c r="Z138" s="243"/>
      <c r="AA138" s="243"/>
      <c r="AB138" s="243"/>
      <c r="AC138" s="243"/>
      <c r="AD138" s="243"/>
      <c r="AE138" s="243"/>
      <c r="AF138" s="1331">
        <v>2</v>
      </c>
      <c r="AG138" s="1332" t="s">
        <v>1055</v>
      </c>
      <c r="AH138" s="1332" t="s">
        <v>1091</v>
      </c>
      <c r="AI138" s="1331">
        <v>2</v>
      </c>
      <c r="AJ138" s="1332" t="s">
        <v>1055</v>
      </c>
      <c r="AK138" s="1332" t="s">
        <v>1091</v>
      </c>
      <c r="AL138" s="771"/>
    </row>
    <row r="139" spans="1:38" ht="11.25" customHeight="1">
      <c r="A139" s="1029" t="s">
        <v>1021</v>
      </c>
      <c r="E139" s="556"/>
      <c r="F139" s="1354"/>
      <c r="G139" s="1326"/>
      <c r="H139" s="1327" t="s">
        <v>92</v>
      </c>
      <c r="I139" s="1328"/>
      <c r="J139" s="1329"/>
      <c r="K139" s="1330"/>
      <c r="L139" s="1058"/>
      <c r="M139" s="1060"/>
      <c r="N139" s="1333"/>
      <c r="O139" s="1334">
        <v>1</v>
      </c>
      <c r="P139" s="1335" t="s">
        <v>61</v>
      </c>
      <c r="Q139" s="1339" t="s">
        <v>1074</v>
      </c>
      <c r="R139" s="1340" t="s">
        <v>1058</v>
      </c>
      <c r="S139" s="1340" t="s">
        <v>99</v>
      </c>
      <c r="T139" s="1340" t="s">
        <v>99</v>
      </c>
      <c r="U139" s="1340" t="s">
        <v>100</v>
      </c>
      <c r="V139" s="1340" t="s">
        <v>1059</v>
      </c>
      <c r="W139" s="1340" t="s">
        <v>1060</v>
      </c>
      <c r="X139" s="1340" t="s">
        <v>1070</v>
      </c>
      <c r="Y139" s="1340" t="s">
        <v>1075</v>
      </c>
      <c r="Z139" s="229"/>
      <c r="AA139" s="230"/>
      <c r="AB139" s="230"/>
      <c r="AC139" s="231"/>
      <c r="AD139" s="231"/>
      <c r="AE139" s="244"/>
      <c r="AF139" s="1331"/>
      <c r="AG139" s="1332"/>
      <c r="AH139" s="1332"/>
      <c r="AI139" s="1331"/>
      <c r="AJ139" s="1332"/>
      <c r="AK139" s="1332"/>
      <c r="AL139" s="771"/>
    </row>
    <row r="140" spans="1:38" ht="11.25" customHeight="1">
      <c r="A140" s="1029" t="s">
        <v>1021</v>
      </c>
      <c r="E140" s="556"/>
      <c r="F140" s="1354"/>
      <c r="G140" s="1326"/>
      <c r="H140" s="1327" t="s">
        <v>92</v>
      </c>
      <c r="I140" s="1328"/>
      <c r="J140" s="1329"/>
      <c r="K140" s="1330"/>
      <c r="L140" s="1058"/>
      <c r="M140" s="1060"/>
      <c r="N140" s="1333"/>
      <c r="O140" s="1334"/>
      <c r="P140" s="1336"/>
      <c r="Q140" s="1339"/>
      <c r="R140" s="1323"/>
      <c r="S140" s="1338"/>
      <c r="T140" s="1323"/>
      <c r="U140" s="1323"/>
      <c r="V140" s="1323"/>
      <c r="W140" s="1323"/>
      <c r="X140" s="1323"/>
      <c r="Y140" s="1323"/>
      <c r="AA140" s="777">
        <v>1</v>
      </c>
      <c r="AB140" s="778" t="s">
        <v>1063</v>
      </c>
      <c r="AC140" s="236">
        <v>31083.496139999999</v>
      </c>
      <c r="AD140" s="778" t="str">
        <f>AB140</f>
        <v xml:space="preserve">  Кредиты</v>
      </c>
      <c r="AE140" s="236">
        <f>AC140</f>
        <v>31083.496139999999</v>
      </c>
      <c r="AF140" s="1331"/>
      <c r="AG140" s="1332"/>
      <c r="AH140" s="1332"/>
      <c r="AI140" s="1331"/>
      <c r="AJ140" s="1332"/>
      <c r="AK140" s="1332"/>
      <c r="AL140" s="771"/>
    </row>
    <row r="141" spans="1:38" ht="11.25" customHeight="1">
      <c r="A141" s="1029" t="s">
        <v>1021</v>
      </c>
      <c r="E141" s="556"/>
      <c r="F141" s="1354"/>
      <c r="G141" s="1326"/>
      <c r="H141" s="1327" t="s">
        <v>92</v>
      </c>
      <c r="I141" s="1328"/>
      <c r="J141" s="1329"/>
      <c r="K141" s="1330"/>
      <c r="L141" s="1058"/>
      <c r="M141" s="1060"/>
      <c r="N141" s="1333"/>
      <c r="O141" s="1334"/>
      <c r="P141" s="1337"/>
      <c r="Q141" s="1339"/>
      <c r="R141" s="1323"/>
      <c r="S141" s="1338"/>
      <c r="T141" s="1323"/>
      <c r="U141" s="1323"/>
      <c r="V141" s="1323"/>
      <c r="W141" s="1323"/>
      <c r="X141" s="1323"/>
      <c r="Y141" s="1323"/>
      <c r="Z141" s="229"/>
      <c r="AA141" s="230"/>
      <c r="AB141" s="44" t="s">
        <v>1064</v>
      </c>
      <c r="AC141" s="231"/>
      <c r="AD141" s="231"/>
      <c r="AE141" s="245"/>
      <c r="AF141" s="1331"/>
      <c r="AG141" s="1332"/>
      <c r="AH141" s="1332"/>
      <c r="AI141" s="1331"/>
      <c r="AJ141" s="1332"/>
      <c r="AK141" s="1332"/>
      <c r="AL141" s="771"/>
    </row>
    <row r="142" spans="1:38" ht="11.25" customHeight="1">
      <c r="A142" s="1029" t="s">
        <v>1021</v>
      </c>
      <c r="E142" s="556"/>
      <c r="F142" s="1354"/>
      <c r="G142" s="1326"/>
      <c r="H142" s="1327" t="s">
        <v>92</v>
      </c>
      <c r="I142" s="1328"/>
      <c r="J142" s="1329"/>
      <c r="K142" s="1330"/>
      <c r="L142" s="1058"/>
      <c r="M142" s="1060"/>
      <c r="N142" s="229"/>
      <c r="O142" s="230"/>
      <c r="P142" s="44" t="s">
        <v>1065</v>
      </c>
      <c r="Q142" s="230"/>
      <c r="R142" s="230"/>
      <c r="S142" s="230"/>
      <c r="T142" s="230"/>
      <c r="U142" s="230"/>
      <c r="V142" s="230"/>
      <c r="W142" s="230"/>
      <c r="X142" s="230"/>
      <c r="Y142" s="230"/>
      <c r="Z142" s="230"/>
      <c r="AA142" s="230"/>
      <c r="AB142" s="230"/>
      <c r="AC142" s="230"/>
      <c r="AD142" s="230"/>
      <c r="AE142" s="246"/>
      <c r="AF142" s="1331"/>
      <c r="AG142" s="1332"/>
      <c r="AH142" s="1332"/>
      <c r="AI142" s="1331"/>
      <c r="AJ142" s="1332"/>
      <c r="AK142" s="1332"/>
      <c r="AL142" s="771"/>
    </row>
    <row r="143" spans="1:38" ht="11.25" customHeight="1">
      <c r="A143" s="1029" t="s">
        <v>1021</v>
      </c>
      <c r="B143" s="1029" t="s">
        <v>22</v>
      </c>
      <c r="E143" s="556"/>
      <c r="F143" s="1354"/>
      <c r="G143" s="1304" t="s">
        <v>103</v>
      </c>
      <c r="H143" s="1327" t="s">
        <v>161</v>
      </c>
      <c r="I143" s="1328" t="s">
        <v>1086</v>
      </c>
      <c r="J143" s="1329" t="s">
        <v>22</v>
      </c>
      <c r="K143" s="1330" t="s">
        <v>1098</v>
      </c>
      <c r="L143" s="1058" t="s">
        <v>19</v>
      </c>
      <c r="M143" s="1060"/>
      <c r="N143" s="241"/>
      <c r="O143" s="242" t="s">
        <v>387</v>
      </c>
      <c r="P143" s="243"/>
      <c r="Q143" s="243"/>
      <c r="R143" s="243"/>
      <c r="S143" s="243"/>
      <c r="T143" s="243"/>
      <c r="U143" s="243"/>
      <c r="V143" s="243"/>
      <c r="W143" s="243"/>
      <c r="X143" s="243"/>
      <c r="Y143" s="243"/>
      <c r="Z143" s="243"/>
      <c r="AA143" s="243"/>
      <c r="AB143" s="243"/>
      <c r="AC143" s="243"/>
      <c r="AD143" s="243"/>
      <c r="AE143" s="243"/>
      <c r="AF143" s="1331">
        <v>3</v>
      </c>
      <c r="AG143" s="1332" t="s">
        <v>1055</v>
      </c>
      <c r="AH143" s="1332" t="s">
        <v>1056</v>
      </c>
      <c r="AI143" s="1331">
        <v>3</v>
      </c>
      <c r="AJ143" s="1332" t="s">
        <v>1055</v>
      </c>
      <c r="AK143" s="1332" t="s">
        <v>1056</v>
      </c>
      <c r="AL143" s="771"/>
    </row>
    <row r="144" spans="1:38" ht="11.25" customHeight="1">
      <c r="A144" s="1029" t="s">
        <v>1021</v>
      </c>
      <c r="E144" s="556"/>
      <c r="F144" s="1354"/>
      <c r="G144" s="1326"/>
      <c r="H144" s="1327" t="s">
        <v>116</v>
      </c>
      <c r="I144" s="1328"/>
      <c r="J144" s="1329"/>
      <c r="K144" s="1330"/>
      <c r="L144" s="1058"/>
      <c r="M144" s="1060"/>
      <c r="N144" s="1333"/>
      <c r="O144" s="1334">
        <v>1</v>
      </c>
      <c r="P144" s="1335" t="s">
        <v>61</v>
      </c>
      <c r="Q144" s="1339" t="s">
        <v>1074</v>
      </c>
      <c r="R144" s="1340" t="s">
        <v>1058</v>
      </c>
      <c r="S144" s="1340" t="s">
        <v>99</v>
      </c>
      <c r="T144" s="1340" t="s">
        <v>99</v>
      </c>
      <c r="U144" s="1340" t="s">
        <v>100</v>
      </c>
      <c r="V144" s="1340" t="s">
        <v>1059</v>
      </c>
      <c r="W144" s="1340" t="s">
        <v>1060</v>
      </c>
      <c r="X144" s="1340" t="s">
        <v>1070</v>
      </c>
      <c r="Y144" s="1340" t="s">
        <v>1075</v>
      </c>
      <c r="Z144" s="229"/>
      <c r="AA144" s="230"/>
      <c r="AB144" s="230"/>
      <c r="AC144" s="231"/>
      <c r="AD144" s="231"/>
      <c r="AE144" s="244"/>
      <c r="AF144" s="1331"/>
      <c r="AG144" s="1332"/>
      <c r="AH144" s="1332"/>
      <c r="AI144" s="1331"/>
      <c r="AJ144" s="1332"/>
      <c r="AK144" s="1332"/>
      <c r="AL144" s="771"/>
    </row>
    <row r="145" spans="1:38" ht="11.25" customHeight="1">
      <c r="A145" s="1029" t="s">
        <v>1021</v>
      </c>
      <c r="E145" s="556"/>
      <c r="F145" s="1354"/>
      <c r="G145" s="1326"/>
      <c r="H145" s="1327" t="s">
        <v>116</v>
      </c>
      <c r="I145" s="1328"/>
      <c r="J145" s="1329"/>
      <c r="K145" s="1330"/>
      <c r="L145" s="1058"/>
      <c r="M145" s="1060"/>
      <c r="N145" s="1333"/>
      <c r="O145" s="1334"/>
      <c r="P145" s="1336"/>
      <c r="Q145" s="1339"/>
      <c r="R145" s="1323"/>
      <c r="S145" s="1338"/>
      <c r="T145" s="1323"/>
      <c r="U145" s="1323"/>
      <c r="V145" s="1323"/>
      <c r="W145" s="1323"/>
      <c r="X145" s="1323"/>
      <c r="Y145" s="1323"/>
      <c r="AA145" s="777">
        <v>1</v>
      </c>
      <c r="AB145" s="778" t="s">
        <v>1063</v>
      </c>
      <c r="AC145" s="236">
        <v>20468.038850000001</v>
      </c>
      <c r="AD145" s="778" t="str">
        <f>AB145</f>
        <v xml:space="preserve">  Кредиты</v>
      </c>
      <c r="AE145" s="236">
        <f>AC145</f>
        <v>20468.038850000001</v>
      </c>
      <c r="AF145" s="1331"/>
      <c r="AG145" s="1332"/>
      <c r="AH145" s="1332"/>
      <c r="AI145" s="1331"/>
      <c r="AJ145" s="1332"/>
      <c r="AK145" s="1332"/>
      <c r="AL145" s="771"/>
    </row>
    <row r="146" spans="1:38" ht="11.25" customHeight="1">
      <c r="A146" s="1029" t="s">
        <v>1021</v>
      </c>
      <c r="E146" s="556"/>
      <c r="F146" s="1354"/>
      <c r="G146" s="1326"/>
      <c r="H146" s="1327" t="s">
        <v>116</v>
      </c>
      <c r="I146" s="1328"/>
      <c r="J146" s="1329"/>
      <c r="K146" s="1330"/>
      <c r="L146" s="1058"/>
      <c r="M146" s="1060"/>
      <c r="N146" s="1333"/>
      <c r="O146" s="1334"/>
      <c r="P146" s="1337"/>
      <c r="Q146" s="1339"/>
      <c r="R146" s="1323"/>
      <c r="S146" s="1338"/>
      <c r="T146" s="1323"/>
      <c r="U146" s="1323"/>
      <c r="V146" s="1323"/>
      <c r="W146" s="1323"/>
      <c r="X146" s="1323"/>
      <c r="Y146" s="1323"/>
      <c r="Z146" s="229"/>
      <c r="AA146" s="230"/>
      <c r="AB146" s="44" t="s">
        <v>1064</v>
      </c>
      <c r="AC146" s="231"/>
      <c r="AD146" s="231"/>
      <c r="AE146" s="245"/>
      <c r="AF146" s="1331"/>
      <c r="AG146" s="1332"/>
      <c r="AH146" s="1332"/>
      <c r="AI146" s="1331"/>
      <c r="AJ146" s="1332"/>
      <c r="AK146" s="1332"/>
      <c r="AL146" s="771"/>
    </row>
    <row r="147" spans="1:38" ht="11.25" customHeight="1">
      <c r="A147" s="1029" t="s">
        <v>1021</v>
      </c>
      <c r="E147" s="556"/>
      <c r="F147" s="1354"/>
      <c r="G147" s="1326"/>
      <c r="H147" s="1327" t="s">
        <v>116</v>
      </c>
      <c r="I147" s="1328"/>
      <c r="J147" s="1329"/>
      <c r="K147" s="1330"/>
      <c r="L147" s="1058"/>
      <c r="M147" s="1060"/>
      <c r="N147" s="229"/>
      <c r="O147" s="230"/>
      <c r="P147" s="44" t="s">
        <v>1065</v>
      </c>
      <c r="Q147" s="230"/>
      <c r="R147" s="230"/>
      <c r="S147" s="230"/>
      <c r="T147" s="230"/>
      <c r="U147" s="230"/>
      <c r="V147" s="230"/>
      <c r="W147" s="230"/>
      <c r="X147" s="230"/>
      <c r="Y147" s="230"/>
      <c r="Z147" s="230"/>
      <c r="AA147" s="230"/>
      <c r="AB147" s="230"/>
      <c r="AC147" s="230"/>
      <c r="AD147" s="230"/>
      <c r="AE147" s="246"/>
      <c r="AF147" s="1331"/>
      <c r="AG147" s="1332"/>
      <c r="AH147" s="1332"/>
      <c r="AI147" s="1331"/>
      <c r="AJ147" s="1332"/>
      <c r="AK147" s="1332"/>
      <c r="AL147" s="771"/>
    </row>
    <row r="148" spans="1:38" ht="11.25" customHeight="1">
      <c r="A148" s="1029" t="s">
        <v>1021</v>
      </c>
      <c r="B148" s="1029" t="s">
        <v>22</v>
      </c>
      <c r="E148" s="556"/>
      <c r="F148" s="1354"/>
      <c r="G148" s="1304" t="s">
        <v>103</v>
      </c>
      <c r="H148" s="1327" t="s">
        <v>162</v>
      </c>
      <c r="I148" s="1328" t="s">
        <v>1086</v>
      </c>
      <c r="J148" s="1329" t="s">
        <v>22</v>
      </c>
      <c r="K148" s="1330" t="s">
        <v>1099</v>
      </c>
      <c r="L148" s="1058" t="s">
        <v>19</v>
      </c>
      <c r="M148" s="1060"/>
      <c r="N148" s="241"/>
      <c r="O148" s="242" t="s">
        <v>387</v>
      </c>
      <c r="P148" s="243"/>
      <c r="Q148" s="243"/>
      <c r="R148" s="243"/>
      <c r="S148" s="243"/>
      <c r="T148" s="243"/>
      <c r="U148" s="243"/>
      <c r="V148" s="243"/>
      <c r="W148" s="243"/>
      <c r="X148" s="243"/>
      <c r="Y148" s="243"/>
      <c r="Z148" s="243"/>
      <c r="AA148" s="243"/>
      <c r="AB148" s="243"/>
      <c r="AC148" s="243"/>
      <c r="AD148" s="243"/>
      <c r="AE148" s="243"/>
      <c r="AF148" s="1331">
        <v>5</v>
      </c>
      <c r="AG148" s="1332" t="s">
        <v>1055</v>
      </c>
      <c r="AH148" s="1332" t="s">
        <v>1082</v>
      </c>
      <c r="AI148" s="1331">
        <v>5</v>
      </c>
      <c r="AJ148" s="1332" t="s">
        <v>1055</v>
      </c>
      <c r="AK148" s="1332" t="s">
        <v>1082</v>
      </c>
      <c r="AL148" s="771"/>
    </row>
    <row r="149" spans="1:38" ht="11.25" customHeight="1">
      <c r="A149" s="1029" t="s">
        <v>1021</v>
      </c>
      <c r="E149" s="556"/>
      <c r="F149" s="1354"/>
      <c r="G149" s="1326"/>
      <c r="H149" s="1327" t="s">
        <v>161</v>
      </c>
      <c r="I149" s="1328"/>
      <c r="J149" s="1329"/>
      <c r="K149" s="1330"/>
      <c r="L149" s="1058"/>
      <c r="M149" s="1060"/>
      <c r="N149" s="1333"/>
      <c r="O149" s="1334">
        <v>1</v>
      </c>
      <c r="P149" s="1335" t="s">
        <v>61</v>
      </c>
      <c r="Q149" s="1339" t="s">
        <v>1074</v>
      </c>
      <c r="R149" s="1340" t="s">
        <v>1058</v>
      </c>
      <c r="S149" s="1340" t="s">
        <v>99</v>
      </c>
      <c r="T149" s="1340" t="s">
        <v>99</v>
      </c>
      <c r="U149" s="1340" t="s">
        <v>100</v>
      </c>
      <c r="V149" s="1340" t="s">
        <v>1059</v>
      </c>
      <c r="W149" s="1340" t="s">
        <v>1060</v>
      </c>
      <c r="X149" s="1340" t="s">
        <v>1070</v>
      </c>
      <c r="Y149" s="1340" t="s">
        <v>1075</v>
      </c>
      <c r="Z149" s="229"/>
      <c r="AA149" s="230"/>
      <c r="AB149" s="230"/>
      <c r="AC149" s="231"/>
      <c r="AD149" s="231"/>
      <c r="AE149" s="244"/>
      <c r="AF149" s="1331"/>
      <c r="AG149" s="1332"/>
      <c r="AH149" s="1332"/>
      <c r="AI149" s="1331"/>
      <c r="AJ149" s="1332"/>
      <c r="AK149" s="1332"/>
      <c r="AL149" s="771"/>
    </row>
    <row r="150" spans="1:38" ht="11.25" customHeight="1">
      <c r="A150" s="1029" t="s">
        <v>1021</v>
      </c>
      <c r="E150" s="556"/>
      <c r="F150" s="1354"/>
      <c r="G150" s="1326"/>
      <c r="H150" s="1327" t="s">
        <v>161</v>
      </c>
      <c r="I150" s="1328"/>
      <c r="J150" s="1329"/>
      <c r="K150" s="1330"/>
      <c r="L150" s="1058"/>
      <c r="M150" s="1060"/>
      <c r="N150" s="1333"/>
      <c r="O150" s="1334"/>
      <c r="P150" s="1336"/>
      <c r="Q150" s="1339"/>
      <c r="R150" s="1323"/>
      <c r="S150" s="1338"/>
      <c r="T150" s="1323"/>
      <c r="U150" s="1323"/>
      <c r="V150" s="1323"/>
      <c r="W150" s="1323"/>
      <c r="X150" s="1323"/>
      <c r="Y150" s="1323"/>
      <c r="AA150" s="777">
        <v>1</v>
      </c>
      <c r="AB150" s="778" t="s">
        <v>1063</v>
      </c>
      <c r="AC150" s="236">
        <v>424.61646000000502</v>
      </c>
      <c r="AD150" s="778" t="str">
        <f>AB150</f>
        <v xml:space="preserve">  Кредиты</v>
      </c>
      <c r="AE150" s="236">
        <f>AC150</f>
        <v>424.61646000000502</v>
      </c>
      <c r="AF150" s="1331"/>
      <c r="AG150" s="1332"/>
      <c r="AH150" s="1332"/>
      <c r="AI150" s="1331"/>
      <c r="AJ150" s="1332"/>
      <c r="AK150" s="1332"/>
      <c r="AL150" s="771"/>
    </row>
    <row r="151" spans="1:38" ht="11.25" customHeight="1">
      <c r="A151" s="1029" t="s">
        <v>1021</v>
      </c>
      <c r="E151" s="556"/>
      <c r="F151" s="1354"/>
      <c r="G151" s="1326"/>
      <c r="H151" s="1327" t="s">
        <v>161</v>
      </c>
      <c r="I151" s="1328"/>
      <c r="J151" s="1329"/>
      <c r="K151" s="1330"/>
      <c r="L151" s="1058"/>
      <c r="M151" s="1060"/>
      <c r="N151" s="1333"/>
      <c r="O151" s="1334"/>
      <c r="P151" s="1337"/>
      <c r="Q151" s="1339"/>
      <c r="R151" s="1323"/>
      <c r="S151" s="1338"/>
      <c r="T151" s="1323"/>
      <c r="U151" s="1323"/>
      <c r="V151" s="1323"/>
      <c r="W151" s="1323"/>
      <c r="X151" s="1323"/>
      <c r="Y151" s="1323"/>
      <c r="Z151" s="229"/>
      <c r="AA151" s="230"/>
      <c r="AB151" s="44" t="s">
        <v>1064</v>
      </c>
      <c r="AC151" s="231"/>
      <c r="AD151" s="231"/>
      <c r="AE151" s="245"/>
      <c r="AF151" s="1331"/>
      <c r="AG151" s="1332"/>
      <c r="AH151" s="1332"/>
      <c r="AI151" s="1331"/>
      <c r="AJ151" s="1332"/>
      <c r="AK151" s="1332"/>
      <c r="AL151" s="771"/>
    </row>
    <row r="152" spans="1:38" ht="11.25" customHeight="1">
      <c r="A152" s="1029" t="s">
        <v>1021</v>
      </c>
      <c r="E152" s="556"/>
      <c r="F152" s="1354"/>
      <c r="G152" s="1326"/>
      <c r="H152" s="1327" t="s">
        <v>161</v>
      </c>
      <c r="I152" s="1328"/>
      <c r="J152" s="1329"/>
      <c r="K152" s="1330"/>
      <c r="L152" s="1058"/>
      <c r="M152" s="1060"/>
      <c r="N152" s="229"/>
      <c r="O152" s="230"/>
      <c r="P152" s="44" t="s">
        <v>1065</v>
      </c>
      <c r="Q152" s="230"/>
      <c r="R152" s="230"/>
      <c r="S152" s="230"/>
      <c r="T152" s="230"/>
      <c r="U152" s="230"/>
      <c r="V152" s="230"/>
      <c r="W152" s="230"/>
      <c r="X152" s="230"/>
      <c r="Y152" s="230"/>
      <c r="Z152" s="230"/>
      <c r="AA152" s="230"/>
      <c r="AB152" s="230"/>
      <c r="AC152" s="230"/>
      <c r="AD152" s="230"/>
      <c r="AE152" s="246"/>
      <c r="AF152" s="1331"/>
      <c r="AG152" s="1332"/>
      <c r="AH152" s="1332"/>
      <c r="AI152" s="1331"/>
      <c r="AJ152" s="1332"/>
      <c r="AK152" s="1332"/>
      <c r="AL152" s="771"/>
    </row>
    <row r="153" spans="1:38" ht="11.25" customHeight="1">
      <c r="A153" s="1029" t="s">
        <v>1021</v>
      </c>
      <c r="B153" s="1029" t="s">
        <v>22</v>
      </c>
      <c r="E153" s="556"/>
      <c r="F153" s="1354"/>
      <c r="G153" s="1304" t="s">
        <v>103</v>
      </c>
      <c r="H153" s="1327" t="s">
        <v>163</v>
      </c>
      <c r="I153" s="1328" t="s">
        <v>1080</v>
      </c>
      <c r="J153" s="1329" t="s">
        <v>22</v>
      </c>
      <c r="K153" s="1330" t="s">
        <v>1081</v>
      </c>
      <c r="L153" s="1058" t="s">
        <v>19</v>
      </c>
      <c r="M153" s="1060"/>
      <c r="N153" s="241"/>
      <c r="O153" s="242" t="s">
        <v>387</v>
      </c>
      <c r="P153" s="243"/>
      <c r="Q153" s="243"/>
      <c r="R153" s="243"/>
      <c r="S153" s="243"/>
      <c r="T153" s="243"/>
      <c r="U153" s="243"/>
      <c r="V153" s="243"/>
      <c r="W153" s="243"/>
      <c r="X153" s="243"/>
      <c r="Y153" s="243"/>
      <c r="Z153" s="243"/>
      <c r="AA153" s="243"/>
      <c r="AB153" s="243"/>
      <c r="AC153" s="243"/>
      <c r="AD153" s="243"/>
      <c r="AE153" s="243"/>
      <c r="AF153" s="1331">
        <v>5</v>
      </c>
      <c r="AG153" s="1332" t="s">
        <v>1055</v>
      </c>
      <c r="AH153" s="1332" t="s">
        <v>1082</v>
      </c>
      <c r="AI153" s="1331">
        <v>5</v>
      </c>
      <c r="AJ153" s="1332" t="s">
        <v>1055</v>
      </c>
      <c r="AK153" s="1332" t="s">
        <v>1082</v>
      </c>
      <c r="AL153" s="771"/>
    </row>
    <row r="154" spans="1:38" ht="11.25" customHeight="1">
      <c r="A154" s="1029" t="s">
        <v>1021</v>
      </c>
      <c r="E154" s="556"/>
      <c r="F154" s="1354"/>
      <c r="G154" s="1326"/>
      <c r="H154" s="1327" t="s">
        <v>162</v>
      </c>
      <c r="I154" s="1328"/>
      <c r="J154" s="1329"/>
      <c r="K154" s="1330"/>
      <c r="L154" s="1058"/>
      <c r="M154" s="1060"/>
      <c r="N154" s="1333"/>
      <c r="O154" s="1334">
        <v>1</v>
      </c>
      <c r="P154" s="1335" t="s">
        <v>19</v>
      </c>
      <c r="Q154" s="1323" t="s">
        <v>22</v>
      </c>
      <c r="R154" s="1323" t="s">
        <v>22</v>
      </c>
      <c r="S154" s="1323" t="s">
        <v>22</v>
      </c>
      <c r="T154" s="1323" t="s">
        <v>22</v>
      </c>
      <c r="U154" s="1323" t="s">
        <v>22</v>
      </c>
      <c r="V154" s="1323" t="s">
        <v>22</v>
      </c>
      <c r="W154" s="1323" t="s">
        <v>22</v>
      </c>
      <c r="X154" s="1323" t="s">
        <v>22</v>
      </c>
      <c r="Y154" s="1323"/>
      <c r="Z154" s="229"/>
      <c r="AA154" s="230"/>
      <c r="AB154" s="230"/>
      <c r="AC154" s="231"/>
      <c r="AD154" s="231"/>
      <c r="AE154" s="244"/>
      <c r="AF154" s="1331"/>
      <c r="AG154" s="1332"/>
      <c r="AH154" s="1332"/>
      <c r="AI154" s="1331"/>
      <c r="AJ154" s="1332"/>
      <c r="AK154" s="1332"/>
      <c r="AL154" s="771"/>
    </row>
    <row r="155" spans="1:38" ht="11.25" customHeight="1">
      <c r="A155" s="1029" t="s">
        <v>1021</v>
      </c>
      <c r="E155" s="556"/>
      <c r="F155" s="1354"/>
      <c r="G155" s="1326"/>
      <c r="H155" s="1327" t="s">
        <v>162</v>
      </c>
      <c r="I155" s="1328"/>
      <c r="J155" s="1329"/>
      <c r="K155" s="1330"/>
      <c r="L155" s="1058"/>
      <c r="M155" s="1060"/>
      <c r="N155" s="1333"/>
      <c r="O155" s="1334"/>
      <c r="P155" s="1336"/>
      <c r="Q155" s="1323"/>
      <c r="R155" s="1323"/>
      <c r="S155" s="1338"/>
      <c r="T155" s="1323"/>
      <c r="U155" s="1323"/>
      <c r="V155" s="1323"/>
      <c r="W155" s="1323"/>
      <c r="X155" s="1323"/>
      <c r="Y155" s="1323"/>
      <c r="AA155" s="777">
        <v>1</v>
      </c>
      <c r="AB155" s="778" t="s">
        <v>1063</v>
      </c>
      <c r="AC155" s="236">
        <v>10379.0705862</v>
      </c>
      <c r="AD155" s="778" t="str">
        <f>AB155</f>
        <v xml:space="preserve">  Кредиты</v>
      </c>
      <c r="AE155" s="236">
        <f>AC155</f>
        <v>10379.0705862</v>
      </c>
      <c r="AF155" s="1331"/>
      <c r="AG155" s="1332"/>
      <c r="AH155" s="1332"/>
      <c r="AI155" s="1331"/>
      <c r="AJ155" s="1332"/>
      <c r="AK155" s="1332"/>
      <c r="AL155" s="771"/>
    </row>
    <row r="156" spans="1:38" ht="11.25" customHeight="1">
      <c r="A156" s="1029" t="s">
        <v>1021</v>
      </c>
      <c r="E156" s="556"/>
      <c r="F156" s="1354"/>
      <c r="G156" s="1326"/>
      <c r="H156" s="1327" t="s">
        <v>162</v>
      </c>
      <c r="I156" s="1328"/>
      <c r="J156" s="1329"/>
      <c r="K156" s="1330"/>
      <c r="L156" s="1058"/>
      <c r="M156" s="1060"/>
      <c r="N156" s="1333"/>
      <c r="O156" s="1334"/>
      <c r="P156" s="1337"/>
      <c r="Q156" s="1323"/>
      <c r="R156" s="1323"/>
      <c r="S156" s="1338"/>
      <c r="T156" s="1323"/>
      <c r="U156" s="1323"/>
      <c r="V156" s="1323"/>
      <c r="W156" s="1323"/>
      <c r="X156" s="1323"/>
      <c r="Y156" s="1323"/>
      <c r="Z156" s="229"/>
      <c r="AA156" s="230"/>
      <c r="AB156" s="44" t="s">
        <v>1064</v>
      </c>
      <c r="AC156" s="231"/>
      <c r="AD156" s="231"/>
      <c r="AE156" s="245"/>
      <c r="AF156" s="1331"/>
      <c r="AG156" s="1332"/>
      <c r="AH156" s="1332"/>
      <c r="AI156" s="1331"/>
      <c r="AJ156" s="1332"/>
      <c r="AK156" s="1332"/>
      <c r="AL156" s="771"/>
    </row>
    <row r="157" spans="1:38" ht="11.25" customHeight="1">
      <c r="A157" s="1029" t="s">
        <v>1021</v>
      </c>
      <c r="E157" s="556"/>
      <c r="F157" s="1354"/>
      <c r="G157" s="1326"/>
      <c r="H157" s="1327" t="s">
        <v>162</v>
      </c>
      <c r="I157" s="1328"/>
      <c r="J157" s="1329"/>
      <c r="K157" s="1330"/>
      <c r="L157" s="1058"/>
      <c r="M157" s="1060"/>
      <c r="N157" s="229"/>
      <c r="O157" s="230"/>
      <c r="P157" s="44" t="s">
        <v>1065</v>
      </c>
      <c r="Q157" s="230"/>
      <c r="R157" s="230"/>
      <c r="S157" s="230"/>
      <c r="T157" s="230"/>
      <c r="U157" s="230"/>
      <c r="V157" s="230"/>
      <c r="W157" s="230"/>
      <c r="X157" s="230"/>
      <c r="Y157" s="230"/>
      <c r="Z157" s="230"/>
      <c r="AA157" s="230"/>
      <c r="AB157" s="230"/>
      <c r="AC157" s="230"/>
      <c r="AD157" s="230"/>
      <c r="AE157" s="246"/>
      <c r="AF157" s="1331"/>
      <c r="AG157" s="1332"/>
      <c r="AH157" s="1332"/>
      <c r="AI157" s="1331"/>
      <c r="AJ157" s="1332"/>
      <c r="AK157" s="1332"/>
      <c r="AL157" s="771"/>
    </row>
    <row r="158" spans="1:38" ht="12" customHeight="1">
      <c r="A158" t="s">
        <v>1021</v>
      </c>
      <c r="E158" s="556"/>
      <c r="F158" s="1355"/>
      <c r="G158" s="774"/>
      <c r="H158" s="774"/>
      <c r="I158" s="1352" t="s">
        <v>1083</v>
      </c>
      <c r="J158" s="1352"/>
      <c r="K158" s="1352"/>
      <c r="L158" s="775"/>
      <c r="M158" s="775"/>
      <c r="N158" s="776"/>
      <c r="O158" s="776"/>
      <c r="P158" s="776"/>
      <c r="Q158" s="776"/>
      <c r="R158" s="776"/>
      <c r="S158" s="776"/>
      <c r="T158" s="776"/>
      <c r="U158" s="776"/>
      <c r="V158" s="776"/>
      <c r="W158" s="776"/>
      <c r="X158" s="776"/>
      <c r="Y158" s="776"/>
      <c r="Z158" s="776"/>
      <c r="AA158" s="776"/>
      <c r="AB158" s="776"/>
      <c r="AC158" s="776"/>
      <c r="AD158" s="776"/>
      <c r="AE158" s="776"/>
      <c r="AF158" s="776"/>
      <c r="AG158" s="775"/>
      <c r="AH158" s="775"/>
      <c r="AI158" s="776"/>
      <c r="AJ158" s="775"/>
      <c r="AK158" s="776"/>
      <c r="AL158" s="771"/>
    </row>
    <row r="159" spans="1:38" ht="0.75" customHeight="1">
      <c r="A159" t="s">
        <v>1021</v>
      </c>
      <c r="E159" s="556"/>
      <c r="F159" s="1353">
        <v>2018</v>
      </c>
      <c r="G159" s="1327"/>
      <c r="H159" s="1357" t="s">
        <v>387</v>
      </c>
      <c r="I159" s="1358"/>
      <c r="J159" s="1350"/>
      <c r="K159" s="1350"/>
      <c r="L159" s="1351"/>
      <c r="M159" s="1200"/>
      <c r="N159" s="214"/>
      <c r="O159" s="215"/>
      <c r="P159" s="214"/>
      <c r="Q159" s="214"/>
      <c r="R159" s="214"/>
      <c r="S159" s="214"/>
      <c r="T159" s="214"/>
      <c r="U159" s="214"/>
      <c r="V159" s="214"/>
      <c r="W159" s="214"/>
      <c r="X159" s="214"/>
      <c r="Y159" s="214"/>
      <c r="Z159" s="214"/>
      <c r="AA159" s="214"/>
      <c r="AB159" s="214"/>
      <c r="AC159" s="214"/>
      <c r="AD159" s="214"/>
      <c r="AE159" s="214"/>
      <c r="AF159" s="1356"/>
      <c r="AG159" s="1351"/>
      <c r="AH159" s="1351"/>
      <c r="AI159" s="1356"/>
      <c r="AJ159" s="1351"/>
      <c r="AK159" s="1351"/>
      <c r="AL159" s="771"/>
    </row>
    <row r="160" spans="1:38" ht="0.75" customHeight="1">
      <c r="A160" t="s">
        <v>1021</v>
      </c>
      <c r="E160" s="556"/>
      <c r="F160" s="1353"/>
      <c r="G160" s="1327"/>
      <c r="H160" s="1357"/>
      <c r="I160" s="1358"/>
      <c r="J160" s="1350"/>
      <c r="K160" s="1350"/>
      <c r="L160" s="1351"/>
      <c r="M160" s="1200"/>
      <c r="N160" s="1359"/>
      <c r="O160" s="1360"/>
      <c r="P160" s="1347"/>
      <c r="Q160" s="1350"/>
      <c r="R160" s="1350"/>
      <c r="S160" s="1350"/>
      <c r="T160" s="1350"/>
      <c r="U160" s="1350"/>
      <c r="V160" s="1350"/>
      <c r="W160" s="1350"/>
      <c r="X160" s="1350"/>
      <c r="Y160" s="1350"/>
      <c r="Z160" s="216"/>
      <c r="AA160" s="217"/>
      <c r="AB160" s="217"/>
      <c r="AC160" s="218"/>
      <c r="AD160" s="218"/>
      <c r="AE160" s="219"/>
      <c r="AF160" s="1356"/>
      <c r="AG160" s="1351"/>
      <c r="AH160" s="1351"/>
      <c r="AI160" s="1356"/>
      <c r="AJ160" s="1351"/>
      <c r="AK160" s="1351"/>
      <c r="AL160" s="771"/>
    </row>
    <row r="161" spans="1:38" ht="0.75" customHeight="1">
      <c r="A161" t="s">
        <v>1021</v>
      </c>
      <c r="E161" s="556"/>
      <c r="F161" s="1353"/>
      <c r="G161" s="1327"/>
      <c r="H161" s="1357"/>
      <c r="I161" s="1358"/>
      <c r="J161" s="1350"/>
      <c r="K161" s="1350"/>
      <c r="L161" s="1351"/>
      <c r="M161" s="1200"/>
      <c r="N161" s="1359"/>
      <c r="O161" s="1360"/>
      <c r="P161" s="1348"/>
      <c r="Q161" s="1350"/>
      <c r="R161" s="1350"/>
      <c r="S161" s="1350"/>
      <c r="T161" s="1350"/>
      <c r="U161" s="1350"/>
      <c r="V161" s="1350"/>
      <c r="W161" s="1350"/>
      <c r="X161" s="1350"/>
      <c r="Y161" s="1350"/>
      <c r="AA161" s="772"/>
      <c r="AB161" s="773"/>
      <c r="AC161" s="220"/>
      <c r="AD161" s="773"/>
      <c r="AE161" s="220"/>
      <c r="AF161" s="1356"/>
      <c r="AG161" s="1351"/>
      <c r="AH161" s="1351"/>
      <c r="AI161" s="1356"/>
      <c r="AJ161" s="1351"/>
      <c r="AK161" s="1351"/>
      <c r="AL161" s="771"/>
    </row>
    <row r="162" spans="1:38" ht="0.75" customHeight="1">
      <c r="A162" t="s">
        <v>1021</v>
      </c>
      <c r="E162" s="556"/>
      <c r="F162" s="1353"/>
      <c r="G162" s="1327"/>
      <c r="H162" s="1357"/>
      <c r="I162" s="1358"/>
      <c r="J162" s="1350"/>
      <c r="K162" s="1350"/>
      <c r="L162" s="1351"/>
      <c r="M162" s="1200"/>
      <c r="N162" s="1359"/>
      <c r="O162" s="1360"/>
      <c r="P162" s="1349"/>
      <c r="Q162" s="1350"/>
      <c r="R162" s="1350"/>
      <c r="S162" s="1350"/>
      <c r="T162" s="1350"/>
      <c r="U162" s="1350"/>
      <c r="V162" s="1350"/>
      <c r="W162" s="1350"/>
      <c r="X162" s="1350"/>
      <c r="Y162" s="1350"/>
      <c r="Z162" s="216"/>
      <c r="AA162" s="217"/>
      <c r="AB162" s="221"/>
      <c r="AC162" s="218"/>
      <c r="AD162" s="218"/>
      <c r="AE162" s="222"/>
      <c r="AF162" s="1356"/>
      <c r="AG162" s="1351"/>
      <c r="AH162" s="1351"/>
      <c r="AI162" s="1356"/>
      <c r="AJ162" s="1351"/>
      <c r="AK162" s="1351"/>
      <c r="AL162" s="771"/>
    </row>
    <row r="163" spans="1:38" ht="0.75" customHeight="1">
      <c r="A163" t="s">
        <v>1021</v>
      </c>
      <c r="E163" s="556"/>
      <c r="F163" s="1353"/>
      <c r="G163" s="1327"/>
      <c r="H163" s="1357"/>
      <c r="I163" s="1358"/>
      <c r="J163" s="1350"/>
      <c r="K163" s="1350"/>
      <c r="L163" s="1351"/>
      <c r="M163" s="1200"/>
      <c r="N163" s="217"/>
      <c r="O163" s="217"/>
      <c r="P163" s="221"/>
      <c r="Q163" s="217"/>
      <c r="R163" s="217"/>
      <c r="S163" s="217"/>
      <c r="T163" s="217"/>
      <c r="U163" s="217"/>
      <c r="V163" s="217"/>
      <c r="W163" s="217"/>
      <c r="X163" s="217"/>
      <c r="Y163" s="217"/>
      <c r="Z163" s="217"/>
      <c r="AA163" s="217"/>
      <c r="AB163" s="217"/>
      <c r="AC163" s="217"/>
      <c r="AD163" s="217"/>
      <c r="AE163" s="223"/>
      <c r="AF163" s="1356"/>
      <c r="AG163" s="1351"/>
      <c r="AH163" s="1351"/>
      <c r="AI163" s="1356"/>
      <c r="AJ163" s="1351"/>
      <c r="AK163" s="1351"/>
      <c r="AL163" s="771"/>
    </row>
    <row r="164" spans="1:38" ht="11.25" customHeight="1">
      <c r="A164" s="1029" t="s">
        <v>1021</v>
      </c>
      <c r="B164" s="1029" t="s">
        <v>22</v>
      </c>
      <c r="E164" s="556"/>
      <c r="F164" s="1354"/>
      <c r="G164" s="1304" t="s">
        <v>103</v>
      </c>
      <c r="H164" s="1327" t="s">
        <v>114</v>
      </c>
      <c r="I164" s="1328" t="s">
        <v>1053</v>
      </c>
      <c r="J164" s="1329" t="s">
        <v>22</v>
      </c>
      <c r="K164" s="1330" t="s">
        <v>1054</v>
      </c>
      <c r="L164" s="1058" t="s">
        <v>19</v>
      </c>
      <c r="M164" s="1060"/>
      <c r="N164" s="241"/>
      <c r="O164" s="242" t="s">
        <v>387</v>
      </c>
      <c r="P164" s="243"/>
      <c r="Q164" s="243"/>
      <c r="R164" s="243"/>
      <c r="S164" s="243"/>
      <c r="T164" s="243"/>
      <c r="U164" s="243"/>
      <c r="V164" s="243"/>
      <c r="W164" s="243"/>
      <c r="X164" s="243"/>
      <c r="Y164" s="243"/>
      <c r="Z164" s="243"/>
      <c r="AA164" s="243"/>
      <c r="AB164" s="243"/>
      <c r="AC164" s="243"/>
      <c r="AD164" s="243"/>
      <c r="AE164" s="243"/>
      <c r="AF164" s="1331">
        <v>2</v>
      </c>
      <c r="AG164" s="1332" t="s">
        <v>1055</v>
      </c>
      <c r="AH164" s="1332" t="s">
        <v>1056</v>
      </c>
      <c r="AI164" s="1331">
        <v>2</v>
      </c>
      <c r="AJ164" s="1332" t="s">
        <v>1055</v>
      </c>
      <c r="AK164" s="1332" t="s">
        <v>1056</v>
      </c>
      <c r="AL164" s="771"/>
    </row>
    <row r="165" spans="1:38" ht="11.25" customHeight="1">
      <c r="A165" s="1029" t="s">
        <v>1021</v>
      </c>
      <c r="E165" s="556"/>
      <c r="F165" s="1354"/>
      <c r="G165" s="1326"/>
      <c r="H165" s="1327" t="s">
        <v>387</v>
      </c>
      <c r="I165" s="1328"/>
      <c r="J165" s="1329"/>
      <c r="K165" s="1330"/>
      <c r="L165" s="1058"/>
      <c r="M165" s="1060"/>
      <c r="N165" s="1333"/>
      <c r="O165" s="1334">
        <v>1</v>
      </c>
      <c r="P165" s="1335" t="s">
        <v>61</v>
      </c>
      <c r="Q165" s="1339" t="s">
        <v>1057</v>
      </c>
      <c r="R165" s="1340" t="s">
        <v>1058</v>
      </c>
      <c r="S165" s="1340" t="s">
        <v>99</v>
      </c>
      <c r="T165" s="1340" t="s">
        <v>99</v>
      </c>
      <c r="U165" s="1340" t="s">
        <v>100</v>
      </c>
      <c r="V165" s="1340" t="s">
        <v>1059</v>
      </c>
      <c r="W165" s="1340" t="s">
        <v>1060</v>
      </c>
      <c r="X165" s="1340" t="s">
        <v>1061</v>
      </c>
      <c r="Y165" s="1340" t="s">
        <v>1062</v>
      </c>
      <c r="Z165" s="229"/>
      <c r="AA165" s="230"/>
      <c r="AB165" s="230"/>
      <c r="AC165" s="231"/>
      <c r="AD165" s="231"/>
      <c r="AE165" s="244"/>
      <c r="AF165" s="1331"/>
      <c r="AG165" s="1332"/>
      <c r="AH165" s="1332"/>
      <c r="AI165" s="1331"/>
      <c r="AJ165" s="1332"/>
      <c r="AK165" s="1332"/>
      <c r="AL165" s="771"/>
    </row>
    <row r="166" spans="1:38" ht="11.25" customHeight="1">
      <c r="A166" s="1029" t="s">
        <v>1021</v>
      </c>
      <c r="E166" s="556"/>
      <c r="F166" s="1354"/>
      <c r="G166" s="1326"/>
      <c r="H166" s="1327" t="s">
        <v>387</v>
      </c>
      <c r="I166" s="1328"/>
      <c r="J166" s="1329"/>
      <c r="K166" s="1330"/>
      <c r="L166" s="1058"/>
      <c r="M166" s="1060"/>
      <c r="N166" s="1333"/>
      <c r="O166" s="1334"/>
      <c r="P166" s="1336"/>
      <c r="Q166" s="1339"/>
      <c r="R166" s="1323"/>
      <c r="S166" s="1338"/>
      <c r="T166" s="1323"/>
      <c r="U166" s="1323"/>
      <c r="V166" s="1323"/>
      <c r="W166" s="1323"/>
      <c r="X166" s="1323"/>
      <c r="Y166" s="1323"/>
      <c r="AA166" s="777">
        <v>1</v>
      </c>
      <c r="AB166" s="778" t="s">
        <v>1063</v>
      </c>
      <c r="AC166" s="236">
        <v>361.78715999999997</v>
      </c>
      <c r="AD166" s="778" t="str">
        <f>AB166</f>
        <v xml:space="preserve">  Кредиты</v>
      </c>
      <c r="AE166" s="236">
        <f>AC166</f>
        <v>361.78715999999997</v>
      </c>
      <c r="AF166" s="1331"/>
      <c r="AG166" s="1332"/>
      <c r="AH166" s="1332"/>
      <c r="AI166" s="1331"/>
      <c r="AJ166" s="1332"/>
      <c r="AK166" s="1332"/>
      <c r="AL166" s="771"/>
    </row>
    <row r="167" spans="1:38" ht="11.25" customHeight="1">
      <c r="A167" s="1029" t="s">
        <v>1021</v>
      </c>
      <c r="E167" s="556"/>
      <c r="F167" s="1354"/>
      <c r="G167" s="1326"/>
      <c r="H167" s="1327" t="s">
        <v>387</v>
      </c>
      <c r="I167" s="1328"/>
      <c r="J167" s="1329"/>
      <c r="K167" s="1330"/>
      <c r="L167" s="1058"/>
      <c r="M167" s="1060"/>
      <c r="N167" s="1333"/>
      <c r="O167" s="1334"/>
      <c r="P167" s="1337"/>
      <c r="Q167" s="1339"/>
      <c r="R167" s="1323"/>
      <c r="S167" s="1338"/>
      <c r="T167" s="1323"/>
      <c r="U167" s="1323"/>
      <c r="V167" s="1323"/>
      <c r="W167" s="1323"/>
      <c r="X167" s="1323"/>
      <c r="Y167" s="1323"/>
      <c r="Z167" s="229"/>
      <c r="AA167" s="230"/>
      <c r="AB167" s="44" t="s">
        <v>1064</v>
      </c>
      <c r="AC167" s="231"/>
      <c r="AD167" s="231"/>
      <c r="AE167" s="245"/>
      <c r="AF167" s="1331"/>
      <c r="AG167" s="1332"/>
      <c r="AH167" s="1332"/>
      <c r="AI167" s="1331"/>
      <c r="AJ167" s="1332"/>
      <c r="AK167" s="1332"/>
      <c r="AL167" s="771"/>
    </row>
    <row r="168" spans="1:38" ht="11.25" customHeight="1">
      <c r="A168" s="1029" t="s">
        <v>1021</v>
      </c>
      <c r="E168" s="556"/>
      <c r="F168" s="1354"/>
      <c r="G168" s="1326"/>
      <c r="H168" s="1327" t="s">
        <v>387</v>
      </c>
      <c r="I168" s="1328"/>
      <c r="J168" s="1329"/>
      <c r="K168" s="1330"/>
      <c r="L168" s="1058"/>
      <c r="M168" s="1060"/>
      <c r="N168" s="229"/>
      <c r="O168" s="230"/>
      <c r="P168" s="44" t="s">
        <v>1065</v>
      </c>
      <c r="Q168" s="230"/>
      <c r="R168" s="230"/>
      <c r="S168" s="230"/>
      <c r="T168" s="230"/>
      <c r="U168" s="230"/>
      <c r="V168" s="230"/>
      <c r="W168" s="230"/>
      <c r="X168" s="230"/>
      <c r="Y168" s="230"/>
      <c r="Z168" s="230"/>
      <c r="AA168" s="230"/>
      <c r="AB168" s="230"/>
      <c r="AC168" s="230"/>
      <c r="AD168" s="230"/>
      <c r="AE168" s="246"/>
      <c r="AF168" s="1331"/>
      <c r="AG168" s="1332"/>
      <c r="AH168" s="1332"/>
      <c r="AI168" s="1331"/>
      <c r="AJ168" s="1332"/>
      <c r="AK168" s="1332"/>
      <c r="AL168" s="771"/>
    </row>
    <row r="169" spans="1:38" ht="11.25" customHeight="1">
      <c r="A169" s="1029" t="s">
        <v>1021</v>
      </c>
      <c r="B169" s="1029" t="s">
        <v>22</v>
      </c>
      <c r="E169" s="556"/>
      <c r="F169" s="1354"/>
      <c r="G169" s="1304" t="s">
        <v>103</v>
      </c>
      <c r="H169" s="1327" t="s">
        <v>102</v>
      </c>
      <c r="I169" s="1328" t="s">
        <v>1053</v>
      </c>
      <c r="J169" s="1329" t="s">
        <v>22</v>
      </c>
      <c r="K169" s="1330" t="s">
        <v>1092</v>
      </c>
      <c r="L169" s="1058" t="s">
        <v>19</v>
      </c>
      <c r="M169" s="1060"/>
      <c r="N169" s="241"/>
      <c r="O169" s="242" t="s">
        <v>387</v>
      </c>
      <c r="P169" s="243"/>
      <c r="Q169" s="243"/>
      <c r="R169" s="243"/>
      <c r="S169" s="243"/>
      <c r="T169" s="243"/>
      <c r="U169" s="243"/>
      <c r="V169" s="243"/>
      <c r="W169" s="243"/>
      <c r="X169" s="243"/>
      <c r="Y169" s="243"/>
      <c r="Z169" s="243"/>
      <c r="AA169" s="243"/>
      <c r="AB169" s="243"/>
      <c r="AC169" s="243"/>
      <c r="AD169" s="243"/>
      <c r="AE169" s="243"/>
      <c r="AF169" s="1331">
        <v>5</v>
      </c>
      <c r="AG169" s="1332" t="s">
        <v>1055</v>
      </c>
      <c r="AH169" s="1332" t="s">
        <v>1093</v>
      </c>
      <c r="AI169" s="1331">
        <v>5</v>
      </c>
      <c r="AJ169" s="1332" t="s">
        <v>1055</v>
      </c>
      <c r="AK169" s="1332" t="s">
        <v>1093</v>
      </c>
      <c r="AL169" s="771"/>
    </row>
    <row r="170" spans="1:38" ht="11.25" customHeight="1">
      <c r="A170" s="1029" t="s">
        <v>1021</v>
      </c>
      <c r="E170" s="556"/>
      <c r="F170" s="1354"/>
      <c r="G170" s="1326"/>
      <c r="H170" s="1327" t="s">
        <v>114</v>
      </c>
      <c r="I170" s="1328"/>
      <c r="J170" s="1329"/>
      <c r="K170" s="1330"/>
      <c r="L170" s="1058"/>
      <c r="M170" s="1060"/>
      <c r="N170" s="1333"/>
      <c r="O170" s="1334">
        <v>1</v>
      </c>
      <c r="P170" s="1335" t="s">
        <v>61</v>
      </c>
      <c r="Q170" s="1339" t="s">
        <v>1057</v>
      </c>
      <c r="R170" s="1340" t="s">
        <v>1058</v>
      </c>
      <c r="S170" s="1340" t="s">
        <v>99</v>
      </c>
      <c r="T170" s="1340" t="s">
        <v>99</v>
      </c>
      <c r="U170" s="1340" t="s">
        <v>100</v>
      </c>
      <c r="V170" s="1340" t="s">
        <v>1059</v>
      </c>
      <c r="W170" s="1340" t="s">
        <v>1060</v>
      </c>
      <c r="X170" s="1340" t="s">
        <v>1061</v>
      </c>
      <c r="Y170" s="1340" t="s">
        <v>1062</v>
      </c>
      <c r="Z170" s="229"/>
      <c r="AA170" s="230"/>
      <c r="AB170" s="230"/>
      <c r="AC170" s="231"/>
      <c r="AD170" s="231"/>
      <c r="AE170" s="244"/>
      <c r="AF170" s="1331"/>
      <c r="AG170" s="1332"/>
      <c r="AH170" s="1332"/>
      <c r="AI170" s="1331"/>
      <c r="AJ170" s="1332"/>
      <c r="AK170" s="1332"/>
      <c r="AL170" s="771"/>
    </row>
    <row r="171" spans="1:38" ht="11.25" customHeight="1">
      <c r="A171" s="1029" t="s">
        <v>1021</v>
      </c>
      <c r="E171" s="556"/>
      <c r="F171" s="1354"/>
      <c r="G171" s="1326"/>
      <c r="H171" s="1327" t="s">
        <v>114</v>
      </c>
      <c r="I171" s="1328"/>
      <c r="J171" s="1329"/>
      <c r="K171" s="1330"/>
      <c r="L171" s="1058"/>
      <c r="M171" s="1060"/>
      <c r="N171" s="1333"/>
      <c r="O171" s="1334"/>
      <c r="P171" s="1336"/>
      <c r="Q171" s="1339"/>
      <c r="R171" s="1323"/>
      <c r="S171" s="1338"/>
      <c r="T171" s="1323"/>
      <c r="U171" s="1323"/>
      <c r="V171" s="1323"/>
      <c r="W171" s="1323"/>
      <c r="X171" s="1323"/>
      <c r="Y171" s="1323"/>
      <c r="AA171" s="777">
        <v>1</v>
      </c>
      <c r="AB171" s="778" t="s">
        <v>1063</v>
      </c>
      <c r="AC171" s="236">
        <v>5527.8173500000003</v>
      </c>
      <c r="AD171" s="778" t="str">
        <f>AB171</f>
        <v xml:space="preserve">  Кредиты</v>
      </c>
      <c r="AE171" s="236">
        <f>AC171</f>
        <v>5527.8173500000003</v>
      </c>
      <c r="AF171" s="1331"/>
      <c r="AG171" s="1332"/>
      <c r="AH171" s="1332"/>
      <c r="AI171" s="1331"/>
      <c r="AJ171" s="1332"/>
      <c r="AK171" s="1332"/>
      <c r="AL171" s="771"/>
    </row>
    <row r="172" spans="1:38" ht="11.25" customHeight="1">
      <c r="A172" s="1029" t="s">
        <v>1021</v>
      </c>
      <c r="E172" s="556"/>
      <c r="F172" s="1354"/>
      <c r="G172" s="1326"/>
      <c r="H172" s="1327" t="s">
        <v>114</v>
      </c>
      <c r="I172" s="1328"/>
      <c r="J172" s="1329"/>
      <c r="K172" s="1330"/>
      <c r="L172" s="1058"/>
      <c r="M172" s="1060"/>
      <c r="N172" s="1333"/>
      <c r="O172" s="1334"/>
      <c r="P172" s="1337"/>
      <c r="Q172" s="1339"/>
      <c r="R172" s="1323"/>
      <c r="S172" s="1338"/>
      <c r="T172" s="1323"/>
      <c r="U172" s="1323"/>
      <c r="V172" s="1323"/>
      <c r="W172" s="1323"/>
      <c r="X172" s="1323"/>
      <c r="Y172" s="1323"/>
      <c r="Z172" s="229"/>
      <c r="AA172" s="230"/>
      <c r="AB172" s="44" t="s">
        <v>1064</v>
      </c>
      <c r="AC172" s="231"/>
      <c r="AD172" s="231"/>
      <c r="AE172" s="245"/>
      <c r="AF172" s="1331"/>
      <c r="AG172" s="1332"/>
      <c r="AH172" s="1332"/>
      <c r="AI172" s="1331"/>
      <c r="AJ172" s="1332"/>
      <c r="AK172" s="1332"/>
      <c r="AL172" s="771"/>
    </row>
    <row r="173" spans="1:38" ht="11.25" customHeight="1">
      <c r="A173" s="1029" t="s">
        <v>1021</v>
      </c>
      <c r="E173" s="556"/>
      <c r="F173" s="1354"/>
      <c r="G173" s="1326"/>
      <c r="H173" s="1327" t="s">
        <v>114</v>
      </c>
      <c r="I173" s="1328"/>
      <c r="J173" s="1329"/>
      <c r="K173" s="1330"/>
      <c r="L173" s="1058"/>
      <c r="M173" s="1060"/>
      <c r="N173" s="229"/>
      <c r="O173" s="230"/>
      <c r="P173" s="44" t="s">
        <v>1065</v>
      </c>
      <c r="Q173" s="230"/>
      <c r="R173" s="230"/>
      <c r="S173" s="230"/>
      <c r="T173" s="230"/>
      <c r="U173" s="230"/>
      <c r="V173" s="230"/>
      <c r="W173" s="230"/>
      <c r="X173" s="230"/>
      <c r="Y173" s="230"/>
      <c r="Z173" s="230"/>
      <c r="AA173" s="230"/>
      <c r="AB173" s="230"/>
      <c r="AC173" s="230"/>
      <c r="AD173" s="230"/>
      <c r="AE173" s="246"/>
      <c r="AF173" s="1331"/>
      <c r="AG173" s="1332"/>
      <c r="AH173" s="1332"/>
      <c r="AI173" s="1331"/>
      <c r="AJ173" s="1332"/>
      <c r="AK173" s="1332"/>
      <c r="AL173" s="771"/>
    </row>
    <row r="174" spans="1:38" ht="11.25" customHeight="1">
      <c r="A174" s="1029" t="s">
        <v>1021</v>
      </c>
      <c r="B174" s="1029" t="s">
        <v>22</v>
      </c>
      <c r="E174" s="556"/>
      <c r="F174" s="1354"/>
      <c r="G174" s="1304" t="s">
        <v>103</v>
      </c>
      <c r="H174" s="1327" t="s">
        <v>89</v>
      </c>
      <c r="I174" s="1328" t="s">
        <v>1053</v>
      </c>
      <c r="J174" s="1329" t="s">
        <v>22</v>
      </c>
      <c r="K174" s="1330" t="s">
        <v>1094</v>
      </c>
      <c r="L174" s="1058" t="s">
        <v>19</v>
      </c>
      <c r="M174" s="1060"/>
      <c r="N174" s="241"/>
      <c r="O174" s="242" t="s">
        <v>387</v>
      </c>
      <c r="P174" s="243"/>
      <c r="Q174" s="243"/>
      <c r="R174" s="243"/>
      <c r="S174" s="243"/>
      <c r="T174" s="243"/>
      <c r="U174" s="243"/>
      <c r="V174" s="243"/>
      <c r="W174" s="243"/>
      <c r="X174" s="243"/>
      <c r="Y174" s="243"/>
      <c r="Z174" s="243"/>
      <c r="AA174" s="243"/>
      <c r="AB174" s="243"/>
      <c r="AC174" s="243"/>
      <c r="AD174" s="243"/>
      <c r="AE174" s="243"/>
      <c r="AF174" s="1331">
        <v>3</v>
      </c>
      <c r="AG174" s="1332" t="s">
        <v>1055</v>
      </c>
      <c r="AH174" s="1332" t="s">
        <v>1095</v>
      </c>
      <c r="AI174" s="1331">
        <v>3</v>
      </c>
      <c r="AJ174" s="1332" t="s">
        <v>1055</v>
      </c>
      <c r="AK174" s="1332" t="s">
        <v>1095</v>
      </c>
      <c r="AL174" s="771"/>
    </row>
    <row r="175" spans="1:38" ht="11.25" customHeight="1">
      <c r="A175" s="1029" t="s">
        <v>1021</v>
      </c>
      <c r="E175" s="556"/>
      <c r="F175" s="1354"/>
      <c r="G175" s="1326"/>
      <c r="H175" s="1327" t="s">
        <v>102</v>
      </c>
      <c r="I175" s="1328"/>
      <c r="J175" s="1329"/>
      <c r="K175" s="1330"/>
      <c r="L175" s="1058"/>
      <c r="M175" s="1060"/>
      <c r="N175" s="1333"/>
      <c r="O175" s="1334">
        <v>1</v>
      </c>
      <c r="P175" s="1335" t="s">
        <v>61</v>
      </c>
      <c r="Q175" s="1339" t="s">
        <v>1069</v>
      </c>
      <c r="R175" s="1340" t="s">
        <v>1058</v>
      </c>
      <c r="S175" s="1340" t="s">
        <v>99</v>
      </c>
      <c r="T175" s="1340" t="s">
        <v>99</v>
      </c>
      <c r="U175" s="1340" t="s">
        <v>100</v>
      </c>
      <c r="V175" s="1340" t="s">
        <v>1059</v>
      </c>
      <c r="W175" s="1340" t="s">
        <v>1060</v>
      </c>
      <c r="X175" s="1340" t="s">
        <v>1070</v>
      </c>
      <c r="Y175" s="1340" t="s">
        <v>1071</v>
      </c>
      <c r="Z175" s="229"/>
      <c r="AA175" s="230"/>
      <c r="AB175" s="230"/>
      <c r="AC175" s="231"/>
      <c r="AD175" s="231"/>
      <c r="AE175" s="244"/>
      <c r="AF175" s="1331"/>
      <c r="AG175" s="1332"/>
      <c r="AH175" s="1332"/>
      <c r="AI175" s="1331"/>
      <c r="AJ175" s="1332"/>
      <c r="AK175" s="1332"/>
      <c r="AL175" s="771"/>
    </row>
    <row r="176" spans="1:38" ht="11.25" customHeight="1">
      <c r="A176" s="1029" t="s">
        <v>1021</v>
      </c>
      <c r="E176" s="556"/>
      <c r="F176" s="1354"/>
      <c r="G176" s="1326"/>
      <c r="H176" s="1327" t="s">
        <v>102</v>
      </c>
      <c r="I176" s="1328"/>
      <c r="J176" s="1329"/>
      <c r="K176" s="1330"/>
      <c r="L176" s="1058"/>
      <c r="M176" s="1060"/>
      <c r="N176" s="1333"/>
      <c r="O176" s="1334"/>
      <c r="P176" s="1336"/>
      <c r="Q176" s="1339"/>
      <c r="R176" s="1323"/>
      <c r="S176" s="1338"/>
      <c r="T176" s="1323"/>
      <c r="U176" s="1323"/>
      <c r="V176" s="1323"/>
      <c r="W176" s="1323"/>
      <c r="X176" s="1323"/>
      <c r="Y176" s="1323"/>
      <c r="AA176" s="777">
        <v>1</v>
      </c>
      <c r="AB176" s="778" t="s">
        <v>1063</v>
      </c>
      <c r="AC176" s="236">
        <v>3741.1176099999998</v>
      </c>
      <c r="AD176" s="778" t="str">
        <f>AB176</f>
        <v xml:space="preserve">  Кредиты</v>
      </c>
      <c r="AE176" s="236">
        <f>AC176</f>
        <v>3741.1176099999998</v>
      </c>
      <c r="AF176" s="1331"/>
      <c r="AG176" s="1332"/>
      <c r="AH176" s="1332"/>
      <c r="AI176" s="1331"/>
      <c r="AJ176" s="1332"/>
      <c r="AK176" s="1332"/>
      <c r="AL176" s="771"/>
    </row>
    <row r="177" spans="1:38" ht="11.25" customHeight="1">
      <c r="A177" s="1029" t="s">
        <v>1021</v>
      </c>
      <c r="E177" s="556"/>
      <c r="F177" s="1354"/>
      <c r="G177" s="1326"/>
      <c r="H177" s="1327" t="s">
        <v>102</v>
      </c>
      <c r="I177" s="1328"/>
      <c r="J177" s="1329"/>
      <c r="K177" s="1330"/>
      <c r="L177" s="1058"/>
      <c r="M177" s="1060"/>
      <c r="N177" s="1333"/>
      <c r="O177" s="1334"/>
      <c r="P177" s="1337"/>
      <c r="Q177" s="1339"/>
      <c r="R177" s="1323"/>
      <c r="S177" s="1338"/>
      <c r="T177" s="1323"/>
      <c r="U177" s="1323"/>
      <c r="V177" s="1323"/>
      <c r="W177" s="1323"/>
      <c r="X177" s="1323"/>
      <c r="Y177" s="1323"/>
      <c r="Z177" s="229"/>
      <c r="AA177" s="230"/>
      <c r="AB177" s="44" t="s">
        <v>1064</v>
      </c>
      <c r="AC177" s="231"/>
      <c r="AD177" s="231"/>
      <c r="AE177" s="245"/>
      <c r="AF177" s="1331"/>
      <c r="AG177" s="1332"/>
      <c r="AH177" s="1332"/>
      <c r="AI177" s="1331"/>
      <c r="AJ177" s="1332"/>
      <c r="AK177" s="1332"/>
      <c r="AL177" s="771"/>
    </row>
    <row r="178" spans="1:38" ht="11.25" customHeight="1">
      <c r="A178" s="1029" t="s">
        <v>1021</v>
      </c>
      <c r="E178" s="556"/>
      <c r="F178" s="1354"/>
      <c r="G178" s="1326"/>
      <c r="H178" s="1327" t="s">
        <v>102</v>
      </c>
      <c r="I178" s="1328"/>
      <c r="J178" s="1329"/>
      <c r="K178" s="1330"/>
      <c r="L178" s="1058"/>
      <c r="M178" s="1060"/>
      <c r="N178" s="229"/>
      <c r="O178" s="230"/>
      <c r="P178" s="44" t="s">
        <v>1065</v>
      </c>
      <c r="Q178" s="230"/>
      <c r="R178" s="230"/>
      <c r="S178" s="230"/>
      <c r="T178" s="230"/>
      <c r="U178" s="230"/>
      <c r="V178" s="230"/>
      <c r="W178" s="230"/>
      <c r="X178" s="230"/>
      <c r="Y178" s="230"/>
      <c r="Z178" s="230"/>
      <c r="AA178" s="230"/>
      <c r="AB178" s="230"/>
      <c r="AC178" s="230"/>
      <c r="AD178" s="230"/>
      <c r="AE178" s="246"/>
      <c r="AF178" s="1331"/>
      <c r="AG178" s="1332"/>
      <c r="AH178" s="1332"/>
      <c r="AI178" s="1331"/>
      <c r="AJ178" s="1332"/>
      <c r="AK178" s="1332"/>
      <c r="AL178" s="771"/>
    </row>
    <row r="179" spans="1:38" ht="11.25" customHeight="1">
      <c r="A179" s="1029" t="s">
        <v>1021</v>
      </c>
      <c r="B179" s="1029" t="s">
        <v>22</v>
      </c>
      <c r="E179" s="556"/>
      <c r="F179" s="1354"/>
      <c r="G179" s="1304" t="s">
        <v>103</v>
      </c>
      <c r="H179" s="1327" t="s">
        <v>90</v>
      </c>
      <c r="I179" s="1328" t="s">
        <v>1053</v>
      </c>
      <c r="J179" s="1329" t="s">
        <v>22</v>
      </c>
      <c r="K179" s="1330" t="s">
        <v>1100</v>
      </c>
      <c r="L179" s="1058" t="s">
        <v>19</v>
      </c>
      <c r="M179" s="1060"/>
      <c r="N179" s="241"/>
      <c r="O179" s="242" t="s">
        <v>387</v>
      </c>
      <c r="P179" s="243"/>
      <c r="Q179" s="243"/>
      <c r="R179" s="243"/>
      <c r="S179" s="243"/>
      <c r="T179" s="243"/>
      <c r="U179" s="243"/>
      <c r="V179" s="243"/>
      <c r="W179" s="243"/>
      <c r="X179" s="243"/>
      <c r="Y179" s="243"/>
      <c r="Z179" s="243"/>
      <c r="AA179" s="243"/>
      <c r="AB179" s="243"/>
      <c r="AC179" s="243"/>
      <c r="AD179" s="243"/>
      <c r="AE179" s="243"/>
      <c r="AF179" s="1331">
        <v>1</v>
      </c>
      <c r="AG179" s="1332" t="s">
        <v>1055</v>
      </c>
      <c r="AH179" s="1332" t="s">
        <v>1091</v>
      </c>
      <c r="AI179" s="1331">
        <v>1</v>
      </c>
      <c r="AJ179" s="1332" t="s">
        <v>1055</v>
      </c>
      <c r="AK179" s="1332" t="s">
        <v>1091</v>
      </c>
      <c r="AL179" s="771"/>
    </row>
    <row r="180" spans="1:38" ht="11.25" customHeight="1">
      <c r="A180" s="1029" t="s">
        <v>1021</v>
      </c>
      <c r="E180" s="556"/>
      <c r="F180" s="1354"/>
      <c r="G180" s="1326"/>
      <c r="H180" s="1327" t="s">
        <v>89</v>
      </c>
      <c r="I180" s="1328"/>
      <c r="J180" s="1329"/>
      <c r="K180" s="1330"/>
      <c r="L180" s="1058"/>
      <c r="M180" s="1060"/>
      <c r="N180" s="1333"/>
      <c r="O180" s="1334">
        <v>1</v>
      </c>
      <c r="P180" s="1335" t="s">
        <v>61</v>
      </c>
      <c r="Q180" s="1339" t="s">
        <v>1057</v>
      </c>
      <c r="R180" s="1340" t="s">
        <v>1058</v>
      </c>
      <c r="S180" s="1340" t="s">
        <v>99</v>
      </c>
      <c r="T180" s="1340" t="s">
        <v>99</v>
      </c>
      <c r="U180" s="1340" t="s">
        <v>100</v>
      </c>
      <c r="V180" s="1340" t="s">
        <v>1059</v>
      </c>
      <c r="W180" s="1340" t="s">
        <v>1060</v>
      </c>
      <c r="X180" s="1340" t="s">
        <v>1061</v>
      </c>
      <c r="Y180" s="1340" t="s">
        <v>1062</v>
      </c>
      <c r="Z180" s="229"/>
      <c r="AA180" s="230"/>
      <c r="AB180" s="230"/>
      <c r="AC180" s="231"/>
      <c r="AD180" s="231"/>
      <c r="AE180" s="244"/>
      <c r="AF180" s="1331"/>
      <c r="AG180" s="1332"/>
      <c r="AH180" s="1332"/>
      <c r="AI180" s="1331"/>
      <c r="AJ180" s="1332"/>
      <c r="AK180" s="1332"/>
      <c r="AL180" s="771"/>
    </row>
    <row r="181" spans="1:38" ht="11.25" customHeight="1">
      <c r="A181" s="1029" t="s">
        <v>1021</v>
      </c>
      <c r="E181" s="556"/>
      <c r="F181" s="1354"/>
      <c r="G181" s="1326"/>
      <c r="H181" s="1327" t="s">
        <v>89</v>
      </c>
      <c r="I181" s="1328"/>
      <c r="J181" s="1329"/>
      <c r="K181" s="1330"/>
      <c r="L181" s="1058"/>
      <c r="M181" s="1060"/>
      <c r="N181" s="1333"/>
      <c r="O181" s="1334"/>
      <c r="P181" s="1336"/>
      <c r="Q181" s="1339"/>
      <c r="R181" s="1323"/>
      <c r="S181" s="1338"/>
      <c r="T181" s="1323"/>
      <c r="U181" s="1323"/>
      <c r="V181" s="1323"/>
      <c r="W181" s="1323"/>
      <c r="X181" s="1323"/>
      <c r="Y181" s="1323"/>
      <c r="AA181" s="777">
        <v>1</v>
      </c>
      <c r="AB181" s="778" t="s">
        <v>1063</v>
      </c>
      <c r="AC181" s="236">
        <v>20382</v>
      </c>
      <c r="AD181" s="778" t="str">
        <f>AB181</f>
        <v xml:space="preserve">  Кредиты</v>
      </c>
      <c r="AE181" s="236">
        <f>AC181</f>
        <v>20382</v>
      </c>
      <c r="AF181" s="1331"/>
      <c r="AG181" s="1332"/>
      <c r="AH181" s="1332"/>
      <c r="AI181" s="1331"/>
      <c r="AJ181" s="1332"/>
      <c r="AK181" s="1332"/>
      <c r="AL181" s="771"/>
    </row>
    <row r="182" spans="1:38" ht="11.25" customHeight="1">
      <c r="A182" s="1029" t="s">
        <v>1021</v>
      </c>
      <c r="E182" s="556"/>
      <c r="F182" s="1354"/>
      <c r="G182" s="1326"/>
      <c r="H182" s="1327" t="s">
        <v>89</v>
      </c>
      <c r="I182" s="1328"/>
      <c r="J182" s="1329"/>
      <c r="K182" s="1330"/>
      <c r="L182" s="1058"/>
      <c r="M182" s="1060"/>
      <c r="N182" s="1333"/>
      <c r="O182" s="1334"/>
      <c r="P182" s="1337"/>
      <c r="Q182" s="1339"/>
      <c r="R182" s="1323"/>
      <c r="S182" s="1338"/>
      <c r="T182" s="1323"/>
      <c r="U182" s="1323"/>
      <c r="V182" s="1323"/>
      <c r="W182" s="1323"/>
      <c r="X182" s="1323"/>
      <c r="Y182" s="1323"/>
      <c r="Z182" s="229"/>
      <c r="AA182" s="230"/>
      <c r="AB182" s="44" t="s">
        <v>1064</v>
      </c>
      <c r="AC182" s="231"/>
      <c r="AD182" s="231"/>
      <c r="AE182" s="245"/>
      <c r="AF182" s="1331"/>
      <c r="AG182" s="1332"/>
      <c r="AH182" s="1332"/>
      <c r="AI182" s="1331"/>
      <c r="AJ182" s="1332"/>
      <c r="AK182" s="1332"/>
      <c r="AL182" s="771"/>
    </row>
    <row r="183" spans="1:38" ht="11.25" customHeight="1">
      <c r="A183" s="1029" t="s">
        <v>1021</v>
      </c>
      <c r="E183" s="556"/>
      <c r="F183" s="1354"/>
      <c r="G183" s="1326"/>
      <c r="H183" s="1327" t="s">
        <v>89</v>
      </c>
      <c r="I183" s="1328"/>
      <c r="J183" s="1329"/>
      <c r="K183" s="1330"/>
      <c r="L183" s="1058"/>
      <c r="M183" s="1060"/>
      <c r="N183" s="229"/>
      <c r="O183" s="230"/>
      <c r="P183" s="44" t="s">
        <v>1065</v>
      </c>
      <c r="Q183" s="230"/>
      <c r="R183" s="230"/>
      <c r="S183" s="230"/>
      <c r="T183" s="230"/>
      <c r="U183" s="230"/>
      <c r="V183" s="230"/>
      <c r="W183" s="230"/>
      <c r="X183" s="230"/>
      <c r="Y183" s="230"/>
      <c r="Z183" s="230"/>
      <c r="AA183" s="230"/>
      <c r="AB183" s="230"/>
      <c r="AC183" s="230"/>
      <c r="AD183" s="230"/>
      <c r="AE183" s="246"/>
      <c r="AF183" s="1331"/>
      <c r="AG183" s="1332"/>
      <c r="AH183" s="1332"/>
      <c r="AI183" s="1331"/>
      <c r="AJ183" s="1332"/>
      <c r="AK183" s="1332"/>
      <c r="AL183" s="771"/>
    </row>
    <row r="184" spans="1:38" ht="11.25" customHeight="1">
      <c r="A184" s="1029" t="s">
        <v>1021</v>
      </c>
      <c r="B184" s="1029" t="s">
        <v>22</v>
      </c>
      <c r="E184" s="556"/>
      <c r="F184" s="1354"/>
      <c r="G184" s="1304" t="s">
        <v>103</v>
      </c>
      <c r="H184" s="1327" t="s">
        <v>115</v>
      </c>
      <c r="I184" s="1328" t="s">
        <v>1053</v>
      </c>
      <c r="J184" s="1329" t="s">
        <v>22</v>
      </c>
      <c r="K184" s="1330" t="s">
        <v>1101</v>
      </c>
      <c r="L184" s="1058" t="s">
        <v>19</v>
      </c>
      <c r="M184" s="1060"/>
      <c r="N184" s="241"/>
      <c r="O184" s="242" t="s">
        <v>387</v>
      </c>
      <c r="P184" s="243"/>
      <c r="Q184" s="243"/>
      <c r="R184" s="243"/>
      <c r="S184" s="243"/>
      <c r="T184" s="243"/>
      <c r="U184" s="243"/>
      <c r="V184" s="243"/>
      <c r="W184" s="243"/>
      <c r="X184" s="243"/>
      <c r="Y184" s="243"/>
      <c r="Z184" s="243"/>
      <c r="AA184" s="243"/>
      <c r="AB184" s="243"/>
      <c r="AC184" s="243"/>
      <c r="AD184" s="243"/>
      <c r="AE184" s="243"/>
      <c r="AF184" s="1331">
        <v>9</v>
      </c>
      <c r="AG184" s="1332" t="s">
        <v>1055</v>
      </c>
      <c r="AH184" s="1332" t="s">
        <v>1102</v>
      </c>
      <c r="AI184" s="1331">
        <v>9</v>
      </c>
      <c r="AJ184" s="1332" t="s">
        <v>1055</v>
      </c>
      <c r="AK184" s="1332" t="s">
        <v>1102</v>
      </c>
      <c r="AL184" s="771"/>
    </row>
    <row r="185" spans="1:38" ht="11.25" customHeight="1">
      <c r="A185" s="1029" t="s">
        <v>1021</v>
      </c>
      <c r="E185" s="556"/>
      <c r="F185" s="1354"/>
      <c r="G185" s="1326"/>
      <c r="H185" s="1327" t="s">
        <v>90</v>
      </c>
      <c r="I185" s="1328"/>
      <c r="J185" s="1329"/>
      <c r="K185" s="1330"/>
      <c r="L185" s="1058"/>
      <c r="M185" s="1060"/>
      <c r="N185" s="1333"/>
      <c r="O185" s="1334">
        <v>1</v>
      </c>
      <c r="P185" s="1335" t="s">
        <v>61</v>
      </c>
      <c r="Q185" s="1339" t="s">
        <v>1103</v>
      </c>
      <c r="R185" s="1340" t="s">
        <v>1104</v>
      </c>
      <c r="S185" s="1340" t="s">
        <v>99</v>
      </c>
      <c r="T185" s="1340" t="s">
        <v>99</v>
      </c>
      <c r="U185" s="1340" t="s">
        <v>100</v>
      </c>
      <c r="V185" s="1340" t="s">
        <v>1059</v>
      </c>
      <c r="W185" s="1340" t="s">
        <v>1060</v>
      </c>
      <c r="X185" s="1340" t="s">
        <v>1105</v>
      </c>
      <c r="Y185" s="1340" t="s">
        <v>1106</v>
      </c>
      <c r="Z185" s="229"/>
      <c r="AA185" s="230"/>
      <c r="AB185" s="230"/>
      <c r="AC185" s="231"/>
      <c r="AD185" s="231"/>
      <c r="AE185" s="244"/>
      <c r="AF185" s="1331"/>
      <c r="AG185" s="1332"/>
      <c r="AH185" s="1332"/>
      <c r="AI185" s="1331"/>
      <c r="AJ185" s="1332"/>
      <c r="AK185" s="1332"/>
      <c r="AL185" s="771"/>
    </row>
    <row r="186" spans="1:38" ht="11.25" customHeight="1">
      <c r="A186" s="1029" t="s">
        <v>1021</v>
      </c>
      <c r="E186" s="556"/>
      <c r="F186" s="1354"/>
      <c r="G186" s="1326"/>
      <c r="H186" s="1327" t="s">
        <v>90</v>
      </c>
      <c r="I186" s="1328"/>
      <c r="J186" s="1329"/>
      <c r="K186" s="1330"/>
      <c r="L186" s="1058"/>
      <c r="M186" s="1060"/>
      <c r="N186" s="1333"/>
      <c r="O186" s="1334"/>
      <c r="P186" s="1336"/>
      <c r="Q186" s="1339"/>
      <c r="R186" s="1323"/>
      <c r="S186" s="1338"/>
      <c r="T186" s="1323"/>
      <c r="U186" s="1323"/>
      <c r="V186" s="1323"/>
      <c r="W186" s="1323"/>
      <c r="X186" s="1323"/>
      <c r="Y186" s="1323"/>
      <c r="AA186" s="777">
        <v>1</v>
      </c>
      <c r="AB186" s="778" t="s">
        <v>1063</v>
      </c>
      <c r="AC186" s="236">
        <v>4227.5065999999997</v>
      </c>
      <c r="AD186" s="778" t="str">
        <f>AB186</f>
        <v xml:space="preserve">  Кредиты</v>
      </c>
      <c r="AE186" s="236">
        <f>AC186</f>
        <v>4227.5065999999997</v>
      </c>
      <c r="AF186" s="1331"/>
      <c r="AG186" s="1332"/>
      <c r="AH186" s="1332"/>
      <c r="AI186" s="1331"/>
      <c r="AJ186" s="1332"/>
      <c r="AK186" s="1332"/>
      <c r="AL186" s="771"/>
    </row>
    <row r="187" spans="1:38" ht="11.25" customHeight="1">
      <c r="A187" s="1029" t="s">
        <v>1021</v>
      </c>
      <c r="E187" s="556"/>
      <c r="F187" s="1354"/>
      <c r="G187" s="1326"/>
      <c r="H187" s="1327" t="s">
        <v>90</v>
      </c>
      <c r="I187" s="1328"/>
      <c r="J187" s="1329"/>
      <c r="K187" s="1330"/>
      <c r="L187" s="1058"/>
      <c r="M187" s="1060"/>
      <c r="N187" s="1333"/>
      <c r="O187" s="1334"/>
      <c r="P187" s="1337"/>
      <c r="Q187" s="1339"/>
      <c r="R187" s="1323"/>
      <c r="S187" s="1338"/>
      <c r="T187" s="1323"/>
      <c r="U187" s="1323"/>
      <c r="V187" s="1323"/>
      <c r="W187" s="1323"/>
      <c r="X187" s="1323"/>
      <c r="Y187" s="1323"/>
      <c r="Z187" s="229"/>
      <c r="AA187" s="230"/>
      <c r="AB187" s="44" t="s">
        <v>1064</v>
      </c>
      <c r="AC187" s="231"/>
      <c r="AD187" s="231"/>
      <c r="AE187" s="245"/>
      <c r="AF187" s="1331"/>
      <c r="AG187" s="1332"/>
      <c r="AH187" s="1332"/>
      <c r="AI187" s="1331"/>
      <c r="AJ187" s="1332"/>
      <c r="AK187" s="1332"/>
      <c r="AL187" s="771"/>
    </row>
    <row r="188" spans="1:38" ht="11.25" customHeight="1">
      <c r="A188" s="1029" t="s">
        <v>1021</v>
      </c>
      <c r="E188" s="556"/>
      <c r="F188" s="1354"/>
      <c r="G188" s="1326"/>
      <c r="H188" s="1327" t="s">
        <v>90</v>
      </c>
      <c r="I188" s="1328"/>
      <c r="J188" s="1329"/>
      <c r="K188" s="1330"/>
      <c r="L188" s="1058"/>
      <c r="M188" s="1060"/>
      <c r="N188" s="229"/>
      <c r="O188" s="230"/>
      <c r="P188" s="44" t="s">
        <v>1065</v>
      </c>
      <c r="Q188" s="230"/>
      <c r="R188" s="230"/>
      <c r="S188" s="230"/>
      <c r="T188" s="230"/>
      <c r="U188" s="230"/>
      <c r="V188" s="230"/>
      <c r="W188" s="230"/>
      <c r="X188" s="230"/>
      <c r="Y188" s="230"/>
      <c r="Z188" s="230"/>
      <c r="AA188" s="230"/>
      <c r="AB188" s="230"/>
      <c r="AC188" s="230"/>
      <c r="AD188" s="230"/>
      <c r="AE188" s="246"/>
      <c r="AF188" s="1331"/>
      <c r="AG188" s="1332"/>
      <c r="AH188" s="1332"/>
      <c r="AI188" s="1331"/>
      <c r="AJ188" s="1332"/>
      <c r="AK188" s="1332"/>
      <c r="AL188" s="771"/>
    </row>
    <row r="189" spans="1:38" ht="11.25" customHeight="1">
      <c r="A189" s="1029" t="s">
        <v>1021</v>
      </c>
      <c r="B189" s="1029" t="s">
        <v>22</v>
      </c>
      <c r="E189" s="556"/>
      <c r="F189" s="1354"/>
      <c r="G189" s="1304" t="s">
        <v>103</v>
      </c>
      <c r="H189" s="1327" t="s">
        <v>91</v>
      </c>
      <c r="I189" s="1328" t="s">
        <v>1053</v>
      </c>
      <c r="J189" s="1329" t="s">
        <v>22</v>
      </c>
      <c r="K189" s="1330" t="s">
        <v>1107</v>
      </c>
      <c r="L189" s="1058" t="s">
        <v>19</v>
      </c>
      <c r="M189" s="1060"/>
      <c r="N189" s="241"/>
      <c r="O189" s="242" t="s">
        <v>387</v>
      </c>
      <c r="P189" s="243"/>
      <c r="Q189" s="243"/>
      <c r="R189" s="243"/>
      <c r="S189" s="243"/>
      <c r="T189" s="243"/>
      <c r="U189" s="243"/>
      <c r="V189" s="243"/>
      <c r="W189" s="243"/>
      <c r="X189" s="243"/>
      <c r="Y189" s="243"/>
      <c r="Z189" s="243"/>
      <c r="AA189" s="243"/>
      <c r="AB189" s="243"/>
      <c r="AC189" s="243"/>
      <c r="AD189" s="243"/>
      <c r="AE189" s="243"/>
      <c r="AF189" s="1331">
        <v>4</v>
      </c>
      <c r="AG189" s="1332" t="s">
        <v>1055</v>
      </c>
      <c r="AH189" s="1332" t="s">
        <v>1082</v>
      </c>
      <c r="AI189" s="1331">
        <v>4</v>
      </c>
      <c r="AJ189" s="1332" t="s">
        <v>1055</v>
      </c>
      <c r="AK189" s="1332" t="s">
        <v>1082</v>
      </c>
      <c r="AL189" s="771"/>
    </row>
    <row r="190" spans="1:38" ht="11.25" customHeight="1">
      <c r="A190" s="1029" t="s">
        <v>1021</v>
      </c>
      <c r="E190" s="556"/>
      <c r="F190" s="1354"/>
      <c r="G190" s="1326"/>
      <c r="H190" s="1327" t="s">
        <v>115</v>
      </c>
      <c r="I190" s="1328"/>
      <c r="J190" s="1329"/>
      <c r="K190" s="1330"/>
      <c r="L190" s="1058"/>
      <c r="M190" s="1060"/>
      <c r="N190" s="1333"/>
      <c r="O190" s="1334">
        <v>1</v>
      </c>
      <c r="P190" s="1335" t="s">
        <v>61</v>
      </c>
      <c r="Q190" s="1339" t="s">
        <v>1069</v>
      </c>
      <c r="R190" s="1340" t="s">
        <v>1058</v>
      </c>
      <c r="S190" s="1340" t="s">
        <v>99</v>
      </c>
      <c r="T190" s="1340" t="s">
        <v>99</v>
      </c>
      <c r="U190" s="1340" t="s">
        <v>100</v>
      </c>
      <c r="V190" s="1340" t="s">
        <v>1059</v>
      </c>
      <c r="W190" s="1340" t="s">
        <v>1060</v>
      </c>
      <c r="X190" s="1340" t="s">
        <v>1070</v>
      </c>
      <c r="Y190" s="1340" t="s">
        <v>1071</v>
      </c>
      <c r="Z190" s="229"/>
      <c r="AA190" s="230"/>
      <c r="AB190" s="230"/>
      <c r="AC190" s="231"/>
      <c r="AD190" s="231"/>
      <c r="AE190" s="244"/>
      <c r="AF190" s="1331"/>
      <c r="AG190" s="1332"/>
      <c r="AH190" s="1332"/>
      <c r="AI190" s="1331"/>
      <c r="AJ190" s="1332"/>
      <c r="AK190" s="1332"/>
      <c r="AL190" s="771"/>
    </row>
    <row r="191" spans="1:38" ht="11.25" customHeight="1">
      <c r="A191" s="1029" t="s">
        <v>1021</v>
      </c>
      <c r="E191" s="556"/>
      <c r="F191" s="1354"/>
      <c r="G191" s="1326"/>
      <c r="H191" s="1327" t="s">
        <v>115</v>
      </c>
      <c r="I191" s="1328"/>
      <c r="J191" s="1329"/>
      <c r="K191" s="1330"/>
      <c r="L191" s="1058"/>
      <c r="M191" s="1060"/>
      <c r="N191" s="1333"/>
      <c r="O191" s="1334"/>
      <c r="P191" s="1336"/>
      <c r="Q191" s="1339"/>
      <c r="R191" s="1323"/>
      <c r="S191" s="1338"/>
      <c r="T191" s="1323"/>
      <c r="U191" s="1323"/>
      <c r="V191" s="1323"/>
      <c r="W191" s="1323"/>
      <c r="X191" s="1323"/>
      <c r="Y191" s="1323"/>
      <c r="AA191" s="777">
        <v>1</v>
      </c>
      <c r="AB191" s="778" t="s">
        <v>1063</v>
      </c>
      <c r="AC191" s="236">
        <v>19.070180000000001</v>
      </c>
      <c r="AD191" s="778" t="str">
        <f>AB191</f>
        <v xml:space="preserve">  Кредиты</v>
      </c>
      <c r="AE191" s="236">
        <f>AC191</f>
        <v>19.070180000000001</v>
      </c>
      <c r="AF191" s="1331"/>
      <c r="AG191" s="1332"/>
      <c r="AH191" s="1332"/>
      <c r="AI191" s="1331"/>
      <c r="AJ191" s="1332"/>
      <c r="AK191" s="1332"/>
      <c r="AL191" s="771"/>
    </row>
    <row r="192" spans="1:38" ht="11.25" customHeight="1">
      <c r="A192" s="1029" t="s">
        <v>1021</v>
      </c>
      <c r="E192" s="556"/>
      <c r="F192" s="1354"/>
      <c r="G192" s="1326"/>
      <c r="H192" s="1327" t="s">
        <v>115</v>
      </c>
      <c r="I192" s="1328"/>
      <c r="J192" s="1329"/>
      <c r="K192" s="1330"/>
      <c r="L192" s="1058"/>
      <c r="M192" s="1060"/>
      <c r="N192" s="1333"/>
      <c r="O192" s="1334"/>
      <c r="P192" s="1337"/>
      <c r="Q192" s="1339"/>
      <c r="R192" s="1323"/>
      <c r="S192" s="1338"/>
      <c r="T192" s="1323"/>
      <c r="U192" s="1323"/>
      <c r="V192" s="1323"/>
      <c r="W192" s="1323"/>
      <c r="X192" s="1323"/>
      <c r="Y192" s="1323"/>
      <c r="Z192" s="229"/>
      <c r="AA192" s="230"/>
      <c r="AB192" s="44" t="s">
        <v>1064</v>
      </c>
      <c r="AC192" s="231"/>
      <c r="AD192" s="231"/>
      <c r="AE192" s="245"/>
      <c r="AF192" s="1331"/>
      <c r="AG192" s="1332"/>
      <c r="AH192" s="1332"/>
      <c r="AI192" s="1331"/>
      <c r="AJ192" s="1332"/>
      <c r="AK192" s="1332"/>
      <c r="AL192" s="771"/>
    </row>
    <row r="193" spans="1:38" ht="11.25" customHeight="1">
      <c r="A193" s="1029" t="s">
        <v>1021</v>
      </c>
      <c r="E193" s="556"/>
      <c r="F193" s="1354"/>
      <c r="G193" s="1326"/>
      <c r="H193" s="1327" t="s">
        <v>115</v>
      </c>
      <c r="I193" s="1328"/>
      <c r="J193" s="1329"/>
      <c r="K193" s="1330"/>
      <c r="L193" s="1058"/>
      <c r="M193" s="1060"/>
      <c r="N193" s="229"/>
      <c r="O193" s="230"/>
      <c r="P193" s="44" t="s">
        <v>1065</v>
      </c>
      <c r="Q193" s="230"/>
      <c r="R193" s="230"/>
      <c r="S193" s="230"/>
      <c r="T193" s="230"/>
      <c r="U193" s="230"/>
      <c r="V193" s="230"/>
      <c r="W193" s="230"/>
      <c r="X193" s="230"/>
      <c r="Y193" s="230"/>
      <c r="Z193" s="230"/>
      <c r="AA193" s="230"/>
      <c r="AB193" s="230"/>
      <c r="AC193" s="230"/>
      <c r="AD193" s="230"/>
      <c r="AE193" s="246"/>
      <c r="AF193" s="1331"/>
      <c r="AG193" s="1332"/>
      <c r="AH193" s="1332"/>
      <c r="AI193" s="1331"/>
      <c r="AJ193" s="1332"/>
      <c r="AK193" s="1332"/>
      <c r="AL193" s="771"/>
    </row>
    <row r="194" spans="1:38" ht="11.25" customHeight="1">
      <c r="A194" s="1029" t="s">
        <v>1021</v>
      </c>
      <c r="B194" s="1029" t="s">
        <v>1076</v>
      </c>
      <c r="E194" s="556"/>
      <c r="F194" s="1354"/>
      <c r="G194" s="1304" t="s">
        <v>103</v>
      </c>
      <c r="H194" s="1327" t="s">
        <v>92</v>
      </c>
      <c r="I194" s="1328" t="s">
        <v>1077</v>
      </c>
      <c r="J194" s="1341" t="s">
        <v>1078</v>
      </c>
      <c r="K194" s="1330" t="s">
        <v>1084</v>
      </c>
      <c r="L194" s="1058" t="s">
        <v>61</v>
      </c>
      <c r="M194" s="1342" t="s">
        <v>1020</v>
      </c>
      <c r="N194" s="241"/>
      <c r="O194" s="242" t="s">
        <v>387</v>
      </c>
      <c r="P194" s="243"/>
      <c r="Q194" s="243"/>
      <c r="R194" s="243"/>
      <c r="S194" s="243"/>
      <c r="T194" s="243"/>
      <c r="U194" s="243"/>
      <c r="V194" s="243"/>
      <c r="W194" s="243"/>
      <c r="X194" s="243"/>
      <c r="Y194" s="243"/>
      <c r="Z194" s="243"/>
      <c r="AA194" s="243"/>
      <c r="AB194" s="243"/>
      <c r="AC194" s="243"/>
      <c r="AD194" s="243"/>
      <c r="AE194" s="243"/>
      <c r="AF194" s="1331">
        <v>11</v>
      </c>
      <c r="AG194" s="1332" t="s">
        <v>1055</v>
      </c>
      <c r="AH194" s="1332" t="s">
        <v>1085</v>
      </c>
      <c r="AI194" s="1331">
        <v>11</v>
      </c>
      <c r="AJ194" s="1332" t="s">
        <v>1055</v>
      </c>
      <c r="AK194" s="1332" t="s">
        <v>1085</v>
      </c>
      <c r="AL194" s="771"/>
    </row>
    <row r="195" spans="1:38" ht="11.25" customHeight="1">
      <c r="A195" s="1029" t="s">
        <v>1021</v>
      </c>
      <c r="E195" s="556"/>
      <c r="F195" s="1354"/>
      <c r="G195" s="1326"/>
      <c r="H195" s="1327" t="s">
        <v>91</v>
      </c>
      <c r="I195" s="1328"/>
      <c r="J195" s="1341"/>
      <c r="K195" s="1330"/>
      <c r="L195" s="1058"/>
      <c r="M195" s="1342"/>
      <c r="N195" s="1333"/>
      <c r="O195" s="1334">
        <v>1</v>
      </c>
      <c r="P195" s="1335" t="s">
        <v>19</v>
      </c>
      <c r="Q195" s="1329" t="s">
        <v>22</v>
      </c>
      <c r="R195" s="1329" t="s">
        <v>22</v>
      </c>
      <c r="S195" s="1329" t="s">
        <v>22</v>
      </c>
      <c r="T195" s="1329" t="s">
        <v>22</v>
      </c>
      <c r="U195" s="1329" t="s">
        <v>22</v>
      </c>
      <c r="V195" s="1329" t="s">
        <v>22</v>
      </c>
      <c r="W195" s="1329" t="s">
        <v>22</v>
      </c>
      <c r="X195" s="1329" t="s">
        <v>22</v>
      </c>
      <c r="Y195" s="1329" t="s">
        <v>22</v>
      </c>
      <c r="Z195" s="229"/>
      <c r="AA195" s="230"/>
      <c r="AB195" s="230"/>
      <c r="AC195" s="231"/>
      <c r="AD195" s="231"/>
      <c r="AE195" s="244"/>
      <c r="AF195" s="1331"/>
      <c r="AG195" s="1332"/>
      <c r="AH195" s="1332"/>
      <c r="AI195" s="1331"/>
      <c r="AJ195" s="1332"/>
      <c r="AK195" s="1332"/>
      <c r="AL195" s="771"/>
    </row>
    <row r="196" spans="1:38" ht="11.25" customHeight="1">
      <c r="A196" s="1029" t="s">
        <v>1021</v>
      </c>
      <c r="E196" s="556"/>
      <c r="F196" s="1354"/>
      <c r="G196" s="1326"/>
      <c r="H196" s="1327" t="s">
        <v>91</v>
      </c>
      <c r="I196" s="1328"/>
      <c r="J196" s="1341"/>
      <c r="K196" s="1330"/>
      <c r="L196" s="1058"/>
      <c r="M196" s="1342"/>
      <c r="N196" s="1333"/>
      <c r="O196" s="1334"/>
      <c r="P196" s="1336"/>
      <c r="Q196" s="1339"/>
      <c r="R196" s="1323"/>
      <c r="S196" s="1338"/>
      <c r="T196" s="1323"/>
      <c r="U196" s="1323"/>
      <c r="V196" s="1323"/>
      <c r="W196" s="1323"/>
      <c r="X196" s="1323"/>
      <c r="Y196" s="1323"/>
      <c r="AA196" s="777">
        <v>1</v>
      </c>
      <c r="AB196" s="778" t="s">
        <v>1063</v>
      </c>
      <c r="AC196" s="236">
        <v>47963.441630000001</v>
      </c>
      <c r="AD196" s="778" t="str">
        <f>AB196</f>
        <v xml:space="preserve">  Кредиты</v>
      </c>
      <c r="AE196" s="236">
        <f>AC196</f>
        <v>47963.441630000001</v>
      </c>
      <c r="AF196" s="1331"/>
      <c r="AG196" s="1332"/>
      <c r="AH196" s="1332"/>
      <c r="AI196" s="1331"/>
      <c r="AJ196" s="1332"/>
      <c r="AK196" s="1332"/>
      <c r="AL196" s="771"/>
    </row>
    <row r="197" spans="1:38" ht="11.25" customHeight="1">
      <c r="A197" s="1029" t="s">
        <v>1021</v>
      </c>
      <c r="E197" s="556"/>
      <c r="F197" s="1354"/>
      <c r="G197" s="1326"/>
      <c r="H197" s="1327" t="s">
        <v>91</v>
      </c>
      <c r="I197" s="1328"/>
      <c r="J197" s="1341"/>
      <c r="K197" s="1330"/>
      <c r="L197" s="1058"/>
      <c r="M197" s="1342"/>
      <c r="N197" s="1333"/>
      <c r="O197" s="1334"/>
      <c r="P197" s="1337"/>
      <c r="Q197" s="1339"/>
      <c r="R197" s="1323"/>
      <c r="S197" s="1338"/>
      <c r="T197" s="1323"/>
      <c r="U197" s="1323"/>
      <c r="V197" s="1323"/>
      <c r="W197" s="1323"/>
      <c r="X197" s="1323"/>
      <c r="Y197" s="1323"/>
      <c r="Z197" s="229"/>
      <c r="AA197" s="230"/>
      <c r="AB197" s="44" t="s">
        <v>1064</v>
      </c>
      <c r="AC197" s="231"/>
      <c r="AD197" s="231"/>
      <c r="AE197" s="245"/>
      <c r="AF197" s="1331"/>
      <c r="AG197" s="1332"/>
      <c r="AH197" s="1332"/>
      <c r="AI197" s="1331"/>
      <c r="AJ197" s="1332"/>
      <c r="AK197" s="1332"/>
      <c r="AL197" s="771"/>
    </row>
    <row r="198" spans="1:38" ht="11.25" customHeight="1">
      <c r="A198" s="1029" t="s">
        <v>1021</v>
      </c>
      <c r="E198" s="556"/>
      <c r="F198" s="1354"/>
      <c r="G198" s="1326"/>
      <c r="H198" s="1327" t="s">
        <v>91</v>
      </c>
      <c r="I198" s="1328"/>
      <c r="J198" s="1341"/>
      <c r="K198" s="1330"/>
      <c r="L198" s="1058"/>
      <c r="M198" s="1342"/>
      <c r="N198" s="229"/>
      <c r="O198" s="230"/>
      <c r="P198" s="44" t="s">
        <v>1065</v>
      </c>
      <c r="Q198" s="230"/>
      <c r="R198" s="230"/>
      <c r="S198" s="230"/>
      <c r="T198" s="230"/>
      <c r="U198" s="230"/>
      <c r="V198" s="230"/>
      <c r="W198" s="230"/>
      <c r="X198" s="230"/>
      <c r="Y198" s="230"/>
      <c r="Z198" s="230"/>
      <c r="AA198" s="230"/>
      <c r="AB198" s="230"/>
      <c r="AC198" s="230"/>
      <c r="AD198" s="230"/>
      <c r="AE198" s="246"/>
      <c r="AF198" s="1331"/>
      <c r="AG198" s="1332"/>
      <c r="AH198" s="1332"/>
      <c r="AI198" s="1331"/>
      <c r="AJ198" s="1332"/>
      <c r="AK198" s="1332"/>
      <c r="AL198" s="771"/>
    </row>
    <row r="199" spans="1:38" ht="11.25" customHeight="1">
      <c r="A199" s="1029" t="s">
        <v>1021</v>
      </c>
      <c r="B199" s="1029" t="s">
        <v>1076</v>
      </c>
      <c r="E199" s="556"/>
      <c r="F199" s="1354"/>
      <c r="G199" s="1304" t="s">
        <v>103</v>
      </c>
      <c r="H199" s="1327" t="s">
        <v>116</v>
      </c>
      <c r="I199" s="1328" t="s">
        <v>1077</v>
      </c>
      <c r="J199" s="1341" t="s">
        <v>1078</v>
      </c>
      <c r="K199" s="1330" t="s">
        <v>1108</v>
      </c>
      <c r="L199" s="1058" t="s">
        <v>61</v>
      </c>
      <c r="M199" s="1342" t="s">
        <v>1020</v>
      </c>
      <c r="N199" s="241"/>
      <c r="O199" s="242" t="s">
        <v>387</v>
      </c>
      <c r="P199" s="243"/>
      <c r="Q199" s="243"/>
      <c r="R199" s="243"/>
      <c r="S199" s="243"/>
      <c r="T199" s="243"/>
      <c r="U199" s="243"/>
      <c r="V199" s="243"/>
      <c r="W199" s="243"/>
      <c r="X199" s="243"/>
      <c r="Y199" s="243"/>
      <c r="Z199" s="243"/>
      <c r="AA199" s="243"/>
      <c r="AB199" s="243"/>
      <c r="AC199" s="243"/>
      <c r="AD199" s="243"/>
      <c r="AE199" s="243"/>
      <c r="AF199" s="1331">
        <v>10</v>
      </c>
      <c r="AG199" s="1332" t="s">
        <v>1055</v>
      </c>
      <c r="AH199" s="1332" t="s">
        <v>1109</v>
      </c>
      <c r="AI199" s="1331">
        <v>10</v>
      </c>
      <c r="AJ199" s="1332" t="s">
        <v>1055</v>
      </c>
      <c r="AK199" s="1332" t="s">
        <v>1109</v>
      </c>
      <c r="AL199" s="771"/>
    </row>
    <row r="200" spans="1:38" ht="11.25" customHeight="1">
      <c r="A200" s="1029" t="s">
        <v>1021</v>
      </c>
      <c r="E200" s="556"/>
      <c r="F200" s="1354"/>
      <c r="G200" s="1326"/>
      <c r="H200" s="1327" t="s">
        <v>92</v>
      </c>
      <c r="I200" s="1328"/>
      <c r="J200" s="1341"/>
      <c r="K200" s="1330"/>
      <c r="L200" s="1058"/>
      <c r="M200" s="1342"/>
      <c r="N200" s="1333"/>
      <c r="O200" s="1334">
        <v>1</v>
      </c>
      <c r="P200" s="1335" t="s">
        <v>19</v>
      </c>
      <c r="Q200" s="1323" t="s">
        <v>22</v>
      </c>
      <c r="R200" s="1323" t="s">
        <v>22</v>
      </c>
      <c r="S200" s="1323" t="s">
        <v>22</v>
      </c>
      <c r="T200" s="1323" t="s">
        <v>22</v>
      </c>
      <c r="U200" s="1323" t="s">
        <v>22</v>
      </c>
      <c r="V200" s="1323" t="s">
        <v>22</v>
      </c>
      <c r="W200" s="1323" t="s">
        <v>22</v>
      </c>
      <c r="X200" s="1323" t="s">
        <v>22</v>
      </c>
      <c r="Y200" s="1323"/>
      <c r="Z200" s="229"/>
      <c r="AA200" s="230"/>
      <c r="AB200" s="230"/>
      <c r="AC200" s="231"/>
      <c r="AD200" s="231"/>
      <c r="AE200" s="244"/>
      <c r="AF200" s="1331"/>
      <c r="AG200" s="1332"/>
      <c r="AH200" s="1332"/>
      <c r="AI200" s="1331"/>
      <c r="AJ200" s="1332"/>
      <c r="AK200" s="1332"/>
      <c r="AL200" s="771"/>
    </row>
    <row r="201" spans="1:38" ht="11.25" customHeight="1">
      <c r="A201" s="1029" t="s">
        <v>1021</v>
      </c>
      <c r="E201" s="556"/>
      <c r="F201" s="1354"/>
      <c r="G201" s="1326"/>
      <c r="H201" s="1327" t="s">
        <v>92</v>
      </c>
      <c r="I201" s="1328"/>
      <c r="J201" s="1341"/>
      <c r="K201" s="1330"/>
      <c r="L201" s="1058"/>
      <c r="M201" s="1342"/>
      <c r="N201" s="1333"/>
      <c r="O201" s="1334"/>
      <c r="P201" s="1336"/>
      <c r="Q201" s="1323"/>
      <c r="R201" s="1323"/>
      <c r="S201" s="1338"/>
      <c r="T201" s="1323"/>
      <c r="U201" s="1323"/>
      <c r="V201" s="1323"/>
      <c r="W201" s="1323"/>
      <c r="X201" s="1323"/>
      <c r="Y201" s="1323"/>
      <c r="AA201" s="777">
        <v>1</v>
      </c>
      <c r="AB201" s="778" t="s">
        <v>1063</v>
      </c>
      <c r="AC201" s="236">
        <v>13471.53242</v>
      </c>
      <c r="AD201" s="778" t="str">
        <f>AB201</f>
        <v xml:space="preserve">  Кредиты</v>
      </c>
      <c r="AE201" s="236">
        <f>AC201</f>
        <v>13471.53242</v>
      </c>
      <c r="AF201" s="1331"/>
      <c r="AG201" s="1332"/>
      <c r="AH201" s="1332"/>
      <c r="AI201" s="1331"/>
      <c r="AJ201" s="1332"/>
      <c r="AK201" s="1332"/>
      <c r="AL201" s="771"/>
    </row>
    <row r="202" spans="1:38" ht="11.25" customHeight="1">
      <c r="A202" s="1029" t="s">
        <v>1021</v>
      </c>
      <c r="E202" s="556"/>
      <c r="F202" s="1354"/>
      <c r="G202" s="1326"/>
      <c r="H202" s="1327" t="s">
        <v>92</v>
      </c>
      <c r="I202" s="1328"/>
      <c r="J202" s="1341"/>
      <c r="K202" s="1330"/>
      <c r="L202" s="1058"/>
      <c r="M202" s="1342"/>
      <c r="N202" s="1333"/>
      <c r="O202" s="1334"/>
      <c r="P202" s="1337"/>
      <c r="Q202" s="1323"/>
      <c r="R202" s="1323"/>
      <c r="S202" s="1338"/>
      <c r="T202" s="1323"/>
      <c r="U202" s="1323"/>
      <c r="V202" s="1323"/>
      <c r="W202" s="1323"/>
      <c r="X202" s="1323"/>
      <c r="Y202" s="1323"/>
      <c r="Z202" s="229"/>
      <c r="AA202" s="230"/>
      <c r="AB202" s="44" t="s">
        <v>1064</v>
      </c>
      <c r="AC202" s="231"/>
      <c r="AD202" s="231"/>
      <c r="AE202" s="245"/>
      <c r="AF202" s="1331"/>
      <c r="AG202" s="1332"/>
      <c r="AH202" s="1332"/>
      <c r="AI202" s="1331"/>
      <c r="AJ202" s="1332"/>
      <c r="AK202" s="1332"/>
      <c r="AL202" s="771"/>
    </row>
    <row r="203" spans="1:38" ht="11.25" customHeight="1">
      <c r="A203" s="1029" t="s">
        <v>1021</v>
      </c>
      <c r="E203" s="556"/>
      <c r="F203" s="1354"/>
      <c r="G203" s="1326"/>
      <c r="H203" s="1327" t="s">
        <v>92</v>
      </c>
      <c r="I203" s="1328"/>
      <c r="J203" s="1341"/>
      <c r="K203" s="1330"/>
      <c r="L203" s="1058"/>
      <c r="M203" s="1342"/>
      <c r="N203" s="229"/>
      <c r="O203" s="230"/>
      <c r="P203" s="44" t="s">
        <v>1065</v>
      </c>
      <c r="Q203" s="230"/>
      <c r="R203" s="230"/>
      <c r="S203" s="230"/>
      <c r="T203" s="230"/>
      <c r="U203" s="230"/>
      <c r="V203" s="230"/>
      <c r="W203" s="230"/>
      <c r="X203" s="230"/>
      <c r="Y203" s="230"/>
      <c r="Z203" s="230"/>
      <c r="AA203" s="230"/>
      <c r="AB203" s="230"/>
      <c r="AC203" s="230"/>
      <c r="AD203" s="230"/>
      <c r="AE203" s="246"/>
      <c r="AF203" s="1331"/>
      <c r="AG203" s="1332"/>
      <c r="AH203" s="1332"/>
      <c r="AI203" s="1331"/>
      <c r="AJ203" s="1332"/>
      <c r="AK203" s="1332"/>
      <c r="AL203" s="771"/>
    </row>
    <row r="204" spans="1:38" ht="11.25" customHeight="1">
      <c r="A204" s="1029" t="s">
        <v>1021</v>
      </c>
      <c r="B204" s="1029" t="s">
        <v>22</v>
      </c>
      <c r="E204" s="556"/>
      <c r="F204" s="1354"/>
      <c r="G204" s="1304" t="s">
        <v>103</v>
      </c>
      <c r="H204" s="1327" t="s">
        <v>161</v>
      </c>
      <c r="I204" s="1328" t="s">
        <v>1086</v>
      </c>
      <c r="J204" s="1329" t="s">
        <v>22</v>
      </c>
      <c r="K204" s="1330" t="s">
        <v>1090</v>
      </c>
      <c r="L204" s="1058" t="s">
        <v>19</v>
      </c>
      <c r="M204" s="1060"/>
      <c r="N204" s="241"/>
      <c r="O204" s="242" t="s">
        <v>387</v>
      </c>
      <c r="P204" s="243"/>
      <c r="Q204" s="243"/>
      <c r="R204" s="243"/>
      <c r="S204" s="243"/>
      <c r="T204" s="243"/>
      <c r="U204" s="243"/>
      <c r="V204" s="243"/>
      <c r="W204" s="243"/>
      <c r="X204" s="243"/>
      <c r="Y204" s="243"/>
      <c r="Z204" s="243"/>
      <c r="AA204" s="243"/>
      <c r="AB204" s="243"/>
      <c r="AC204" s="243"/>
      <c r="AD204" s="243"/>
      <c r="AE204" s="243"/>
      <c r="AF204" s="1331">
        <v>1</v>
      </c>
      <c r="AG204" s="1332" t="s">
        <v>1055</v>
      </c>
      <c r="AH204" s="1332" t="s">
        <v>1091</v>
      </c>
      <c r="AI204" s="1331">
        <v>1</v>
      </c>
      <c r="AJ204" s="1332" t="s">
        <v>1055</v>
      </c>
      <c r="AK204" s="1332" t="s">
        <v>1091</v>
      </c>
      <c r="AL204" s="771"/>
    </row>
    <row r="205" spans="1:38" ht="11.25" customHeight="1">
      <c r="A205" s="1029" t="s">
        <v>1021</v>
      </c>
      <c r="E205" s="556"/>
      <c r="F205" s="1354"/>
      <c r="G205" s="1326"/>
      <c r="H205" s="1327" t="s">
        <v>116</v>
      </c>
      <c r="I205" s="1328"/>
      <c r="J205" s="1329"/>
      <c r="K205" s="1330"/>
      <c r="L205" s="1058"/>
      <c r="M205" s="1060"/>
      <c r="N205" s="1333"/>
      <c r="O205" s="1334">
        <v>1</v>
      </c>
      <c r="P205" s="1335" t="s">
        <v>61</v>
      </c>
      <c r="Q205" s="1339" t="s">
        <v>1074</v>
      </c>
      <c r="R205" s="1340" t="s">
        <v>1058</v>
      </c>
      <c r="S205" s="1340" t="s">
        <v>99</v>
      </c>
      <c r="T205" s="1340" t="s">
        <v>99</v>
      </c>
      <c r="U205" s="1340" t="s">
        <v>100</v>
      </c>
      <c r="V205" s="1340" t="s">
        <v>1059</v>
      </c>
      <c r="W205" s="1340" t="s">
        <v>1060</v>
      </c>
      <c r="X205" s="1340" t="s">
        <v>1070</v>
      </c>
      <c r="Y205" s="1340" t="s">
        <v>1075</v>
      </c>
      <c r="Z205" s="229"/>
      <c r="AA205" s="230"/>
      <c r="AB205" s="230"/>
      <c r="AC205" s="231"/>
      <c r="AD205" s="231"/>
      <c r="AE205" s="244"/>
      <c r="AF205" s="1331"/>
      <c r="AG205" s="1332"/>
      <c r="AH205" s="1332"/>
      <c r="AI205" s="1331"/>
      <c r="AJ205" s="1332"/>
      <c r="AK205" s="1332"/>
      <c r="AL205" s="771"/>
    </row>
    <row r="206" spans="1:38" ht="11.25" customHeight="1">
      <c r="A206" s="1029" t="s">
        <v>1021</v>
      </c>
      <c r="E206" s="556"/>
      <c r="F206" s="1354"/>
      <c r="G206" s="1326"/>
      <c r="H206" s="1327" t="s">
        <v>116</v>
      </c>
      <c r="I206" s="1328"/>
      <c r="J206" s="1329"/>
      <c r="K206" s="1330"/>
      <c r="L206" s="1058"/>
      <c r="M206" s="1060"/>
      <c r="N206" s="1333"/>
      <c r="O206" s="1334"/>
      <c r="P206" s="1336"/>
      <c r="Q206" s="1339"/>
      <c r="R206" s="1323"/>
      <c r="S206" s="1338"/>
      <c r="T206" s="1323"/>
      <c r="U206" s="1323"/>
      <c r="V206" s="1323"/>
      <c r="W206" s="1323"/>
      <c r="X206" s="1323"/>
      <c r="Y206" s="1323"/>
      <c r="AA206" s="777">
        <v>1</v>
      </c>
      <c r="AB206" s="778" t="s">
        <v>1063</v>
      </c>
      <c r="AC206" s="236">
        <v>35983.756820000002</v>
      </c>
      <c r="AD206" s="778" t="str">
        <f>AB206</f>
        <v xml:space="preserve">  Кредиты</v>
      </c>
      <c r="AE206" s="236">
        <f>AC206</f>
        <v>35983.756820000002</v>
      </c>
      <c r="AF206" s="1331"/>
      <c r="AG206" s="1332"/>
      <c r="AH206" s="1332"/>
      <c r="AI206" s="1331"/>
      <c r="AJ206" s="1332"/>
      <c r="AK206" s="1332"/>
      <c r="AL206" s="771"/>
    </row>
    <row r="207" spans="1:38" ht="11.25" customHeight="1">
      <c r="A207" s="1029" t="s">
        <v>1021</v>
      </c>
      <c r="E207" s="556"/>
      <c r="F207" s="1354"/>
      <c r="G207" s="1326"/>
      <c r="H207" s="1327" t="s">
        <v>116</v>
      </c>
      <c r="I207" s="1328"/>
      <c r="J207" s="1329"/>
      <c r="K207" s="1330"/>
      <c r="L207" s="1058"/>
      <c r="M207" s="1060"/>
      <c r="N207" s="1333"/>
      <c r="O207" s="1334"/>
      <c r="P207" s="1337"/>
      <c r="Q207" s="1339"/>
      <c r="R207" s="1323"/>
      <c r="S207" s="1338"/>
      <c r="T207" s="1323"/>
      <c r="U207" s="1323"/>
      <c r="V207" s="1323"/>
      <c r="W207" s="1323"/>
      <c r="X207" s="1323"/>
      <c r="Y207" s="1323"/>
      <c r="Z207" s="229"/>
      <c r="AA207" s="230"/>
      <c r="AB207" s="44" t="s">
        <v>1064</v>
      </c>
      <c r="AC207" s="231"/>
      <c r="AD207" s="231"/>
      <c r="AE207" s="245"/>
      <c r="AF207" s="1331"/>
      <c r="AG207" s="1332"/>
      <c r="AH207" s="1332"/>
      <c r="AI207" s="1331"/>
      <c r="AJ207" s="1332"/>
      <c r="AK207" s="1332"/>
      <c r="AL207" s="771"/>
    </row>
    <row r="208" spans="1:38" ht="11.25" customHeight="1">
      <c r="A208" s="1029" t="s">
        <v>1021</v>
      </c>
      <c r="E208" s="556"/>
      <c r="F208" s="1354"/>
      <c r="G208" s="1326"/>
      <c r="H208" s="1327" t="s">
        <v>116</v>
      </c>
      <c r="I208" s="1328"/>
      <c r="J208" s="1329"/>
      <c r="K208" s="1330"/>
      <c r="L208" s="1058"/>
      <c r="M208" s="1060"/>
      <c r="N208" s="229"/>
      <c r="O208" s="230"/>
      <c r="P208" s="44" t="s">
        <v>1065</v>
      </c>
      <c r="Q208" s="230"/>
      <c r="R208" s="230"/>
      <c r="S208" s="230"/>
      <c r="T208" s="230"/>
      <c r="U208" s="230"/>
      <c r="V208" s="230"/>
      <c r="W208" s="230"/>
      <c r="X208" s="230"/>
      <c r="Y208" s="230"/>
      <c r="Z208" s="230"/>
      <c r="AA208" s="230"/>
      <c r="AB208" s="230"/>
      <c r="AC208" s="230"/>
      <c r="AD208" s="230"/>
      <c r="AE208" s="246"/>
      <c r="AF208" s="1331"/>
      <c r="AG208" s="1332"/>
      <c r="AH208" s="1332"/>
      <c r="AI208" s="1331"/>
      <c r="AJ208" s="1332"/>
      <c r="AK208" s="1332"/>
      <c r="AL208" s="771"/>
    </row>
    <row r="209" spans="1:38" ht="11.25" customHeight="1">
      <c r="A209" s="1029" t="s">
        <v>1021</v>
      </c>
      <c r="B209" s="1029" t="s">
        <v>22</v>
      </c>
      <c r="E209" s="556"/>
      <c r="F209" s="1354"/>
      <c r="G209" s="1304" t="s">
        <v>103</v>
      </c>
      <c r="H209" s="1327" t="s">
        <v>162</v>
      </c>
      <c r="I209" s="1328" t="s">
        <v>1086</v>
      </c>
      <c r="J209" s="1329" t="s">
        <v>22</v>
      </c>
      <c r="K209" s="1330" t="s">
        <v>1098</v>
      </c>
      <c r="L209" s="1058" t="s">
        <v>19</v>
      </c>
      <c r="M209" s="1060"/>
      <c r="N209" s="241"/>
      <c r="O209" s="242" t="s">
        <v>387</v>
      </c>
      <c r="P209" s="243"/>
      <c r="Q209" s="243"/>
      <c r="R209" s="243"/>
      <c r="S209" s="243"/>
      <c r="T209" s="243"/>
      <c r="U209" s="243"/>
      <c r="V209" s="243"/>
      <c r="W209" s="243"/>
      <c r="X209" s="243"/>
      <c r="Y209" s="243"/>
      <c r="Z209" s="243"/>
      <c r="AA209" s="243"/>
      <c r="AB209" s="243"/>
      <c r="AC209" s="243"/>
      <c r="AD209" s="243"/>
      <c r="AE209" s="243"/>
      <c r="AF209" s="1331">
        <v>2</v>
      </c>
      <c r="AG209" s="1332" t="s">
        <v>1055</v>
      </c>
      <c r="AH209" s="1332" t="s">
        <v>1056</v>
      </c>
      <c r="AI209" s="1331">
        <v>2</v>
      </c>
      <c r="AJ209" s="1332" t="s">
        <v>1055</v>
      </c>
      <c r="AK209" s="1332" t="s">
        <v>1056</v>
      </c>
      <c r="AL209" s="771"/>
    </row>
    <row r="210" spans="1:38" ht="11.25" customHeight="1">
      <c r="A210" s="1029" t="s">
        <v>1021</v>
      </c>
      <c r="E210" s="556"/>
      <c r="F210" s="1354"/>
      <c r="G210" s="1326"/>
      <c r="H210" s="1327" t="s">
        <v>161</v>
      </c>
      <c r="I210" s="1328"/>
      <c r="J210" s="1329"/>
      <c r="K210" s="1330"/>
      <c r="L210" s="1058"/>
      <c r="M210" s="1060"/>
      <c r="N210" s="1333"/>
      <c r="O210" s="1334">
        <v>1</v>
      </c>
      <c r="P210" s="1335" t="s">
        <v>61</v>
      </c>
      <c r="Q210" s="1339" t="s">
        <v>1074</v>
      </c>
      <c r="R210" s="1340" t="s">
        <v>1058</v>
      </c>
      <c r="S210" s="1340" t="s">
        <v>99</v>
      </c>
      <c r="T210" s="1340" t="s">
        <v>99</v>
      </c>
      <c r="U210" s="1340" t="s">
        <v>100</v>
      </c>
      <c r="V210" s="1340" t="s">
        <v>1059</v>
      </c>
      <c r="W210" s="1340" t="s">
        <v>1060</v>
      </c>
      <c r="X210" s="1340" t="s">
        <v>1070</v>
      </c>
      <c r="Y210" s="1340" t="s">
        <v>1075</v>
      </c>
      <c r="Z210" s="229"/>
      <c r="AA210" s="230"/>
      <c r="AB210" s="230"/>
      <c r="AC210" s="231"/>
      <c r="AD210" s="231"/>
      <c r="AE210" s="244"/>
      <c r="AF210" s="1331"/>
      <c r="AG210" s="1332"/>
      <c r="AH210" s="1332"/>
      <c r="AI210" s="1331"/>
      <c r="AJ210" s="1332"/>
      <c r="AK210" s="1332"/>
      <c r="AL210" s="771"/>
    </row>
    <row r="211" spans="1:38" ht="11.25" customHeight="1">
      <c r="A211" s="1029" t="s">
        <v>1021</v>
      </c>
      <c r="E211" s="556"/>
      <c r="F211" s="1354"/>
      <c r="G211" s="1326"/>
      <c r="H211" s="1327" t="s">
        <v>161</v>
      </c>
      <c r="I211" s="1328"/>
      <c r="J211" s="1329"/>
      <c r="K211" s="1330"/>
      <c r="L211" s="1058"/>
      <c r="M211" s="1060"/>
      <c r="N211" s="1333"/>
      <c r="O211" s="1334"/>
      <c r="P211" s="1336"/>
      <c r="Q211" s="1339"/>
      <c r="R211" s="1323"/>
      <c r="S211" s="1338"/>
      <c r="T211" s="1323"/>
      <c r="U211" s="1323"/>
      <c r="V211" s="1323"/>
      <c r="W211" s="1323"/>
      <c r="X211" s="1323"/>
      <c r="Y211" s="1323"/>
      <c r="AA211" s="777">
        <v>1</v>
      </c>
      <c r="AB211" s="778" t="s">
        <v>1063</v>
      </c>
      <c r="AC211" s="236">
        <v>4047.9337399999999</v>
      </c>
      <c r="AD211" s="778" t="str">
        <f>AB211</f>
        <v xml:space="preserve">  Кредиты</v>
      </c>
      <c r="AE211" s="236">
        <f>AC211</f>
        <v>4047.9337399999999</v>
      </c>
      <c r="AF211" s="1331"/>
      <c r="AG211" s="1332"/>
      <c r="AH211" s="1332"/>
      <c r="AI211" s="1331"/>
      <c r="AJ211" s="1332"/>
      <c r="AK211" s="1332"/>
      <c r="AL211" s="771"/>
    </row>
    <row r="212" spans="1:38" ht="11.25" customHeight="1">
      <c r="A212" s="1029" t="s">
        <v>1021</v>
      </c>
      <c r="E212" s="556"/>
      <c r="F212" s="1354"/>
      <c r="G212" s="1326"/>
      <c r="H212" s="1327" t="s">
        <v>161</v>
      </c>
      <c r="I212" s="1328"/>
      <c r="J212" s="1329"/>
      <c r="K212" s="1330"/>
      <c r="L212" s="1058"/>
      <c r="M212" s="1060"/>
      <c r="N212" s="1333"/>
      <c r="O212" s="1334"/>
      <c r="P212" s="1337"/>
      <c r="Q212" s="1339"/>
      <c r="R212" s="1323"/>
      <c r="S212" s="1338"/>
      <c r="T212" s="1323"/>
      <c r="U212" s="1323"/>
      <c r="V212" s="1323"/>
      <c r="W212" s="1323"/>
      <c r="X212" s="1323"/>
      <c r="Y212" s="1323"/>
      <c r="Z212" s="229"/>
      <c r="AA212" s="230"/>
      <c r="AB212" s="44" t="s">
        <v>1064</v>
      </c>
      <c r="AC212" s="231"/>
      <c r="AD212" s="231"/>
      <c r="AE212" s="245"/>
      <c r="AF212" s="1331"/>
      <c r="AG212" s="1332"/>
      <c r="AH212" s="1332"/>
      <c r="AI212" s="1331"/>
      <c r="AJ212" s="1332"/>
      <c r="AK212" s="1332"/>
      <c r="AL212" s="771"/>
    </row>
    <row r="213" spans="1:38" ht="11.25" customHeight="1">
      <c r="A213" s="1029" t="s">
        <v>1021</v>
      </c>
      <c r="E213" s="556"/>
      <c r="F213" s="1354"/>
      <c r="G213" s="1326"/>
      <c r="H213" s="1327" t="s">
        <v>161</v>
      </c>
      <c r="I213" s="1328"/>
      <c r="J213" s="1329"/>
      <c r="K213" s="1330"/>
      <c r="L213" s="1058"/>
      <c r="M213" s="1060"/>
      <c r="N213" s="229"/>
      <c r="O213" s="230"/>
      <c r="P213" s="44" t="s">
        <v>1065</v>
      </c>
      <c r="Q213" s="230"/>
      <c r="R213" s="230"/>
      <c r="S213" s="230"/>
      <c r="T213" s="230"/>
      <c r="U213" s="230"/>
      <c r="V213" s="230"/>
      <c r="W213" s="230"/>
      <c r="X213" s="230"/>
      <c r="Y213" s="230"/>
      <c r="Z213" s="230"/>
      <c r="AA213" s="230"/>
      <c r="AB213" s="230"/>
      <c r="AC213" s="230"/>
      <c r="AD213" s="230"/>
      <c r="AE213" s="246"/>
      <c r="AF213" s="1331"/>
      <c r="AG213" s="1332"/>
      <c r="AH213" s="1332"/>
      <c r="AI213" s="1331"/>
      <c r="AJ213" s="1332"/>
      <c r="AK213" s="1332"/>
      <c r="AL213" s="771"/>
    </row>
    <row r="214" spans="1:38" ht="11.25" customHeight="1">
      <c r="A214" s="1029" t="s">
        <v>1021</v>
      </c>
      <c r="B214" s="1029" t="s">
        <v>22</v>
      </c>
      <c r="E214" s="556"/>
      <c r="F214" s="1354"/>
      <c r="G214" s="1304" t="s">
        <v>103</v>
      </c>
      <c r="H214" s="1327" t="s">
        <v>163</v>
      </c>
      <c r="I214" s="1328" t="s">
        <v>1086</v>
      </c>
      <c r="J214" s="1329" t="s">
        <v>22</v>
      </c>
      <c r="K214" s="1330" t="s">
        <v>1110</v>
      </c>
      <c r="L214" s="1058" t="s">
        <v>19</v>
      </c>
      <c r="M214" s="1060"/>
      <c r="N214" s="241"/>
      <c r="O214" s="242" t="s">
        <v>387</v>
      </c>
      <c r="P214" s="243"/>
      <c r="Q214" s="243"/>
      <c r="R214" s="243"/>
      <c r="S214" s="243"/>
      <c r="T214" s="243"/>
      <c r="U214" s="243"/>
      <c r="V214" s="243"/>
      <c r="W214" s="243"/>
      <c r="X214" s="243"/>
      <c r="Y214" s="243"/>
      <c r="Z214" s="243"/>
      <c r="AA214" s="243"/>
      <c r="AB214" s="243"/>
      <c r="AC214" s="243"/>
      <c r="AD214" s="243"/>
      <c r="AE214" s="243"/>
      <c r="AF214" s="1331">
        <v>2</v>
      </c>
      <c r="AG214" s="1332" t="s">
        <v>1055</v>
      </c>
      <c r="AH214" s="1332" t="s">
        <v>1056</v>
      </c>
      <c r="AI214" s="1331">
        <v>2</v>
      </c>
      <c r="AJ214" s="1332" t="s">
        <v>1055</v>
      </c>
      <c r="AK214" s="1332" t="s">
        <v>1056</v>
      </c>
      <c r="AL214" s="771"/>
    </row>
    <row r="215" spans="1:38" ht="11.25" customHeight="1">
      <c r="A215" s="1029" t="s">
        <v>1021</v>
      </c>
      <c r="E215" s="556"/>
      <c r="F215" s="1354"/>
      <c r="G215" s="1326"/>
      <c r="H215" s="1327" t="s">
        <v>162</v>
      </c>
      <c r="I215" s="1328"/>
      <c r="J215" s="1329"/>
      <c r="K215" s="1330"/>
      <c r="L215" s="1058"/>
      <c r="M215" s="1060"/>
      <c r="N215" s="1333"/>
      <c r="O215" s="1334">
        <v>1</v>
      </c>
      <c r="P215" s="1335" t="s">
        <v>61</v>
      </c>
      <c r="Q215" s="1339" t="s">
        <v>1074</v>
      </c>
      <c r="R215" s="1340" t="s">
        <v>1058</v>
      </c>
      <c r="S215" s="1340" t="s">
        <v>99</v>
      </c>
      <c r="T215" s="1340" t="s">
        <v>99</v>
      </c>
      <c r="U215" s="1340" t="s">
        <v>100</v>
      </c>
      <c r="V215" s="1340" t="s">
        <v>1059</v>
      </c>
      <c r="W215" s="1340" t="s">
        <v>1060</v>
      </c>
      <c r="X215" s="1340" t="s">
        <v>1070</v>
      </c>
      <c r="Y215" s="1340" t="s">
        <v>1075</v>
      </c>
      <c r="Z215" s="229"/>
      <c r="AA215" s="230"/>
      <c r="AB215" s="230"/>
      <c r="AC215" s="231"/>
      <c r="AD215" s="231"/>
      <c r="AE215" s="244"/>
      <c r="AF215" s="1331"/>
      <c r="AG215" s="1332"/>
      <c r="AH215" s="1332"/>
      <c r="AI215" s="1331"/>
      <c r="AJ215" s="1332"/>
      <c r="AK215" s="1332"/>
      <c r="AL215" s="771"/>
    </row>
    <row r="216" spans="1:38" ht="11.25" customHeight="1">
      <c r="A216" s="1029" t="s">
        <v>1021</v>
      </c>
      <c r="E216" s="556"/>
      <c r="F216" s="1354"/>
      <c r="G216" s="1326"/>
      <c r="H216" s="1327" t="s">
        <v>162</v>
      </c>
      <c r="I216" s="1328"/>
      <c r="J216" s="1329"/>
      <c r="K216" s="1330"/>
      <c r="L216" s="1058"/>
      <c r="M216" s="1060"/>
      <c r="N216" s="1333"/>
      <c r="O216" s="1334"/>
      <c r="P216" s="1336"/>
      <c r="Q216" s="1339"/>
      <c r="R216" s="1323"/>
      <c r="S216" s="1338"/>
      <c r="T216" s="1323"/>
      <c r="U216" s="1323"/>
      <c r="V216" s="1323"/>
      <c r="W216" s="1323"/>
      <c r="X216" s="1323"/>
      <c r="Y216" s="1323"/>
      <c r="AA216" s="777">
        <v>1</v>
      </c>
      <c r="AB216" s="778" t="s">
        <v>1063</v>
      </c>
      <c r="AC216" s="236">
        <v>17401.020479999999</v>
      </c>
      <c r="AD216" s="778" t="str">
        <f>AB216</f>
        <v xml:space="preserve">  Кредиты</v>
      </c>
      <c r="AE216" s="236">
        <f>AC216</f>
        <v>17401.020479999999</v>
      </c>
      <c r="AF216" s="1331"/>
      <c r="AG216" s="1332"/>
      <c r="AH216" s="1332"/>
      <c r="AI216" s="1331"/>
      <c r="AJ216" s="1332"/>
      <c r="AK216" s="1332"/>
      <c r="AL216" s="771"/>
    </row>
    <row r="217" spans="1:38" ht="11.25" customHeight="1">
      <c r="A217" s="1029" t="s">
        <v>1021</v>
      </c>
      <c r="E217" s="556"/>
      <c r="F217" s="1354"/>
      <c r="G217" s="1326"/>
      <c r="H217" s="1327" t="s">
        <v>162</v>
      </c>
      <c r="I217" s="1328"/>
      <c r="J217" s="1329"/>
      <c r="K217" s="1330"/>
      <c r="L217" s="1058"/>
      <c r="M217" s="1060"/>
      <c r="N217" s="1333"/>
      <c r="O217" s="1334"/>
      <c r="P217" s="1337"/>
      <c r="Q217" s="1339"/>
      <c r="R217" s="1323"/>
      <c r="S217" s="1338"/>
      <c r="T217" s="1323"/>
      <c r="U217" s="1323"/>
      <c r="V217" s="1323"/>
      <c r="W217" s="1323"/>
      <c r="X217" s="1323"/>
      <c r="Y217" s="1323"/>
      <c r="Z217" s="229"/>
      <c r="AA217" s="230"/>
      <c r="AB217" s="44" t="s">
        <v>1064</v>
      </c>
      <c r="AC217" s="231"/>
      <c r="AD217" s="231"/>
      <c r="AE217" s="245"/>
      <c r="AF217" s="1331"/>
      <c r="AG217" s="1332"/>
      <c r="AH217" s="1332"/>
      <c r="AI217" s="1331"/>
      <c r="AJ217" s="1332"/>
      <c r="AK217" s="1332"/>
      <c r="AL217" s="771"/>
    </row>
    <row r="218" spans="1:38" ht="11.25" customHeight="1">
      <c r="A218" s="1029" t="s">
        <v>1021</v>
      </c>
      <c r="E218" s="556"/>
      <c r="F218" s="1354"/>
      <c r="G218" s="1326"/>
      <c r="H218" s="1327" t="s">
        <v>162</v>
      </c>
      <c r="I218" s="1328"/>
      <c r="J218" s="1329"/>
      <c r="K218" s="1330"/>
      <c r="L218" s="1058"/>
      <c r="M218" s="1060"/>
      <c r="N218" s="229"/>
      <c r="O218" s="230"/>
      <c r="P218" s="44" t="s">
        <v>1065</v>
      </c>
      <c r="Q218" s="230"/>
      <c r="R218" s="230"/>
      <c r="S218" s="230"/>
      <c r="T218" s="230"/>
      <c r="U218" s="230"/>
      <c r="V218" s="230"/>
      <c r="W218" s="230"/>
      <c r="X218" s="230"/>
      <c r="Y218" s="230"/>
      <c r="Z218" s="230"/>
      <c r="AA218" s="230"/>
      <c r="AB218" s="230"/>
      <c r="AC218" s="230"/>
      <c r="AD218" s="230"/>
      <c r="AE218" s="246"/>
      <c r="AF218" s="1331"/>
      <c r="AG218" s="1332"/>
      <c r="AH218" s="1332"/>
      <c r="AI218" s="1331"/>
      <c r="AJ218" s="1332"/>
      <c r="AK218" s="1332"/>
      <c r="AL218" s="771"/>
    </row>
    <row r="219" spans="1:38" ht="11.25" customHeight="1">
      <c r="A219" s="1029" t="s">
        <v>1021</v>
      </c>
      <c r="B219" s="1029" t="s">
        <v>22</v>
      </c>
      <c r="E219" s="556"/>
      <c r="F219" s="1354"/>
      <c r="G219" s="1304" t="s">
        <v>103</v>
      </c>
      <c r="H219" s="1327" t="s">
        <v>164</v>
      </c>
      <c r="I219" s="1328" t="s">
        <v>1086</v>
      </c>
      <c r="J219" s="1329" t="s">
        <v>22</v>
      </c>
      <c r="K219" s="1330" t="s">
        <v>1099</v>
      </c>
      <c r="L219" s="1058" t="s">
        <v>19</v>
      </c>
      <c r="M219" s="1060"/>
      <c r="N219" s="241"/>
      <c r="O219" s="242" t="s">
        <v>387</v>
      </c>
      <c r="P219" s="243"/>
      <c r="Q219" s="243"/>
      <c r="R219" s="243"/>
      <c r="S219" s="243"/>
      <c r="T219" s="243"/>
      <c r="U219" s="243"/>
      <c r="V219" s="243"/>
      <c r="W219" s="243"/>
      <c r="X219" s="243"/>
      <c r="Y219" s="243"/>
      <c r="Z219" s="243"/>
      <c r="AA219" s="243"/>
      <c r="AB219" s="243"/>
      <c r="AC219" s="243"/>
      <c r="AD219" s="243"/>
      <c r="AE219" s="243"/>
      <c r="AF219" s="1331">
        <v>4</v>
      </c>
      <c r="AG219" s="1332" t="s">
        <v>1055</v>
      </c>
      <c r="AH219" s="1332" t="s">
        <v>1082</v>
      </c>
      <c r="AI219" s="1331">
        <v>4</v>
      </c>
      <c r="AJ219" s="1332" t="s">
        <v>1055</v>
      </c>
      <c r="AK219" s="1332" t="s">
        <v>1082</v>
      </c>
      <c r="AL219" s="771"/>
    </row>
    <row r="220" spans="1:38" ht="11.25" customHeight="1">
      <c r="A220" s="1029" t="s">
        <v>1021</v>
      </c>
      <c r="E220" s="556"/>
      <c r="F220" s="1354"/>
      <c r="G220" s="1326"/>
      <c r="H220" s="1327" t="s">
        <v>163</v>
      </c>
      <c r="I220" s="1328"/>
      <c r="J220" s="1329"/>
      <c r="K220" s="1330"/>
      <c r="L220" s="1058"/>
      <c r="M220" s="1060"/>
      <c r="N220" s="1333"/>
      <c r="O220" s="1334">
        <v>1</v>
      </c>
      <c r="P220" s="1335" t="s">
        <v>61</v>
      </c>
      <c r="Q220" s="1339" t="s">
        <v>1074</v>
      </c>
      <c r="R220" s="1340" t="s">
        <v>1058</v>
      </c>
      <c r="S220" s="1340" t="s">
        <v>99</v>
      </c>
      <c r="T220" s="1340" t="s">
        <v>99</v>
      </c>
      <c r="U220" s="1340" t="s">
        <v>100</v>
      </c>
      <c r="V220" s="1340" t="s">
        <v>1059</v>
      </c>
      <c r="W220" s="1340" t="s">
        <v>1060</v>
      </c>
      <c r="X220" s="1340" t="s">
        <v>1070</v>
      </c>
      <c r="Y220" s="1340" t="s">
        <v>1075</v>
      </c>
      <c r="Z220" s="229"/>
      <c r="AA220" s="230"/>
      <c r="AB220" s="230"/>
      <c r="AC220" s="231"/>
      <c r="AD220" s="231"/>
      <c r="AE220" s="244"/>
      <c r="AF220" s="1331"/>
      <c r="AG220" s="1332"/>
      <c r="AH220" s="1332"/>
      <c r="AI220" s="1331"/>
      <c r="AJ220" s="1332"/>
      <c r="AK220" s="1332"/>
      <c r="AL220" s="771"/>
    </row>
    <row r="221" spans="1:38" ht="11.25" customHeight="1">
      <c r="A221" s="1029" t="s">
        <v>1021</v>
      </c>
      <c r="E221" s="556"/>
      <c r="F221" s="1354"/>
      <c r="G221" s="1326"/>
      <c r="H221" s="1327" t="s">
        <v>163</v>
      </c>
      <c r="I221" s="1328"/>
      <c r="J221" s="1329"/>
      <c r="K221" s="1330"/>
      <c r="L221" s="1058"/>
      <c r="M221" s="1060"/>
      <c r="N221" s="1333"/>
      <c r="O221" s="1334"/>
      <c r="P221" s="1336"/>
      <c r="Q221" s="1339"/>
      <c r="R221" s="1323"/>
      <c r="S221" s="1338"/>
      <c r="T221" s="1323"/>
      <c r="U221" s="1323"/>
      <c r="V221" s="1323"/>
      <c r="W221" s="1323"/>
      <c r="X221" s="1323"/>
      <c r="Y221" s="1323"/>
      <c r="AA221" s="777">
        <v>1</v>
      </c>
      <c r="AB221" s="778" t="s">
        <v>1063</v>
      </c>
      <c r="AC221" s="236">
        <v>301.16032999999999</v>
      </c>
      <c r="AD221" s="778" t="str">
        <f>AB221</f>
        <v xml:space="preserve">  Кредиты</v>
      </c>
      <c r="AE221" s="236">
        <f>AC221</f>
        <v>301.16032999999999</v>
      </c>
      <c r="AF221" s="1331"/>
      <c r="AG221" s="1332"/>
      <c r="AH221" s="1332"/>
      <c r="AI221" s="1331"/>
      <c r="AJ221" s="1332"/>
      <c r="AK221" s="1332"/>
      <c r="AL221" s="771"/>
    </row>
    <row r="222" spans="1:38" ht="11.25" customHeight="1">
      <c r="A222" s="1029" t="s">
        <v>1021</v>
      </c>
      <c r="E222" s="556"/>
      <c r="F222" s="1354"/>
      <c r="G222" s="1326"/>
      <c r="H222" s="1327" t="s">
        <v>163</v>
      </c>
      <c r="I222" s="1328"/>
      <c r="J222" s="1329"/>
      <c r="K222" s="1330"/>
      <c r="L222" s="1058"/>
      <c r="M222" s="1060"/>
      <c r="N222" s="1333"/>
      <c r="O222" s="1334"/>
      <c r="P222" s="1337"/>
      <c r="Q222" s="1339"/>
      <c r="R222" s="1323"/>
      <c r="S222" s="1338"/>
      <c r="T222" s="1323"/>
      <c r="U222" s="1323"/>
      <c r="V222" s="1323"/>
      <c r="W222" s="1323"/>
      <c r="X222" s="1323"/>
      <c r="Y222" s="1323"/>
      <c r="Z222" s="229"/>
      <c r="AA222" s="230"/>
      <c r="AB222" s="44" t="s">
        <v>1064</v>
      </c>
      <c r="AC222" s="231"/>
      <c r="AD222" s="231"/>
      <c r="AE222" s="245"/>
      <c r="AF222" s="1331"/>
      <c r="AG222" s="1332"/>
      <c r="AH222" s="1332"/>
      <c r="AI222" s="1331"/>
      <c r="AJ222" s="1332"/>
      <c r="AK222" s="1332"/>
      <c r="AL222" s="771"/>
    </row>
    <row r="223" spans="1:38" ht="11.25" customHeight="1">
      <c r="A223" s="1029" t="s">
        <v>1021</v>
      </c>
      <c r="E223" s="556"/>
      <c r="F223" s="1354"/>
      <c r="G223" s="1326"/>
      <c r="H223" s="1327" t="s">
        <v>163</v>
      </c>
      <c r="I223" s="1328"/>
      <c r="J223" s="1329"/>
      <c r="K223" s="1330"/>
      <c r="L223" s="1058"/>
      <c r="M223" s="1060"/>
      <c r="N223" s="229"/>
      <c r="O223" s="230"/>
      <c r="P223" s="44" t="s">
        <v>1065</v>
      </c>
      <c r="Q223" s="230"/>
      <c r="R223" s="230"/>
      <c r="S223" s="230"/>
      <c r="T223" s="230"/>
      <c r="U223" s="230"/>
      <c r="V223" s="230"/>
      <c r="W223" s="230"/>
      <c r="X223" s="230"/>
      <c r="Y223" s="230"/>
      <c r="Z223" s="230"/>
      <c r="AA223" s="230"/>
      <c r="AB223" s="230"/>
      <c r="AC223" s="230"/>
      <c r="AD223" s="230"/>
      <c r="AE223" s="246"/>
      <c r="AF223" s="1331"/>
      <c r="AG223" s="1332"/>
      <c r="AH223" s="1332"/>
      <c r="AI223" s="1331"/>
      <c r="AJ223" s="1332"/>
      <c r="AK223" s="1332"/>
      <c r="AL223" s="771"/>
    </row>
    <row r="224" spans="1:38" ht="11.25" customHeight="1">
      <c r="A224" s="1029" t="s">
        <v>1021</v>
      </c>
      <c r="B224" s="1029" t="s">
        <v>22</v>
      </c>
      <c r="E224" s="556"/>
      <c r="F224" s="1354"/>
      <c r="G224" s="1304" t="s">
        <v>103</v>
      </c>
      <c r="H224" s="1327" t="s">
        <v>165</v>
      </c>
      <c r="I224" s="1328" t="s">
        <v>1080</v>
      </c>
      <c r="J224" s="1329" t="s">
        <v>22</v>
      </c>
      <c r="K224" s="1330" t="s">
        <v>1081</v>
      </c>
      <c r="L224" s="1058" t="s">
        <v>19</v>
      </c>
      <c r="M224" s="1060"/>
      <c r="N224" s="241"/>
      <c r="O224" s="242" t="s">
        <v>387</v>
      </c>
      <c r="P224" s="243"/>
      <c r="Q224" s="243"/>
      <c r="R224" s="243"/>
      <c r="S224" s="243"/>
      <c r="T224" s="243"/>
      <c r="U224" s="243"/>
      <c r="V224" s="243"/>
      <c r="W224" s="243"/>
      <c r="X224" s="243"/>
      <c r="Y224" s="243"/>
      <c r="Z224" s="243"/>
      <c r="AA224" s="243"/>
      <c r="AB224" s="243"/>
      <c r="AC224" s="243"/>
      <c r="AD224" s="243"/>
      <c r="AE224" s="243"/>
      <c r="AF224" s="1331">
        <v>4</v>
      </c>
      <c r="AG224" s="1332" t="s">
        <v>1055</v>
      </c>
      <c r="AH224" s="1332" t="s">
        <v>1082</v>
      </c>
      <c r="AI224" s="1331">
        <v>4</v>
      </c>
      <c r="AJ224" s="1332" t="s">
        <v>1055</v>
      </c>
      <c r="AK224" s="1332" t="s">
        <v>1082</v>
      </c>
      <c r="AL224" s="771"/>
    </row>
    <row r="225" spans="1:38" ht="11.25" customHeight="1">
      <c r="A225" s="1029" t="s">
        <v>1021</v>
      </c>
      <c r="E225" s="556"/>
      <c r="F225" s="1354"/>
      <c r="G225" s="1326"/>
      <c r="H225" s="1327" t="s">
        <v>164</v>
      </c>
      <c r="I225" s="1328"/>
      <c r="J225" s="1329"/>
      <c r="K225" s="1330"/>
      <c r="L225" s="1058"/>
      <c r="M225" s="1060"/>
      <c r="N225" s="1333"/>
      <c r="O225" s="1334">
        <v>1</v>
      </c>
      <c r="P225" s="1335" t="s">
        <v>19</v>
      </c>
      <c r="Q225" s="1323" t="s">
        <v>22</v>
      </c>
      <c r="R225" s="1323" t="s">
        <v>22</v>
      </c>
      <c r="S225" s="1323" t="s">
        <v>22</v>
      </c>
      <c r="T225" s="1323" t="s">
        <v>22</v>
      </c>
      <c r="U225" s="1323" t="s">
        <v>22</v>
      </c>
      <c r="V225" s="1323" t="s">
        <v>22</v>
      </c>
      <c r="W225" s="1323" t="s">
        <v>22</v>
      </c>
      <c r="X225" s="1323" t="s">
        <v>22</v>
      </c>
      <c r="Y225" s="1323"/>
      <c r="Z225" s="229"/>
      <c r="AA225" s="230"/>
      <c r="AB225" s="230"/>
      <c r="AC225" s="231"/>
      <c r="AD225" s="231"/>
      <c r="AE225" s="244"/>
      <c r="AF225" s="1331"/>
      <c r="AG225" s="1332"/>
      <c r="AH225" s="1332"/>
      <c r="AI225" s="1331"/>
      <c r="AJ225" s="1332"/>
      <c r="AK225" s="1332"/>
      <c r="AL225" s="771"/>
    </row>
    <row r="226" spans="1:38" ht="11.25" customHeight="1">
      <c r="A226" s="1029" t="s">
        <v>1021</v>
      </c>
      <c r="E226" s="556"/>
      <c r="F226" s="1354"/>
      <c r="G226" s="1326"/>
      <c r="H226" s="1327" t="s">
        <v>164</v>
      </c>
      <c r="I226" s="1328"/>
      <c r="J226" s="1329"/>
      <c r="K226" s="1330"/>
      <c r="L226" s="1058"/>
      <c r="M226" s="1060"/>
      <c r="N226" s="1333"/>
      <c r="O226" s="1334"/>
      <c r="P226" s="1336"/>
      <c r="Q226" s="1323"/>
      <c r="R226" s="1323"/>
      <c r="S226" s="1338"/>
      <c r="T226" s="1323"/>
      <c r="U226" s="1323"/>
      <c r="V226" s="1323"/>
      <c r="W226" s="1323"/>
      <c r="X226" s="1323"/>
      <c r="Y226" s="1323"/>
      <c r="AA226" s="777">
        <v>1</v>
      </c>
      <c r="AB226" s="778" t="s">
        <v>1063</v>
      </c>
      <c r="AC226" s="236">
        <v>7166.30674</v>
      </c>
      <c r="AD226" s="778" t="str">
        <f>AB226</f>
        <v xml:space="preserve">  Кредиты</v>
      </c>
      <c r="AE226" s="236">
        <f>AC226</f>
        <v>7166.30674</v>
      </c>
      <c r="AF226" s="1331"/>
      <c r="AG226" s="1332"/>
      <c r="AH226" s="1332"/>
      <c r="AI226" s="1331"/>
      <c r="AJ226" s="1332"/>
      <c r="AK226" s="1332"/>
      <c r="AL226" s="771"/>
    </row>
    <row r="227" spans="1:38" ht="11.25" customHeight="1">
      <c r="A227" s="1029" t="s">
        <v>1021</v>
      </c>
      <c r="E227" s="556"/>
      <c r="F227" s="1354"/>
      <c r="G227" s="1326"/>
      <c r="H227" s="1327" t="s">
        <v>164</v>
      </c>
      <c r="I227" s="1328"/>
      <c r="J227" s="1329"/>
      <c r="K227" s="1330"/>
      <c r="L227" s="1058"/>
      <c r="M227" s="1060"/>
      <c r="N227" s="1333"/>
      <c r="O227" s="1334"/>
      <c r="P227" s="1337"/>
      <c r="Q227" s="1323"/>
      <c r="R227" s="1323"/>
      <c r="S227" s="1338"/>
      <c r="T227" s="1323"/>
      <c r="U227" s="1323"/>
      <c r="V227" s="1323"/>
      <c r="W227" s="1323"/>
      <c r="X227" s="1323"/>
      <c r="Y227" s="1323"/>
      <c r="Z227" s="229"/>
      <c r="AA227" s="230"/>
      <c r="AB227" s="44" t="s">
        <v>1064</v>
      </c>
      <c r="AC227" s="231"/>
      <c r="AD227" s="231"/>
      <c r="AE227" s="245"/>
      <c r="AF227" s="1331"/>
      <c r="AG227" s="1332"/>
      <c r="AH227" s="1332"/>
      <c r="AI227" s="1331"/>
      <c r="AJ227" s="1332"/>
      <c r="AK227" s="1332"/>
      <c r="AL227" s="771"/>
    </row>
    <row r="228" spans="1:38" ht="11.25" customHeight="1">
      <c r="A228" s="1029" t="s">
        <v>1021</v>
      </c>
      <c r="E228" s="556"/>
      <c r="F228" s="1354"/>
      <c r="G228" s="1326"/>
      <c r="H228" s="1327" t="s">
        <v>164</v>
      </c>
      <c r="I228" s="1328"/>
      <c r="J228" s="1329"/>
      <c r="K228" s="1330"/>
      <c r="L228" s="1058"/>
      <c r="M228" s="1060"/>
      <c r="N228" s="229"/>
      <c r="O228" s="230"/>
      <c r="P228" s="44" t="s">
        <v>1065</v>
      </c>
      <c r="Q228" s="230"/>
      <c r="R228" s="230"/>
      <c r="S228" s="230"/>
      <c r="T228" s="230"/>
      <c r="U228" s="230"/>
      <c r="V228" s="230"/>
      <c r="W228" s="230"/>
      <c r="X228" s="230"/>
      <c r="Y228" s="230"/>
      <c r="Z228" s="230"/>
      <c r="AA228" s="230"/>
      <c r="AB228" s="230"/>
      <c r="AC228" s="230"/>
      <c r="AD228" s="230"/>
      <c r="AE228" s="246"/>
      <c r="AF228" s="1331"/>
      <c r="AG228" s="1332"/>
      <c r="AH228" s="1332"/>
      <c r="AI228" s="1331"/>
      <c r="AJ228" s="1332"/>
      <c r="AK228" s="1332"/>
      <c r="AL228" s="771"/>
    </row>
    <row r="229" spans="1:38" ht="11.25" customHeight="1">
      <c r="A229" s="1029" t="s">
        <v>1021</v>
      </c>
      <c r="B229" s="1029" t="s">
        <v>22</v>
      </c>
      <c r="E229" s="556"/>
      <c r="F229" s="1354"/>
      <c r="G229" s="1304" t="s">
        <v>103</v>
      </c>
      <c r="H229" s="1327" t="s">
        <v>166</v>
      </c>
      <c r="I229" s="1328" t="s">
        <v>1080</v>
      </c>
      <c r="J229" s="1329" t="s">
        <v>22</v>
      </c>
      <c r="K229" s="1330" t="s">
        <v>1111</v>
      </c>
      <c r="L229" s="1058" t="s">
        <v>61</v>
      </c>
      <c r="M229" s="1342" t="s">
        <v>1020</v>
      </c>
      <c r="N229" s="241"/>
      <c r="O229" s="242" t="s">
        <v>387</v>
      </c>
      <c r="P229" s="243"/>
      <c r="Q229" s="243"/>
      <c r="R229" s="243"/>
      <c r="S229" s="243"/>
      <c r="T229" s="243"/>
      <c r="U229" s="243"/>
      <c r="V229" s="243"/>
      <c r="W229" s="243"/>
      <c r="X229" s="243"/>
      <c r="Y229" s="243"/>
      <c r="Z229" s="243"/>
      <c r="AA229" s="243"/>
      <c r="AB229" s="243"/>
      <c r="AC229" s="243"/>
      <c r="AD229" s="243"/>
      <c r="AE229" s="243"/>
      <c r="AF229" s="1331">
        <v>10</v>
      </c>
      <c r="AG229" s="1332" t="s">
        <v>1055</v>
      </c>
      <c r="AH229" s="1332" t="s">
        <v>1109</v>
      </c>
      <c r="AI229" s="1331">
        <v>10</v>
      </c>
      <c r="AJ229" s="1332" t="s">
        <v>1055</v>
      </c>
      <c r="AK229" s="1332" t="s">
        <v>1109</v>
      </c>
      <c r="AL229" s="771"/>
    </row>
    <row r="230" spans="1:38" ht="11.25" customHeight="1">
      <c r="A230" s="1029" t="s">
        <v>1021</v>
      </c>
      <c r="E230" s="556"/>
      <c r="F230" s="1354"/>
      <c r="G230" s="1326"/>
      <c r="H230" s="1327" t="s">
        <v>165</v>
      </c>
      <c r="I230" s="1328"/>
      <c r="J230" s="1329"/>
      <c r="K230" s="1330"/>
      <c r="L230" s="1058"/>
      <c r="M230" s="1342"/>
      <c r="N230" s="1333"/>
      <c r="O230" s="1334">
        <v>1</v>
      </c>
      <c r="P230" s="1335" t="s">
        <v>19</v>
      </c>
      <c r="Q230" s="1323" t="s">
        <v>22</v>
      </c>
      <c r="R230" s="1323" t="s">
        <v>22</v>
      </c>
      <c r="S230" s="1323" t="s">
        <v>22</v>
      </c>
      <c r="T230" s="1323" t="s">
        <v>22</v>
      </c>
      <c r="U230" s="1323" t="s">
        <v>22</v>
      </c>
      <c r="V230" s="1323" t="s">
        <v>22</v>
      </c>
      <c r="W230" s="1323" t="s">
        <v>22</v>
      </c>
      <c r="X230" s="1323" t="s">
        <v>22</v>
      </c>
      <c r="Y230" s="1323"/>
      <c r="Z230" s="229"/>
      <c r="AA230" s="230"/>
      <c r="AB230" s="230"/>
      <c r="AC230" s="231"/>
      <c r="AD230" s="231"/>
      <c r="AE230" s="244"/>
      <c r="AF230" s="1331"/>
      <c r="AG230" s="1332"/>
      <c r="AH230" s="1332"/>
      <c r="AI230" s="1331"/>
      <c r="AJ230" s="1332"/>
      <c r="AK230" s="1332"/>
      <c r="AL230" s="771"/>
    </row>
    <row r="231" spans="1:38" ht="11.25" customHeight="1">
      <c r="A231" s="1029" t="s">
        <v>1021</v>
      </c>
      <c r="E231" s="556"/>
      <c r="F231" s="1354"/>
      <c r="G231" s="1326"/>
      <c r="H231" s="1327" t="s">
        <v>165</v>
      </c>
      <c r="I231" s="1328"/>
      <c r="J231" s="1329"/>
      <c r="K231" s="1330"/>
      <c r="L231" s="1058"/>
      <c r="M231" s="1342"/>
      <c r="N231" s="1333"/>
      <c r="O231" s="1334"/>
      <c r="P231" s="1336"/>
      <c r="Q231" s="1323"/>
      <c r="R231" s="1323"/>
      <c r="S231" s="1338"/>
      <c r="T231" s="1323"/>
      <c r="U231" s="1323"/>
      <c r="V231" s="1323"/>
      <c r="W231" s="1323"/>
      <c r="X231" s="1323"/>
      <c r="Y231" s="1323"/>
      <c r="AA231" s="777">
        <v>1</v>
      </c>
      <c r="AB231" s="778" t="s">
        <v>1063</v>
      </c>
      <c r="AC231" s="236">
        <v>392.59258999999997</v>
      </c>
      <c r="AD231" s="778" t="str">
        <f>AB231</f>
        <v xml:space="preserve">  Кредиты</v>
      </c>
      <c r="AE231" s="236">
        <f>AC231</f>
        <v>392.59258999999997</v>
      </c>
      <c r="AF231" s="1331"/>
      <c r="AG231" s="1332"/>
      <c r="AH231" s="1332"/>
      <c r="AI231" s="1331"/>
      <c r="AJ231" s="1332"/>
      <c r="AK231" s="1332"/>
      <c r="AL231" s="771"/>
    </row>
    <row r="232" spans="1:38" ht="11.25" customHeight="1">
      <c r="A232" s="1029" t="s">
        <v>1021</v>
      </c>
      <c r="E232" s="556"/>
      <c r="F232" s="1354"/>
      <c r="G232" s="1326"/>
      <c r="H232" s="1327" t="s">
        <v>165</v>
      </c>
      <c r="I232" s="1328"/>
      <c r="J232" s="1329"/>
      <c r="K232" s="1330"/>
      <c r="L232" s="1058"/>
      <c r="M232" s="1342"/>
      <c r="N232" s="1333"/>
      <c r="O232" s="1334"/>
      <c r="P232" s="1337"/>
      <c r="Q232" s="1323"/>
      <c r="R232" s="1323"/>
      <c r="S232" s="1338"/>
      <c r="T232" s="1323"/>
      <c r="U232" s="1323"/>
      <c r="V232" s="1323"/>
      <c r="W232" s="1323"/>
      <c r="X232" s="1323"/>
      <c r="Y232" s="1323"/>
      <c r="Z232" s="229"/>
      <c r="AA232" s="230"/>
      <c r="AB232" s="44" t="s">
        <v>1064</v>
      </c>
      <c r="AC232" s="231"/>
      <c r="AD232" s="231"/>
      <c r="AE232" s="245"/>
      <c r="AF232" s="1331"/>
      <c r="AG232" s="1332"/>
      <c r="AH232" s="1332"/>
      <c r="AI232" s="1331"/>
      <c r="AJ232" s="1332"/>
      <c r="AK232" s="1332"/>
      <c r="AL232" s="771"/>
    </row>
    <row r="233" spans="1:38" ht="11.25" customHeight="1">
      <c r="A233" s="1029" t="s">
        <v>1021</v>
      </c>
      <c r="E233" s="556"/>
      <c r="F233" s="1354"/>
      <c r="G233" s="1326"/>
      <c r="H233" s="1327" t="s">
        <v>165</v>
      </c>
      <c r="I233" s="1328"/>
      <c r="J233" s="1329"/>
      <c r="K233" s="1330"/>
      <c r="L233" s="1058"/>
      <c r="M233" s="1342"/>
      <c r="N233" s="229"/>
      <c r="O233" s="230"/>
      <c r="P233" s="44" t="s">
        <v>1065</v>
      </c>
      <c r="Q233" s="230"/>
      <c r="R233" s="230"/>
      <c r="S233" s="230"/>
      <c r="T233" s="230"/>
      <c r="U233" s="230"/>
      <c r="V233" s="230"/>
      <c r="W233" s="230"/>
      <c r="X233" s="230"/>
      <c r="Y233" s="230"/>
      <c r="Z233" s="230"/>
      <c r="AA233" s="230"/>
      <c r="AB233" s="230"/>
      <c r="AC233" s="230"/>
      <c r="AD233" s="230"/>
      <c r="AE233" s="246"/>
      <c r="AF233" s="1331"/>
      <c r="AG233" s="1332"/>
      <c r="AH233" s="1332"/>
      <c r="AI233" s="1331"/>
      <c r="AJ233" s="1332"/>
      <c r="AK233" s="1332"/>
      <c r="AL233" s="771"/>
    </row>
    <row r="234" spans="1:38" ht="11.25" customHeight="1">
      <c r="A234" s="1029" t="s">
        <v>1021</v>
      </c>
      <c r="B234" s="1029" t="s">
        <v>22</v>
      </c>
      <c r="E234" s="556"/>
      <c r="F234" s="1354"/>
      <c r="G234" s="1304" t="s">
        <v>103</v>
      </c>
      <c r="H234" s="1327" t="s">
        <v>1112</v>
      </c>
      <c r="I234" s="1328" t="s">
        <v>1053</v>
      </c>
      <c r="J234" s="1329" t="s">
        <v>22</v>
      </c>
      <c r="K234" s="1330" t="s">
        <v>1113</v>
      </c>
      <c r="L234" s="1058" t="s">
        <v>19</v>
      </c>
      <c r="M234" s="1060"/>
      <c r="N234" s="241"/>
      <c r="O234" s="242" t="s">
        <v>387</v>
      </c>
      <c r="P234" s="243"/>
      <c r="Q234" s="243"/>
      <c r="R234" s="243"/>
      <c r="S234" s="243"/>
      <c r="T234" s="243"/>
      <c r="U234" s="243"/>
      <c r="V234" s="243"/>
      <c r="W234" s="243"/>
      <c r="X234" s="243"/>
      <c r="Y234" s="243"/>
      <c r="Z234" s="243"/>
      <c r="AA234" s="243"/>
      <c r="AB234" s="243"/>
      <c r="AC234" s="243"/>
      <c r="AD234" s="243"/>
      <c r="AE234" s="243"/>
      <c r="AF234" s="1331">
        <v>3</v>
      </c>
      <c r="AG234" s="1332" t="s">
        <v>1055</v>
      </c>
      <c r="AH234" s="1332" t="s">
        <v>1095</v>
      </c>
      <c r="AI234" s="1331">
        <v>3</v>
      </c>
      <c r="AJ234" s="1332" t="s">
        <v>1055</v>
      </c>
      <c r="AK234" s="1332" t="s">
        <v>1095</v>
      </c>
      <c r="AL234" s="771"/>
    </row>
    <row r="235" spans="1:38" ht="11.25" customHeight="1">
      <c r="A235" s="1029" t="s">
        <v>1021</v>
      </c>
      <c r="E235" s="556"/>
      <c r="F235" s="1354"/>
      <c r="G235" s="1326"/>
      <c r="H235" s="1327" t="s">
        <v>166</v>
      </c>
      <c r="I235" s="1328"/>
      <c r="J235" s="1329"/>
      <c r="K235" s="1330"/>
      <c r="L235" s="1058"/>
      <c r="M235" s="1060"/>
      <c r="N235" s="1333"/>
      <c r="O235" s="1334">
        <v>1</v>
      </c>
      <c r="P235" s="1335" t="s">
        <v>61</v>
      </c>
      <c r="Q235" s="1339" t="s">
        <v>1069</v>
      </c>
      <c r="R235" s="1340" t="s">
        <v>1058</v>
      </c>
      <c r="S235" s="1340" t="s">
        <v>99</v>
      </c>
      <c r="T235" s="1340" t="s">
        <v>99</v>
      </c>
      <c r="U235" s="1340" t="s">
        <v>100</v>
      </c>
      <c r="V235" s="1340" t="s">
        <v>1059</v>
      </c>
      <c r="W235" s="1340" t="s">
        <v>1060</v>
      </c>
      <c r="X235" s="1340" t="s">
        <v>1070</v>
      </c>
      <c r="Y235" s="1340" t="s">
        <v>1071</v>
      </c>
      <c r="Z235" s="229"/>
      <c r="AA235" s="230"/>
      <c r="AB235" s="230"/>
      <c r="AC235" s="231"/>
      <c r="AD235" s="231"/>
      <c r="AE235" s="244"/>
      <c r="AF235" s="1331"/>
      <c r="AG235" s="1332"/>
      <c r="AH235" s="1332"/>
      <c r="AI235" s="1331"/>
      <c r="AJ235" s="1332"/>
      <c r="AK235" s="1332"/>
      <c r="AL235" s="771"/>
    </row>
    <row r="236" spans="1:38" ht="11.25" customHeight="1">
      <c r="A236" s="1029" t="s">
        <v>1021</v>
      </c>
      <c r="E236" s="556"/>
      <c r="F236" s="1354"/>
      <c r="G236" s="1326"/>
      <c r="H236" s="1327" t="s">
        <v>166</v>
      </c>
      <c r="I236" s="1328"/>
      <c r="J236" s="1329"/>
      <c r="K236" s="1330"/>
      <c r="L236" s="1058"/>
      <c r="M236" s="1060"/>
      <c r="N236" s="1333"/>
      <c r="O236" s="1334"/>
      <c r="P236" s="1336"/>
      <c r="Q236" s="1339"/>
      <c r="R236" s="1323"/>
      <c r="S236" s="1338"/>
      <c r="T236" s="1323"/>
      <c r="U236" s="1323"/>
      <c r="V236" s="1323"/>
      <c r="W236" s="1323"/>
      <c r="X236" s="1323"/>
      <c r="Y236" s="1323"/>
      <c r="AA236" s="777">
        <v>1</v>
      </c>
      <c r="AB236" s="778" t="s">
        <v>1063</v>
      </c>
      <c r="AC236" s="236">
        <v>20.416350000000001</v>
      </c>
      <c r="AD236" s="778" t="str">
        <f>AB236</f>
        <v xml:space="preserve">  Кредиты</v>
      </c>
      <c r="AE236" s="236">
        <f>AC236</f>
        <v>20.416350000000001</v>
      </c>
      <c r="AF236" s="1331"/>
      <c r="AG236" s="1332"/>
      <c r="AH236" s="1332"/>
      <c r="AI236" s="1331"/>
      <c r="AJ236" s="1332"/>
      <c r="AK236" s="1332"/>
      <c r="AL236" s="771"/>
    </row>
    <row r="237" spans="1:38" ht="11.25" customHeight="1">
      <c r="A237" s="1029" t="s">
        <v>1021</v>
      </c>
      <c r="E237" s="556"/>
      <c r="F237" s="1354"/>
      <c r="G237" s="1326"/>
      <c r="H237" s="1327" t="s">
        <v>166</v>
      </c>
      <c r="I237" s="1328"/>
      <c r="J237" s="1329"/>
      <c r="K237" s="1330"/>
      <c r="L237" s="1058"/>
      <c r="M237" s="1060"/>
      <c r="N237" s="1333"/>
      <c r="O237" s="1334"/>
      <c r="P237" s="1337"/>
      <c r="Q237" s="1339"/>
      <c r="R237" s="1323"/>
      <c r="S237" s="1338"/>
      <c r="T237" s="1323"/>
      <c r="U237" s="1323"/>
      <c r="V237" s="1323"/>
      <c r="W237" s="1323"/>
      <c r="X237" s="1323"/>
      <c r="Y237" s="1323"/>
      <c r="Z237" s="229"/>
      <c r="AA237" s="230"/>
      <c r="AB237" s="44" t="s">
        <v>1064</v>
      </c>
      <c r="AC237" s="231"/>
      <c r="AD237" s="231"/>
      <c r="AE237" s="245"/>
      <c r="AF237" s="1331"/>
      <c r="AG237" s="1332"/>
      <c r="AH237" s="1332"/>
      <c r="AI237" s="1331"/>
      <c r="AJ237" s="1332"/>
      <c r="AK237" s="1332"/>
      <c r="AL237" s="771"/>
    </row>
    <row r="238" spans="1:38" ht="11.25" customHeight="1">
      <c r="A238" s="1029" t="s">
        <v>1021</v>
      </c>
      <c r="E238" s="556"/>
      <c r="F238" s="1354"/>
      <c r="G238" s="1326"/>
      <c r="H238" s="1327" t="s">
        <v>166</v>
      </c>
      <c r="I238" s="1328"/>
      <c r="J238" s="1329"/>
      <c r="K238" s="1330"/>
      <c r="L238" s="1058"/>
      <c r="M238" s="1060"/>
      <c r="N238" s="229"/>
      <c r="O238" s="230"/>
      <c r="P238" s="44" t="s">
        <v>1065</v>
      </c>
      <c r="Q238" s="230"/>
      <c r="R238" s="230"/>
      <c r="S238" s="230"/>
      <c r="T238" s="230"/>
      <c r="U238" s="230"/>
      <c r="V238" s="230"/>
      <c r="W238" s="230"/>
      <c r="X238" s="230"/>
      <c r="Y238" s="230"/>
      <c r="Z238" s="230"/>
      <c r="AA238" s="230"/>
      <c r="AB238" s="230"/>
      <c r="AC238" s="230"/>
      <c r="AD238" s="230"/>
      <c r="AE238" s="246"/>
      <c r="AF238" s="1331"/>
      <c r="AG238" s="1332"/>
      <c r="AH238" s="1332"/>
      <c r="AI238" s="1331"/>
      <c r="AJ238" s="1332"/>
      <c r="AK238" s="1332"/>
      <c r="AL238" s="771"/>
    </row>
    <row r="239" spans="1:38" ht="12" customHeight="1">
      <c r="A239" t="s">
        <v>1021</v>
      </c>
      <c r="E239" s="556"/>
      <c r="F239" s="1355"/>
      <c r="G239" s="774"/>
      <c r="H239" s="774"/>
      <c r="I239" s="1352" t="s">
        <v>1083</v>
      </c>
      <c r="J239" s="1352"/>
      <c r="K239" s="1352"/>
      <c r="L239" s="775"/>
      <c r="M239" s="775"/>
      <c r="N239" s="776"/>
      <c r="O239" s="776"/>
      <c r="P239" s="776"/>
      <c r="Q239" s="776"/>
      <c r="R239" s="776"/>
      <c r="S239" s="776"/>
      <c r="T239" s="776"/>
      <c r="U239" s="776"/>
      <c r="V239" s="776"/>
      <c r="W239" s="776"/>
      <c r="X239" s="776"/>
      <c r="Y239" s="776"/>
      <c r="Z239" s="776"/>
      <c r="AA239" s="776"/>
      <c r="AB239" s="776"/>
      <c r="AC239" s="776"/>
      <c r="AD239" s="776"/>
      <c r="AE239" s="776"/>
      <c r="AF239" s="776"/>
      <c r="AG239" s="775"/>
      <c r="AH239" s="775"/>
      <c r="AI239" s="776"/>
      <c r="AJ239" s="775"/>
      <c r="AK239" s="776"/>
      <c r="AL239" s="771"/>
    </row>
    <row r="240" spans="1:38" ht="0.75" customHeight="1">
      <c r="A240" t="s">
        <v>1021</v>
      </c>
      <c r="E240" s="556"/>
      <c r="F240" s="1353">
        <v>2019</v>
      </c>
      <c r="G240" s="1327"/>
      <c r="H240" s="1357" t="s">
        <v>387</v>
      </c>
      <c r="I240" s="1358"/>
      <c r="J240" s="1350"/>
      <c r="K240" s="1350"/>
      <c r="L240" s="1351"/>
      <c r="M240" s="1200"/>
      <c r="N240" s="214"/>
      <c r="O240" s="215"/>
      <c r="P240" s="214"/>
      <c r="Q240" s="214"/>
      <c r="R240" s="214"/>
      <c r="S240" s="214"/>
      <c r="T240" s="214"/>
      <c r="U240" s="214"/>
      <c r="V240" s="214"/>
      <c r="W240" s="214"/>
      <c r="X240" s="214"/>
      <c r="Y240" s="214"/>
      <c r="Z240" s="214"/>
      <c r="AA240" s="214"/>
      <c r="AB240" s="214"/>
      <c r="AC240" s="214"/>
      <c r="AD240" s="214"/>
      <c r="AE240" s="214"/>
      <c r="AF240" s="1356"/>
      <c r="AG240" s="1351"/>
      <c r="AH240" s="1351"/>
      <c r="AI240" s="1356"/>
      <c r="AJ240" s="1351"/>
      <c r="AK240" s="1351"/>
      <c r="AL240" s="771"/>
    </row>
    <row r="241" spans="1:38" ht="0.75" customHeight="1">
      <c r="A241" t="s">
        <v>1021</v>
      </c>
      <c r="E241" s="556"/>
      <c r="F241" s="1353"/>
      <c r="G241" s="1327"/>
      <c r="H241" s="1357"/>
      <c r="I241" s="1358"/>
      <c r="J241" s="1350"/>
      <c r="K241" s="1350"/>
      <c r="L241" s="1351"/>
      <c r="M241" s="1200"/>
      <c r="N241" s="1359"/>
      <c r="O241" s="1360"/>
      <c r="P241" s="1347"/>
      <c r="Q241" s="1350"/>
      <c r="R241" s="1350"/>
      <c r="S241" s="1350"/>
      <c r="T241" s="1350"/>
      <c r="U241" s="1350"/>
      <c r="V241" s="1350"/>
      <c r="W241" s="1350"/>
      <c r="X241" s="1350"/>
      <c r="Y241" s="1350"/>
      <c r="Z241" s="216"/>
      <c r="AA241" s="217"/>
      <c r="AB241" s="217"/>
      <c r="AC241" s="218"/>
      <c r="AD241" s="218"/>
      <c r="AE241" s="219"/>
      <c r="AF241" s="1356"/>
      <c r="AG241" s="1351"/>
      <c r="AH241" s="1351"/>
      <c r="AI241" s="1356"/>
      <c r="AJ241" s="1351"/>
      <c r="AK241" s="1351"/>
      <c r="AL241" s="771"/>
    </row>
    <row r="242" spans="1:38" ht="0.75" customHeight="1">
      <c r="A242" t="s">
        <v>1021</v>
      </c>
      <c r="E242" s="556"/>
      <c r="F242" s="1353"/>
      <c r="G242" s="1327"/>
      <c r="H242" s="1357"/>
      <c r="I242" s="1358"/>
      <c r="J242" s="1350"/>
      <c r="K242" s="1350"/>
      <c r="L242" s="1351"/>
      <c r="M242" s="1200"/>
      <c r="N242" s="1359"/>
      <c r="O242" s="1360"/>
      <c r="P242" s="1348"/>
      <c r="Q242" s="1350"/>
      <c r="R242" s="1350"/>
      <c r="S242" s="1350"/>
      <c r="T242" s="1350"/>
      <c r="U242" s="1350"/>
      <c r="V242" s="1350"/>
      <c r="W242" s="1350"/>
      <c r="X242" s="1350"/>
      <c r="Y242" s="1350"/>
      <c r="AA242" s="772"/>
      <c r="AB242" s="773"/>
      <c r="AC242" s="220"/>
      <c r="AD242" s="773"/>
      <c r="AE242" s="220"/>
      <c r="AF242" s="1356"/>
      <c r="AG242" s="1351"/>
      <c r="AH242" s="1351"/>
      <c r="AI242" s="1356"/>
      <c r="AJ242" s="1351"/>
      <c r="AK242" s="1351"/>
      <c r="AL242" s="771"/>
    </row>
    <row r="243" spans="1:38" ht="0.75" customHeight="1">
      <c r="A243" t="s">
        <v>1021</v>
      </c>
      <c r="E243" s="556"/>
      <c r="F243" s="1353"/>
      <c r="G243" s="1327"/>
      <c r="H243" s="1357"/>
      <c r="I243" s="1358"/>
      <c r="J243" s="1350"/>
      <c r="K243" s="1350"/>
      <c r="L243" s="1351"/>
      <c r="M243" s="1200"/>
      <c r="N243" s="1359"/>
      <c r="O243" s="1360"/>
      <c r="P243" s="1349"/>
      <c r="Q243" s="1350"/>
      <c r="R243" s="1350"/>
      <c r="S243" s="1350"/>
      <c r="T243" s="1350"/>
      <c r="U243" s="1350"/>
      <c r="V243" s="1350"/>
      <c r="W243" s="1350"/>
      <c r="X243" s="1350"/>
      <c r="Y243" s="1350"/>
      <c r="Z243" s="216"/>
      <c r="AA243" s="217"/>
      <c r="AB243" s="221"/>
      <c r="AC243" s="218"/>
      <c r="AD243" s="218"/>
      <c r="AE243" s="222"/>
      <c r="AF243" s="1356"/>
      <c r="AG243" s="1351"/>
      <c r="AH243" s="1351"/>
      <c r="AI243" s="1356"/>
      <c r="AJ243" s="1351"/>
      <c r="AK243" s="1351"/>
      <c r="AL243" s="771"/>
    </row>
    <row r="244" spans="1:38" ht="0.75" customHeight="1">
      <c r="A244" t="s">
        <v>1021</v>
      </c>
      <c r="E244" s="556"/>
      <c r="F244" s="1353"/>
      <c r="G244" s="1327"/>
      <c r="H244" s="1357"/>
      <c r="I244" s="1358"/>
      <c r="J244" s="1350"/>
      <c r="K244" s="1350"/>
      <c r="L244" s="1351"/>
      <c r="M244" s="1200"/>
      <c r="N244" s="217"/>
      <c r="O244" s="217"/>
      <c r="P244" s="221"/>
      <c r="Q244" s="217"/>
      <c r="R244" s="217"/>
      <c r="S244" s="217"/>
      <c r="T244" s="217"/>
      <c r="U244" s="217"/>
      <c r="V244" s="217"/>
      <c r="W244" s="217"/>
      <c r="X244" s="217"/>
      <c r="Y244" s="217"/>
      <c r="Z244" s="217"/>
      <c r="AA244" s="217"/>
      <c r="AB244" s="217"/>
      <c r="AC244" s="217"/>
      <c r="AD244" s="217"/>
      <c r="AE244" s="223"/>
      <c r="AF244" s="1356"/>
      <c r="AG244" s="1351"/>
      <c r="AH244" s="1351"/>
      <c r="AI244" s="1356"/>
      <c r="AJ244" s="1351"/>
      <c r="AK244" s="1351"/>
      <c r="AL244" s="771"/>
    </row>
    <row r="245" spans="1:38" ht="11.25" customHeight="1">
      <c r="A245" s="1029" t="s">
        <v>1021</v>
      </c>
      <c r="B245" s="1029" t="s">
        <v>22</v>
      </c>
      <c r="E245" s="556"/>
      <c r="F245" s="1354"/>
      <c r="G245" s="1304" t="s">
        <v>103</v>
      </c>
      <c r="H245" s="1327" t="s">
        <v>114</v>
      </c>
      <c r="I245" s="1328" t="s">
        <v>1053</v>
      </c>
      <c r="J245" s="1329" t="s">
        <v>22</v>
      </c>
      <c r="K245" s="1330" t="s">
        <v>1054</v>
      </c>
      <c r="L245" s="1058" t="s">
        <v>19</v>
      </c>
      <c r="M245" s="1060"/>
      <c r="N245" s="241"/>
      <c r="O245" s="242" t="s">
        <v>387</v>
      </c>
      <c r="P245" s="243"/>
      <c r="Q245" s="243"/>
      <c r="R245" s="243"/>
      <c r="S245" s="243"/>
      <c r="T245" s="243"/>
      <c r="U245" s="243"/>
      <c r="V245" s="243"/>
      <c r="W245" s="243"/>
      <c r="X245" s="243"/>
      <c r="Y245" s="243"/>
      <c r="Z245" s="243"/>
      <c r="AA245" s="243"/>
      <c r="AB245" s="243"/>
      <c r="AC245" s="243"/>
      <c r="AD245" s="243"/>
      <c r="AE245" s="243"/>
      <c r="AF245" s="1331">
        <v>1</v>
      </c>
      <c r="AG245" s="1332" t="s">
        <v>1055</v>
      </c>
      <c r="AH245" s="1332" t="s">
        <v>1056</v>
      </c>
      <c r="AI245" s="1331">
        <v>1</v>
      </c>
      <c r="AJ245" s="1332" t="s">
        <v>1055</v>
      </c>
      <c r="AK245" s="1332" t="s">
        <v>1056</v>
      </c>
      <c r="AL245" s="771"/>
    </row>
    <row r="246" spans="1:38" ht="11.25" customHeight="1">
      <c r="A246" s="1029" t="s">
        <v>1021</v>
      </c>
      <c r="E246" s="556"/>
      <c r="F246" s="1354"/>
      <c r="G246" s="1326"/>
      <c r="H246" s="1327" t="s">
        <v>387</v>
      </c>
      <c r="I246" s="1328"/>
      <c r="J246" s="1329"/>
      <c r="K246" s="1330"/>
      <c r="L246" s="1058"/>
      <c r="M246" s="1060"/>
      <c r="N246" s="1333"/>
      <c r="O246" s="1334">
        <v>1</v>
      </c>
      <c r="P246" s="1335" t="s">
        <v>61</v>
      </c>
      <c r="Q246" s="1339" t="s">
        <v>1057</v>
      </c>
      <c r="R246" s="1340" t="s">
        <v>1058</v>
      </c>
      <c r="S246" s="1340" t="s">
        <v>99</v>
      </c>
      <c r="T246" s="1340" t="s">
        <v>99</v>
      </c>
      <c r="U246" s="1340" t="s">
        <v>100</v>
      </c>
      <c r="V246" s="1340" t="s">
        <v>1059</v>
      </c>
      <c r="W246" s="1340" t="s">
        <v>1060</v>
      </c>
      <c r="X246" s="1340" t="s">
        <v>1061</v>
      </c>
      <c r="Y246" s="1340" t="s">
        <v>1062</v>
      </c>
      <c r="Z246" s="229"/>
      <c r="AA246" s="230"/>
      <c r="AB246" s="230"/>
      <c r="AC246" s="231"/>
      <c r="AD246" s="231"/>
      <c r="AE246" s="244"/>
      <c r="AF246" s="1331"/>
      <c r="AG246" s="1332"/>
      <c r="AH246" s="1332"/>
      <c r="AI246" s="1331"/>
      <c r="AJ246" s="1332"/>
      <c r="AK246" s="1332"/>
      <c r="AL246" s="771"/>
    </row>
    <row r="247" spans="1:38" ht="11.25" customHeight="1">
      <c r="A247" s="1029" t="s">
        <v>1021</v>
      </c>
      <c r="E247" s="556"/>
      <c r="F247" s="1354"/>
      <c r="G247" s="1326"/>
      <c r="H247" s="1327" t="s">
        <v>387</v>
      </c>
      <c r="I247" s="1328"/>
      <c r="J247" s="1329"/>
      <c r="K247" s="1330"/>
      <c r="L247" s="1058"/>
      <c r="M247" s="1060"/>
      <c r="N247" s="1333"/>
      <c r="O247" s="1334"/>
      <c r="P247" s="1336"/>
      <c r="Q247" s="1339"/>
      <c r="R247" s="1323"/>
      <c r="S247" s="1338"/>
      <c r="T247" s="1323"/>
      <c r="U247" s="1323"/>
      <c r="V247" s="1323"/>
      <c r="W247" s="1323"/>
      <c r="X247" s="1323"/>
      <c r="Y247" s="1323"/>
      <c r="AA247" s="777">
        <v>1</v>
      </c>
      <c r="AB247" s="778" t="s">
        <v>1063</v>
      </c>
      <c r="AC247" s="236">
        <v>1124</v>
      </c>
      <c r="AD247" s="778" t="str">
        <f>AB247</f>
        <v xml:space="preserve">  Кредиты</v>
      </c>
      <c r="AE247" s="236">
        <f>AC247</f>
        <v>1124</v>
      </c>
      <c r="AF247" s="1331"/>
      <c r="AG247" s="1332"/>
      <c r="AH247" s="1332"/>
      <c r="AI247" s="1331"/>
      <c r="AJ247" s="1332"/>
      <c r="AK247" s="1332"/>
      <c r="AL247" s="771"/>
    </row>
    <row r="248" spans="1:38" ht="11.25" customHeight="1">
      <c r="A248" s="1029" t="s">
        <v>1021</v>
      </c>
      <c r="E248" s="556"/>
      <c r="F248" s="1354"/>
      <c r="G248" s="1326"/>
      <c r="H248" s="1327" t="s">
        <v>387</v>
      </c>
      <c r="I248" s="1328"/>
      <c r="J248" s="1329"/>
      <c r="K248" s="1330"/>
      <c r="L248" s="1058"/>
      <c r="M248" s="1060"/>
      <c r="N248" s="1333"/>
      <c r="O248" s="1334"/>
      <c r="P248" s="1337"/>
      <c r="Q248" s="1339"/>
      <c r="R248" s="1323"/>
      <c r="S248" s="1338"/>
      <c r="T248" s="1323"/>
      <c r="U248" s="1323"/>
      <c r="V248" s="1323"/>
      <c r="W248" s="1323"/>
      <c r="X248" s="1323"/>
      <c r="Y248" s="1323"/>
      <c r="Z248" s="229"/>
      <c r="AA248" s="230"/>
      <c r="AB248" s="44" t="s">
        <v>1064</v>
      </c>
      <c r="AC248" s="231"/>
      <c r="AD248" s="231"/>
      <c r="AE248" s="245"/>
      <c r="AF248" s="1331"/>
      <c r="AG248" s="1332"/>
      <c r="AH248" s="1332"/>
      <c r="AI248" s="1331"/>
      <c r="AJ248" s="1332"/>
      <c r="AK248" s="1332"/>
      <c r="AL248" s="771"/>
    </row>
    <row r="249" spans="1:38" ht="11.25" customHeight="1">
      <c r="A249" s="1029" t="s">
        <v>1021</v>
      </c>
      <c r="E249" s="556"/>
      <c r="F249" s="1354"/>
      <c r="G249" s="1326"/>
      <c r="H249" s="1327" t="s">
        <v>387</v>
      </c>
      <c r="I249" s="1328"/>
      <c r="J249" s="1329"/>
      <c r="K249" s="1330"/>
      <c r="L249" s="1058"/>
      <c r="M249" s="1060"/>
      <c r="N249" s="229"/>
      <c r="O249" s="230"/>
      <c r="P249" s="44" t="s">
        <v>1065</v>
      </c>
      <c r="Q249" s="230"/>
      <c r="R249" s="230"/>
      <c r="S249" s="230"/>
      <c r="T249" s="230"/>
      <c r="U249" s="230"/>
      <c r="V249" s="230"/>
      <c r="W249" s="230"/>
      <c r="X249" s="230"/>
      <c r="Y249" s="230"/>
      <c r="Z249" s="230"/>
      <c r="AA249" s="230"/>
      <c r="AB249" s="230"/>
      <c r="AC249" s="230"/>
      <c r="AD249" s="230"/>
      <c r="AE249" s="246"/>
      <c r="AF249" s="1331"/>
      <c r="AG249" s="1332"/>
      <c r="AH249" s="1332"/>
      <c r="AI249" s="1331"/>
      <c r="AJ249" s="1332"/>
      <c r="AK249" s="1332"/>
      <c r="AL249" s="771"/>
    </row>
    <row r="250" spans="1:38" ht="11.25" customHeight="1">
      <c r="A250" s="1029" t="s">
        <v>1021</v>
      </c>
      <c r="B250" s="1029" t="s">
        <v>22</v>
      </c>
      <c r="E250" s="556"/>
      <c r="F250" s="1354"/>
      <c r="G250" s="1304" t="s">
        <v>103</v>
      </c>
      <c r="H250" s="1327" t="s">
        <v>102</v>
      </c>
      <c r="I250" s="1328" t="s">
        <v>1053</v>
      </c>
      <c r="J250" s="1329" t="s">
        <v>22</v>
      </c>
      <c r="K250" s="1330" t="s">
        <v>1092</v>
      </c>
      <c r="L250" s="1058" t="s">
        <v>19</v>
      </c>
      <c r="M250" s="1060"/>
      <c r="N250" s="241"/>
      <c r="O250" s="242" t="s">
        <v>387</v>
      </c>
      <c r="P250" s="243"/>
      <c r="Q250" s="243"/>
      <c r="R250" s="243"/>
      <c r="S250" s="243"/>
      <c r="T250" s="243"/>
      <c r="U250" s="243"/>
      <c r="V250" s="243"/>
      <c r="W250" s="243"/>
      <c r="X250" s="243"/>
      <c r="Y250" s="243"/>
      <c r="Z250" s="243"/>
      <c r="AA250" s="243"/>
      <c r="AB250" s="243"/>
      <c r="AC250" s="243"/>
      <c r="AD250" s="243"/>
      <c r="AE250" s="243"/>
      <c r="AF250" s="1331">
        <v>4</v>
      </c>
      <c r="AG250" s="1332" t="s">
        <v>1055</v>
      </c>
      <c r="AH250" s="1332" t="s">
        <v>1093</v>
      </c>
      <c r="AI250" s="1331">
        <v>4</v>
      </c>
      <c r="AJ250" s="1332" t="s">
        <v>1055</v>
      </c>
      <c r="AK250" s="1332" t="s">
        <v>1093</v>
      </c>
      <c r="AL250" s="771"/>
    </row>
    <row r="251" spans="1:38" ht="11.25" customHeight="1">
      <c r="A251" s="1029" t="s">
        <v>1021</v>
      </c>
      <c r="E251" s="556"/>
      <c r="F251" s="1354"/>
      <c r="G251" s="1326"/>
      <c r="H251" s="1327" t="s">
        <v>114</v>
      </c>
      <c r="I251" s="1328"/>
      <c r="J251" s="1329"/>
      <c r="K251" s="1330"/>
      <c r="L251" s="1058"/>
      <c r="M251" s="1060"/>
      <c r="N251" s="1333"/>
      <c r="O251" s="1334">
        <v>1</v>
      </c>
      <c r="P251" s="1335" t="s">
        <v>61</v>
      </c>
      <c r="Q251" s="1339" t="s">
        <v>1057</v>
      </c>
      <c r="R251" s="1340" t="s">
        <v>1058</v>
      </c>
      <c r="S251" s="1340" t="s">
        <v>99</v>
      </c>
      <c r="T251" s="1340" t="s">
        <v>99</v>
      </c>
      <c r="U251" s="1340" t="s">
        <v>100</v>
      </c>
      <c r="V251" s="1340" t="s">
        <v>1059</v>
      </c>
      <c r="W251" s="1340" t="s">
        <v>1060</v>
      </c>
      <c r="X251" s="1340" t="s">
        <v>1061</v>
      </c>
      <c r="Y251" s="1340" t="s">
        <v>1062</v>
      </c>
      <c r="Z251" s="229"/>
      <c r="AA251" s="230"/>
      <c r="AB251" s="230"/>
      <c r="AC251" s="231"/>
      <c r="AD251" s="231"/>
      <c r="AE251" s="244"/>
      <c r="AF251" s="1331"/>
      <c r="AG251" s="1332"/>
      <c r="AH251" s="1332"/>
      <c r="AI251" s="1331"/>
      <c r="AJ251" s="1332"/>
      <c r="AK251" s="1332"/>
      <c r="AL251" s="771"/>
    </row>
    <row r="252" spans="1:38" ht="11.25" customHeight="1">
      <c r="A252" s="1029" t="s">
        <v>1021</v>
      </c>
      <c r="E252" s="556"/>
      <c r="F252" s="1354"/>
      <c r="G252" s="1326"/>
      <c r="H252" s="1327" t="s">
        <v>114</v>
      </c>
      <c r="I252" s="1328"/>
      <c r="J252" s="1329"/>
      <c r="K252" s="1330"/>
      <c r="L252" s="1058"/>
      <c r="M252" s="1060"/>
      <c r="N252" s="1333"/>
      <c r="O252" s="1334"/>
      <c r="P252" s="1336"/>
      <c r="Q252" s="1339"/>
      <c r="R252" s="1323"/>
      <c r="S252" s="1338"/>
      <c r="T252" s="1323"/>
      <c r="U252" s="1323"/>
      <c r="V252" s="1323"/>
      <c r="W252" s="1323"/>
      <c r="X252" s="1323"/>
      <c r="Y252" s="1323"/>
      <c r="AA252" s="777">
        <v>1</v>
      </c>
      <c r="AB252" s="778" t="s">
        <v>1063</v>
      </c>
      <c r="AC252" s="236">
        <v>28000</v>
      </c>
      <c r="AD252" s="778" t="str">
        <f>AB252</f>
        <v xml:space="preserve">  Кредиты</v>
      </c>
      <c r="AE252" s="236">
        <f>AC252</f>
        <v>28000</v>
      </c>
      <c r="AF252" s="1331"/>
      <c r="AG252" s="1332"/>
      <c r="AH252" s="1332"/>
      <c r="AI252" s="1331"/>
      <c r="AJ252" s="1332"/>
      <c r="AK252" s="1332"/>
      <c r="AL252" s="771"/>
    </row>
    <row r="253" spans="1:38" ht="11.25" customHeight="1">
      <c r="A253" s="1029" t="s">
        <v>1021</v>
      </c>
      <c r="E253" s="556"/>
      <c r="F253" s="1354"/>
      <c r="G253" s="1326"/>
      <c r="H253" s="1327" t="s">
        <v>114</v>
      </c>
      <c r="I253" s="1328"/>
      <c r="J253" s="1329"/>
      <c r="K253" s="1330"/>
      <c r="L253" s="1058"/>
      <c r="M253" s="1060"/>
      <c r="N253" s="1333"/>
      <c r="O253" s="1334"/>
      <c r="P253" s="1337"/>
      <c r="Q253" s="1339"/>
      <c r="R253" s="1323"/>
      <c r="S253" s="1338"/>
      <c r="T253" s="1323"/>
      <c r="U253" s="1323"/>
      <c r="V253" s="1323"/>
      <c r="W253" s="1323"/>
      <c r="X253" s="1323"/>
      <c r="Y253" s="1323"/>
      <c r="Z253" s="229"/>
      <c r="AA253" s="230"/>
      <c r="AB253" s="44" t="s">
        <v>1064</v>
      </c>
      <c r="AC253" s="231"/>
      <c r="AD253" s="231"/>
      <c r="AE253" s="245"/>
      <c r="AF253" s="1331"/>
      <c r="AG253" s="1332"/>
      <c r="AH253" s="1332"/>
      <c r="AI253" s="1331"/>
      <c r="AJ253" s="1332"/>
      <c r="AK253" s="1332"/>
      <c r="AL253" s="771"/>
    </row>
    <row r="254" spans="1:38" ht="11.25" customHeight="1">
      <c r="A254" s="1029" t="s">
        <v>1021</v>
      </c>
      <c r="E254" s="556"/>
      <c r="F254" s="1354"/>
      <c r="G254" s="1326"/>
      <c r="H254" s="1327" t="s">
        <v>114</v>
      </c>
      <c r="I254" s="1328"/>
      <c r="J254" s="1329"/>
      <c r="K254" s="1330"/>
      <c r="L254" s="1058"/>
      <c r="M254" s="1060"/>
      <c r="N254" s="229"/>
      <c r="O254" s="230"/>
      <c r="P254" s="44" t="s">
        <v>1065</v>
      </c>
      <c r="Q254" s="230"/>
      <c r="R254" s="230"/>
      <c r="S254" s="230"/>
      <c r="T254" s="230"/>
      <c r="U254" s="230"/>
      <c r="V254" s="230"/>
      <c r="W254" s="230"/>
      <c r="X254" s="230"/>
      <c r="Y254" s="230"/>
      <c r="Z254" s="230"/>
      <c r="AA254" s="230"/>
      <c r="AB254" s="230"/>
      <c r="AC254" s="230"/>
      <c r="AD254" s="230"/>
      <c r="AE254" s="246"/>
      <c r="AF254" s="1331"/>
      <c r="AG254" s="1332"/>
      <c r="AH254" s="1332"/>
      <c r="AI254" s="1331"/>
      <c r="AJ254" s="1332"/>
      <c r="AK254" s="1332"/>
      <c r="AL254" s="771"/>
    </row>
    <row r="255" spans="1:38" ht="11.25" customHeight="1">
      <c r="A255" s="1029" t="s">
        <v>1021</v>
      </c>
      <c r="B255" s="1029" t="s">
        <v>22</v>
      </c>
      <c r="E255" s="556"/>
      <c r="F255" s="1354"/>
      <c r="G255" s="1304" t="s">
        <v>103</v>
      </c>
      <c r="H255" s="1327" t="s">
        <v>89</v>
      </c>
      <c r="I255" s="1328" t="s">
        <v>1053</v>
      </c>
      <c r="J255" s="1329" t="s">
        <v>22</v>
      </c>
      <c r="K255" s="1330" t="s">
        <v>1101</v>
      </c>
      <c r="L255" s="1058" t="s">
        <v>19</v>
      </c>
      <c r="M255" s="1060"/>
      <c r="N255" s="241"/>
      <c r="O255" s="242" t="s">
        <v>387</v>
      </c>
      <c r="P255" s="243"/>
      <c r="Q255" s="243"/>
      <c r="R255" s="243"/>
      <c r="S255" s="243"/>
      <c r="T255" s="243"/>
      <c r="U255" s="243"/>
      <c r="V255" s="243"/>
      <c r="W255" s="243"/>
      <c r="X255" s="243"/>
      <c r="Y255" s="243"/>
      <c r="Z255" s="243"/>
      <c r="AA255" s="243"/>
      <c r="AB255" s="243"/>
      <c r="AC255" s="243"/>
      <c r="AD255" s="243"/>
      <c r="AE255" s="243"/>
      <c r="AF255" s="1331">
        <v>8</v>
      </c>
      <c r="AG255" s="1332" t="s">
        <v>1055</v>
      </c>
      <c r="AH255" s="1332" t="s">
        <v>1102</v>
      </c>
      <c r="AI255" s="1331">
        <v>8</v>
      </c>
      <c r="AJ255" s="1332" t="s">
        <v>1055</v>
      </c>
      <c r="AK255" s="1332" t="s">
        <v>1102</v>
      </c>
      <c r="AL255" s="771"/>
    </row>
    <row r="256" spans="1:38" ht="11.25" customHeight="1">
      <c r="A256" s="1029" t="s">
        <v>1021</v>
      </c>
      <c r="E256" s="556"/>
      <c r="F256" s="1354"/>
      <c r="G256" s="1326"/>
      <c r="H256" s="1327" t="s">
        <v>102</v>
      </c>
      <c r="I256" s="1328"/>
      <c r="J256" s="1329"/>
      <c r="K256" s="1330"/>
      <c r="L256" s="1058"/>
      <c r="M256" s="1060"/>
      <c r="N256" s="1333"/>
      <c r="O256" s="1334">
        <v>1</v>
      </c>
      <c r="P256" s="1335" t="s">
        <v>61</v>
      </c>
      <c r="Q256" s="1339" t="s">
        <v>1103</v>
      </c>
      <c r="R256" s="1340" t="s">
        <v>1104</v>
      </c>
      <c r="S256" s="1340" t="s">
        <v>99</v>
      </c>
      <c r="T256" s="1340" t="s">
        <v>99</v>
      </c>
      <c r="U256" s="1340" t="s">
        <v>100</v>
      </c>
      <c r="V256" s="1340" t="s">
        <v>1059</v>
      </c>
      <c r="W256" s="1340" t="s">
        <v>1060</v>
      </c>
      <c r="X256" s="1340" t="s">
        <v>1105</v>
      </c>
      <c r="Y256" s="1340" t="s">
        <v>1106</v>
      </c>
      <c r="Z256" s="229"/>
      <c r="AA256" s="230"/>
      <c r="AB256" s="230"/>
      <c r="AC256" s="231"/>
      <c r="AD256" s="231"/>
      <c r="AE256" s="244"/>
      <c r="AF256" s="1331"/>
      <c r="AG256" s="1332"/>
      <c r="AH256" s="1332"/>
      <c r="AI256" s="1331"/>
      <c r="AJ256" s="1332"/>
      <c r="AK256" s="1332"/>
      <c r="AL256" s="771"/>
    </row>
    <row r="257" spans="1:38" ht="11.25" customHeight="1">
      <c r="A257" s="1029" t="s">
        <v>1021</v>
      </c>
      <c r="E257" s="556"/>
      <c r="F257" s="1354"/>
      <c r="G257" s="1326"/>
      <c r="H257" s="1327" t="s">
        <v>102</v>
      </c>
      <c r="I257" s="1328"/>
      <c r="J257" s="1329"/>
      <c r="K257" s="1330"/>
      <c r="L257" s="1058"/>
      <c r="M257" s="1060"/>
      <c r="N257" s="1333"/>
      <c r="O257" s="1334"/>
      <c r="P257" s="1336"/>
      <c r="Q257" s="1339"/>
      <c r="R257" s="1323"/>
      <c r="S257" s="1338"/>
      <c r="T257" s="1323"/>
      <c r="U257" s="1323"/>
      <c r="V257" s="1323"/>
      <c r="W257" s="1323"/>
      <c r="X257" s="1323"/>
      <c r="Y257" s="1323"/>
      <c r="AA257" s="777">
        <v>1</v>
      </c>
      <c r="AB257" s="778" t="s">
        <v>1063</v>
      </c>
      <c r="AC257" s="236">
        <v>3064</v>
      </c>
      <c r="AD257" s="778" t="str">
        <f>AB257</f>
        <v xml:space="preserve">  Кредиты</v>
      </c>
      <c r="AE257" s="236">
        <f>AC257</f>
        <v>3064</v>
      </c>
      <c r="AF257" s="1331"/>
      <c r="AG257" s="1332"/>
      <c r="AH257" s="1332"/>
      <c r="AI257" s="1331"/>
      <c r="AJ257" s="1332"/>
      <c r="AK257" s="1332"/>
      <c r="AL257" s="771"/>
    </row>
    <row r="258" spans="1:38" ht="11.25" customHeight="1">
      <c r="A258" s="1029" t="s">
        <v>1021</v>
      </c>
      <c r="E258" s="556"/>
      <c r="F258" s="1354"/>
      <c r="G258" s="1326"/>
      <c r="H258" s="1327" t="s">
        <v>102</v>
      </c>
      <c r="I258" s="1328"/>
      <c r="J258" s="1329"/>
      <c r="K258" s="1330"/>
      <c r="L258" s="1058"/>
      <c r="M258" s="1060"/>
      <c r="N258" s="1333"/>
      <c r="O258" s="1334"/>
      <c r="P258" s="1337"/>
      <c r="Q258" s="1339"/>
      <c r="R258" s="1323"/>
      <c r="S258" s="1338"/>
      <c r="T258" s="1323"/>
      <c r="U258" s="1323"/>
      <c r="V258" s="1323"/>
      <c r="W258" s="1323"/>
      <c r="X258" s="1323"/>
      <c r="Y258" s="1323"/>
      <c r="Z258" s="229"/>
      <c r="AA258" s="230"/>
      <c r="AB258" s="44" t="s">
        <v>1064</v>
      </c>
      <c r="AC258" s="231"/>
      <c r="AD258" s="231"/>
      <c r="AE258" s="245"/>
      <c r="AF258" s="1331"/>
      <c r="AG258" s="1332"/>
      <c r="AH258" s="1332"/>
      <c r="AI258" s="1331"/>
      <c r="AJ258" s="1332"/>
      <c r="AK258" s="1332"/>
      <c r="AL258" s="771"/>
    </row>
    <row r="259" spans="1:38" ht="11.25" customHeight="1">
      <c r="A259" s="1029" t="s">
        <v>1021</v>
      </c>
      <c r="E259" s="556"/>
      <c r="F259" s="1354"/>
      <c r="G259" s="1326"/>
      <c r="H259" s="1327" t="s">
        <v>102</v>
      </c>
      <c r="I259" s="1328"/>
      <c r="J259" s="1329"/>
      <c r="K259" s="1330"/>
      <c r="L259" s="1058"/>
      <c r="M259" s="1060"/>
      <c r="N259" s="229"/>
      <c r="O259" s="230"/>
      <c r="P259" s="44" t="s">
        <v>1065</v>
      </c>
      <c r="Q259" s="230"/>
      <c r="R259" s="230"/>
      <c r="S259" s="230"/>
      <c r="T259" s="230"/>
      <c r="U259" s="230"/>
      <c r="V259" s="230"/>
      <c r="W259" s="230"/>
      <c r="X259" s="230"/>
      <c r="Y259" s="230"/>
      <c r="Z259" s="230"/>
      <c r="AA259" s="230"/>
      <c r="AB259" s="230"/>
      <c r="AC259" s="230"/>
      <c r="AD259" s="230"/>
      <c r="AE259" s="246"/>
      <c r="AF259" s="1331"/>
      <c r="AG259" s="1332"/>
      <c r="AH259" s="1332"/>
      <c r="AI259" s="1331"/>
      <c r="AJ259" s="1332"/>
      <c r="AK259" s="1332"/>
      <c r="AL259" s="771"/>
    </row>
    <row r="260" spans="1:38" ht="11.25" customHeight="1">
      <c r="A260" s="1029" t="s">
        <v>1021</v>
      </c>
      <c r="B260" s="1029" t="s">
        <v>22</v>
      </c>
      <c r="E260" s="556"/>
      <c r="F260" s="1354"/>
      <c r="G260" s="1304" t="s">
        <v>103</v>
      </c>
      <c r="H260" s="1327" t="s">
        <v>90</v>
      </c>
      <c r="I260" s="1328" t="s">
        <v>1053</v>
      </c>
      <c r="J260" s="1329" t="s">
        <v>22</v>
      </c>
      <c r="K260" s="1330" t="s">
        <v>1107</v>
      </c>
      <c r="L260" s="1058" t="s">
        <v>19</v>
      </c>
      <c r="M260" s="1060"/>
      <c r="N260" s="241"/>
      <c r="O260" s="242" t="s">
        <v>387</v>
      </c>
      <c r="P260" s="243"/>
      <c r="Q260" s="243"/>
      <c r="R260" s="243"/>
      <c r="S260" s="243"/>
      <c r="T260" s="243"/>
      <c r="U260" s="243"/>
      <c r="V260" s="243"/>
      <c r="W260" s="243"/>
      <c r="X260" s="243"/>
      <c r="Y260" s="243"/>
      <c r="Z260" s="243"/>
      <c r="AA260" s="243"/>
      <c r="AB260" s="243"/>
      <c r="AC260" s="243"/>
      <c r="AD260" s="243"/>
      <c r="AE260" s="243"/>
      <c r="AF260" s="1331">
        <v>3</v>
      </c>
      <c r="AG260" s="1332" t="s">
        <v>1055</v>
      </c>
      <c r="AH260" s="1332" t="s">
        <v>1082</v>
      </c>
      <c r="AI260" s="1331">
        <v>3</v>
      </c>
      <c r="AJ260" s="1332" t="s">
        <v>1055</v>
      </c>
      <c r="AK260" s="1332" t="s">
        <v>1082</v>
      </c>
      <c r="AL260" s="771"/>
    </row>
    <row r="261" spans="1:38" ht="11.25" customHeight="1">
      <c r="A261" s="1029" t="s">
        <v>1021</v>
      </c>
      <c r="E261" s="556"/>
      <c r="F261" s="1354"/>
      <c r="G261" s="1326"/>
      <c r="H261" s="1327" t="s">
        <v>89</v>
      </c>
      <c r="I261" s="1328"/>
      <c r="J261" s="1329"/>
      <c r="K261" s="1330"/>
      <c r="L261" s="1058"/>
      <c r="M261" s="1060"/>
      <c r="N261" s="1333"/>
      <c r="O261" s="1334">
        <v>1</v>
      </c>
      <c r="P261" s="1335" t="s">
        <v>61</v>
      </c>
      <c r="Q261" s="1339" t="s">
        <v>1069</v>
      </c>
      <c r="R261" s="1340" t="s">
        <v>1058</v>
      </c>
      <c r="S261" s="1340" t="s">
        <v>99</v>
      </c>
      <c r="T261" s="1340" t="s">
        <v>99</v>
      </c>
      <c r="U261" s="1340" t="s">
        <v>100</v>
      </c>
      <c r="V261" s="1340" t="s">
        <v>1059</v>
      </c>
      <c r="W261" s="1340" t="s">
        <v>1060</v>
      </c>
      <c r="X261" s="1340" t="s">
        <v>1070</v>
      </c>
      <c r="Y261" s="1340" t="s">
        <v>1071</v>
      </c>
      <c r="Z261" s="229"/>
      <c r="AA261" s="230"/>
      <c r="AB261" s="230"/>
      <c r="AC261" s="231"/>
      <c r="AD261" s="231"/>
      <c r="AE261" s="244"/>
      <c r="AF261" s="1331"/>
      <c r="AG261" s="1332"/>
      <c r="AH261" s="1332"/>
      <c r="AI261" s="1331"/>
      <c r="AJ261" s="1332"/>
      <c r="AK261" s="1332"/>
      <c r="AL261" s="771"/>
    </row>
    <row r="262" spans="1:38" ht="11.25" customHeight="1">
      <c r="A262" s="1029" t="s">
        <v>1021</v>
      </c>
      <c r="E262" s="556"/>
      <c r="F262" s="1354"/>
      <c r="G262" s="1326"/>
      <c r="H262" s="1327" t="s">
        <v>89</v>
      </c>
      <c r="I262" s="1328"/>
      <c r="J262" s="1329"/>
      <c r="K262" s="1330"/>
      <c r="L262" s="1058"/>
      <c r="M262" s="1060"/>
      <c r="N262" s="1333"/>
      <c r="O262" s="1334"/>
      <c r="P262" s="1336"/>
      <c r="Q262" s="1339"/>
      <c r="R262" s="1323"/>
      <c r="S262" s="1338"/>
      <c r="T262" s="1323"/>
      <c r="U262" s="1323"/>
      <c r="V262" s="1323"/>
      <c r="W262" s="1323"/>
      <c r="X262" s="1323"/>
      <c r="Y262" s="1323"/>
      <c r="AA262" s="777">
        <v>1</v>
      </c>
      <c r="AB262" s="778" t="s">
        <v>1063</v>
      </c>
      <c r="AC262" s="236">
        <v>3297</v>
      </c>
      <c r="AD262" s="778" t="str">
        <f>AB262</f>
        <v xml:space="preserve">  Кредиты</v>
      </c>
      <c r="AE262" s="236">
        <f>AC262</f>
        <v>3297</v>
      </c>
      <c r="AF262" s="1331"/>
      <c r="AG262" s="1332"/>
      <c r="AH262" s="1332"/>
      <c r="AI262" s="1331"/>
      <c r="AJ262" s="1332"/>
      <c r="AK262" s="1332"/>
      <c r="AL262" s="771"/>
    </row>
    <row r="263" spans="1:38" ht="11.25" customHeight="1">
      <c r="A263" s="1029" t="s">
        <v>1021</v>
      </c>
      <c r="E263" s="556"/>
      <c r="F263" s="1354"/>
      <c r="G263" s="1326"/>
      <c r="H263" s="1327" t="s">
        <v>89</v>
      </c>
      <c r="I263" s="1328"/>
      <c r="J263" s="1329"/>
      <c r="K263" s="1330"/>
      <c r="L263" s="1058"/>
      <c r="M263" s="1060"/>
      <c r="N263" s="1333"/>
      <c r="O263" s="1334"/>
      <c r="P263" s="1337"/>
      <c r="Q263" s="1339"/>
      <c r="R263" s="1323"/>
      <c r="S263" s="1338"/>
      <c r="T263" s="1323"/>
      <c r="U263" s="1323"/>
      <c r="V263" s="1323"/>
      <c r="W263" s="1323"/>
      <c r="X263" s="1323"/>
      <c r="Y263" s="1323"/>
      <c r="Z263" s="229"/>
      <c r="AA263" s="230"/>
      <c r="AB263" s="44" t="s">
        <v>1064</v>
      </c>
      <c r="AC263" s="231"/>
      <c r="AD263" s="231"/>
      <c r="AE263" s="245"/>
      <c r="AF263" s="1331"/>
      <c r="AG263" s="1332"/>
      <c r="AH263" s="1332"/>
      <c r="AI263" s="1331"/>
      <c r="AJ263" s="1332"/>
      <c r="AK263" s="1332"/>
      <c r="AL263" s="771"/>
    </row>
    <row r="264" spans="1:38" ht="11.25" customHeight="1">
      <c r="A264" s="1029" t="s">
        <v>1021</v>
      </c>
      <c r="E264" s="556"/>
      <c r="F264" s="1354"/>
      <c r="G264" s="1326"/>
      <c r="H264" s="1327" t="s">
        <v>89</v>
      </c>
      <c r="I264" s="1328"/>
      <c r="J264" s="1329"/>
      <c r="K264" s="1330"/>
      <c r="L264" s="1058"/>
      <c r="M264" s="1060"/>
      <c r="N264" s="229"/>
      <c r="O264" s="230"/>
      <c r="P264" s="44" t="s">
        <v>1065</v>
      </c>
      <c r="Q264" s="230"/>
      <c r="R264" s="230"/>
      <c r="S264" s="230"/>
      <c r="T264" s="230"/>
      <c r="U264" s="230"/>
      <c r="V264" s="230"/>
      <c r="W264" s="230"/>
      <c r="X264" s="230"/>
      <c r="Y264" s="230"/>
      <c r="Z264" s="230"/>
      <c r="AA264" s="230"/>
      <c r="AB264" s="230"/>
      <c r="AC264" s="230"/>
      <c r="AD264" s="230"/>
      <c r="AE264" s="246"/>
      <c r="AF264" s="1331"/>
      <c r="AG264" s="1332"/>
      <c r="AH264" s="1332"/>
      <c r="AI264" s="1331"/>
      <c r="AJ264" s="1332"/>
      <c r="AK264" s="1332"/>
      <c r="AL264" s="771"/>
    </row>
    <row r="265" spans="1:38" ht="11.25" customHeight="1">
      <c r="A265" s="1029" t="s">
        <v>1021</v>
      </c>
      <c r="B265" s="1029" t="s">
        <v>22</v>
      </c>
      <c r="E265" s="556"/>
      <c r="F265" s="1354"/>
      <c r="G265" s="1304" t="s">
        <v>103</v>
      </c>
      <c r="H265" s="1327" t="s">
        <v>115</v>
      </c>
      <c r="I265" s="1328" t="s">
        <v>1066</v>
      </c>
      <c r="J265" s="1329" t="s">
        <v>22</v>
      </c>
      <c r="K265" s="1330" t="s">
        <v>1114</v>
      </c>
      <c r="L265" s="1058" t="s">
        <v>19</v>
      </c>
      <c r="M265" s="1060"/>
      <c r="N265" s="241"/>
      <c r="O265" s="242" t="s">
        <v>387</v>
      </c>
      <c r="P265" s="243"/>
      <c r="Q265" s="243"/>
      <c r="R265" s="243"/>
      <c r="S265" s="243"/>
      <c r="T265" s="243"/>
      <c r="U265" s="243"/>
      <c r="V265" s="243"/>
      <c r="W265" s="243"/>
      <c r="X265" s="243"/>
      <c r="Y265" s="243"/>
      <c r="Z265" s="243"/>
      <c r="AA265" s="243"/>
      <c r="AB265" s="243"/>
      <c r="AC265" s="243"/>
      <c r="AD265" s="243"/>
      <c r="AE265" s="243"/>
      <c r="AF265" s="1331">
        <v>1</v>
      </c>
      <c r="AG265" s="1332" t="s">
        <v>1055</v>
      </c>
      <c r="AH265" s="1332" t="s">
        <v>1056</v>
      </c>
      <c r="AI265" s="1331">
        <v>1</v>
      </c>
      <c r="AJ265" s="1332" t="s">
        <v>1055</v>
      </c>
      <c r="AK265" s="1332" t="s">
        <v>1056</v>
      </c>
      <c r="AL265" s="771"/>
    </row>
    <row r="266" spans="1:38" ht="11.25" customHeight="1">
      <c r="A266" s="1029" t="s">
        <v>1021</v>
      </c>
      <c r="E266" s="556"/>
      <c r="F266" s="1354"/>
      <c r="G266" s="1326"/>
      <c r="H266" s="1327" t="s">
        <v>90</v>
      </c>
      <c r="I266" s="1328"/>
      <c r="J266" s="1329"/>
      <c r="K266" s="1330"/>
      <c r="L266" s="1058"/>
      <c r="M266" s="1060"/>
      <c r="N266" s="1333"/>
      <c r="O266" s="1334">
        <v>1</v>
      </c>
      <c r="P266" s="1335" t="s">
        <v>61</v>
      </c>
      <c r="Q266" s="1339" t="s">
        <v>1057</v>
      </c>
      <c r="R266" s="1340" t="s">
        <v>1058</v>
      </c>
      <c r="S266" s="1340" t="s">
        <v>99</v>
      </c>
      <c r="T266" s="1340" t="s">
        <v>99</v>
      </c>
      <c r="U266" s="1340" t="s">
        <v>100</v>
      </c>
      <c r="V266" s="1340" t="s">
        <v>1059</v>
      </c>
      <c r="W266" s="1340" t="s">
        <v>1060</v>
      </c>
      <c r="X266" s="1340" t="s">
        <v>1061</v>
      </c>
      <c r="Y266" s="1340" t="s">
        <v>1062</v>
      </c>
      <c r="Z266" s="229"/>
      <c r="AA266" s="230"/>
      <c r="AB266" s="230"/>
      <c r="AC266" s="231"/>
      <c r="AD266" s="231"/>
      <c r="AE266" s="244"/>
      <c r="AF266" s="1331"/>
      <c r="AG266" s="1332"/>
      <c r="AH266" s="1332"/>
      <c r="AI266" s="1331"/>
      <c r="AJ266" s="1332"/>
      <c r="AK266" s="1332"/>
      <c r="AL266" s="771"/>
    </row>
    <row r="267" spans="1:38" ht="11.25" customHeight="1">
      <c r="A267" s="1029" t="s">
        <v>1021</v>
      </c>
      <c r="E267" s="556"/>
      <c r="F267" s="1354"/>
      <c r="G267" s="1326"/>
      <c r="H267" s="1327" t="s">
        <v>90</v>
      </c>
      <c r="I267" s="1328"/>
      <c r="J267" s="1329"/>
      <c r="K267" s="1330"/>
      <c r="L267" s="1058"/>
      <c r="M267" s="1060"/>
      <c r="N267" s="1333"/>
      <c r="O267" s="1334"/>
      <c r="P267" s="1336"/>
      <c r="Q267" s="1339"/>
      <c r="R267" s="1323"/>
      <c r="S267" s="1338"/>
      <c r="T267" s="1323"/>
      <c r="U267" s="1323"/>
      <c r="V267" s="1323"/>
      <c r="W267" s="1323"/>
      <c r="X267" s="1323"/>
      <c r="Y267" s="1323"/>
      <c r="AA267" s="777">
        <v>1</v>
      </c>
      <c r="AB267" s="778" t="s">
        <v>1063</v>
      </c>
      <c r="AC267" s="236">
        <v>25863</v>
      </c>
      <c r="AD267" s="778" t="str">
        <f>AB267</f>
        <v xml:space="preserve">  Кредиты</v>
      </c>
      <c r="AE267" s="236">
        <f>AC267</f>
        <v>25863</v>
      </c>
      <c r="AF267" s="1331"/>
      <c r="AG267" s="1332"/>
      <c r="AH267" s="1332"/>
      <c r="AI267" s="1331"/>
      <c r="AJ267" s="1332"/>
      <c r="AK267" s="1332"/>
      <c r="AL267" s="771"/>
    </row>
    <row r="268" spans="1:38" ht="11.25" customHeight="1">
      <c r="A268" s="1029" t="s">
        <v>1021</v>
      </c>
      <c r="E268" s="556"/>
      <c r="F268" s="1354"/>
      <c r="G268" s="1326"/>
      <c r="H268" s="1327" t="s">
        <v>90</v>
      </c>
      <c r="I268" s="1328"/>
      <c r="J268" s="1329"/>
      <c r="K268" s="1330"/>
      <c r="L268" s="1058"/>
      <c r="M268" s="1060"/>
      <c r="N268" s="1333"/>
      <c r="O268" s="1334"/>
      <c r="P268" s="1337"/>
      <c r="Q268" s="1339"/>
      <c r="R268" s="1323"/>
      <c r="S268" s="1338"/>
      <c r="T268" s="1323"/>
      <c r="U268" s="1323"/>
      <c r="V268" s="1323"/>
      <c r="W268" s="1323"/>
      <c r="X268" s="1323"/>
      <c r="Y268" s="1323"/>
      <c r="Z268" s="229"/>
      <c r="AA268" s="230"/>
      <c r="AB268" s="44" t="s">
        <v>1064</v>
      </c>
      <c r="AC268" s="231"/>
      <c r="AD268" s="231"/>
      <c r="AE268" s="245"/>
      <c r="AF268" s="1331"/>
      <c r="AG268" s="1332"/>
      <c r="AH268" s="1332"/>
      <c r="AI268" s="1331"/>
      <c r="AJ268" s="1332"/>
      <c r="AK268" s="1332"/>
      <c r="AL268" s="771"/>
    </row>
    <row r="269" spans="1:38" ht="11.25" customHeight="1">
      <c r="A269" s="1029" t="s">
        <v>1021</v>
      </c>
      <c r="E269" s="556"/>
      <c r="F269" s="1354"/>
      <c r="G269" s="1326"/>
      <c r="H269" s="1327" t="s">
        <v>90</v>
      </c>
      <c r="I269" s="1328"/>
      <c r="J269" s="1329"/>
      <c r="K269" s="1330"/>
      <c r="L269" s="1058"/>
      <c r="M269" s="1060"/>
      <c r="N269" s="229"/>
      <c r="O269" s="230"/>
      <c r="P269" s="44" t="s">
        <v>1065</v>
      </c>
      <c r="Q269" s="230"/>
      <c r="R269" s="230"/>
      <c r="S269" s="230"/>
      <c r="T269" s="230"/>
      <c r="U269" s="230"/>
      <c r="V269" s="230"/>
      <c r="W269" s="230"/>
      <c r="X269" s="230"/>
      <c r="Y269" s="230"/>
      <c r="Z269" s="230"/>
      <c r="AA269" s="230"/>
      <c r="AB269" s="230"/>
      <c r="AC269" s="230"/>
      <c r="AD269" s="230"/>
      <c r="AE269" s="246"/>
      <c r="AF269" s="1331"/>
      <c r="AG269" s="1332"/>
      <c r="AH269" s="1332"/>
      <c r="AI269" s="1331"/>
      <c r="AJ269" s="1332"/>
      <c r="AK269" s="1332"/>
      <c r="AL269" s="771"/>
    </row>
    <row r="270" spans="1:38" ht="11.25" customHeight="1">
      <c r="A270" s="1029" t="s">
        <v>1021</v>
      </c>
      <c r="B270" s="1029" t="s">
        <v>1076</v>
      </c>
      <c r="E270" s="556"/>
      <c r="F270" s="1354"/>
      <c r="G270" s="1304" t="s">
        <v>103</v>
      </c>
      <c r="H270" s="1327" t="s">
        <v>91</v>
      </c>
      <c r="I270" s="1328" t="s">
        <v>1077</v>
      </c>
      <c r="J270" s="1341" t="s">
        <v>1078</v>
      </c>
      <c r="K270" s="1330" t="s">
        <v>1084</v>
      </c>
      <c r="L270" s="1058" t="s">
        <v>61</v>
      </c>
      <c r="M270" s="1342" t="s">
        <v>1020</v>
      </c>
      <c r="N270" s="241"/>
      <c r="O270" s="242" t="s">
        <v>387</v>
      </c>
      <c r="P270" s="243"/>
      <c r="Q270" s="243"/>
      <c r="R270" s="243"/>
      <c r="S270" s="243"/>
      <c r="T270" s="243"/>
      <c r="U270" s="243"/>
      <c r="V270" s="243"/>
      <c r="W270" s="243"/>
      <c r="X270" s="243"/>
      <c r="Y270" s="243"/>
      <c r="Z270" s="243"/>
      <c r="AA270" s="243"/>
      <c r="AB270" s="243"/>
      <c r="AC270" s="243"/>
      <c r="AD270" s="243"/>
      <c r="AE270" s="243"/>
      <c r="AF270" s="1331">
        <v>10</v>
      </c>
      <c r="AG270" s="1332" t="s">
        <v>1055</v>
      </c>
      <c r="AH270" s="1332" t="s">
        <v>1085</v>
      </c>
      <c r="AI270" s="1331">
        <v>10</v>
      </c>
      <c r="AJ270" s="1332" t="s">
        <v>1055</v>
      </c>
      <c r="AK270" s="1332" t="s">
        <v>1085</v>
      </c>
      <c r="AL270" s="771"/>
    </row>
    <row r="271" spans="1:38" ht="11.25" customHeight="1">
      <c r="A271" s="1029" t="s">
        <v>1021</v>
      </c>
      <c r="E271" s="556"/>
      <c r="F271" s="1354"/>
      <c r="G271" s="1326"/>
      <c r="H271" s="1327" t="s">
        <v>115</v>
      </c>
      <c r="I271" s="1328"/>
      <c r="J271" s="1341"/>
      <c r="K271" s="1330"/>
      <c r="L271" s="1058"/>
      <c r="M271" s="1342"/>
      <c r="N271" s="1333"/>
      <c r="O271" s="1334">
        <v>1</v>
      </c>
      <c r="P271" s="1335" t="s">
        <v>19</v>
      </c>
      <c r="Q271" s="1323" t="s">
        <v>22</v>
      </c>
      <c r="R271" s="1323" t="s">
        <v>22</v>
      </c>
      <c r="S271" s="1323" t="s">
        <v>22</v>
      </c>
      <c r="T271" s="1323" t="s">
        <v>22</v>
      </c>
      <c r="U271" s="1323" t="s">
        <v>22</v>
      </c>
      <c r="V271" s="1323" t="s">
        <v>22</v>
      </c>
      <c r="W271" s="1323" t="s">
        <v>22</v>
      </c>
      <c r="X271" s="1323" t="s">
        <v>22</v>
      </c>
      <c r="Y271" s="1323"/>
      <c r="Z271" s="229"/>
      <c r="AA271" s="230"/>
      <c r="AB271" s="230"/>
      <c r="AC271" s="231"/>
      <c r="AD271" s="231"/>
      <c r="AE271" s="244"/>
      <c r="AF271" s="1331"/>
      <c r="AG271" s="1332"/>
      <c r="AH271" s="1332"/>
      <c r="AI271" s="1331"/>
      <c r="AJ271" s="1332"/>
      <c r="AK271" s="1332"/>
      <c r="AL271" s="771"/>
    </row>
    <row r="272" spans="1:38" ht="11.25" customHeight="1">
      <c r="A272" s="1029" t="s">
        <v>1021</v>
      </c>
      <c r="E272" s="556"/>
      <c r="F272" s="1354"/>
      <c r="G272" s="1326"/>
      <c r="H272" s="1327" t="s">
        <v>115</v>
      </c>
      <c r="I272" s="1328"/>
      <c r="J272" s="1341"/>
      <c r="K272" s="1330"/>
      <c r="L272" s="1058"/>
      <c r="M272" s="1342"/>
      <c r="N272" s="1333"/>
      <c r="O272" s="1334"/>
      <c r="P272" s="1336"/>
      <c r="Q272" s="1323"/>
      <c r="R272" s="1323"/>
      <c r="S272" s="1338"/>
      <c r="T272" s="1323"/>
      <c r="U272" s="1323"/>
      <c r="V272" s="1323"/>
      <c r="W272" s="1323"/>
      <c r="X272" s="1323"/>
      <c r="Y272" s="1323"/>
      <c r="AA272" s="777">
        <v>1</v>
      </c>
      <c r="AB272" s="778" t="s">
        <v>1063</v>
      </c>
      <c r="AC272" s="236">
        <v>26125.4</v>
      </c>
      <c r="AD272" s="778" t="str">
        <f>AB272</f>
        <v xml:space="preserve">  Кредиты</v>
      </c>
      <c r="AE272" s="236">
        <f>AC272</f>
        <v>26125.4</v>
      </c>
      <c r="AF272" s="1331"/>
      <c r="AG272" s="1332"/>
      <c r="AH272" s="1332"/>
      <c r="AI272" s="1331"/>
      <c r="AJ272" s="1332"/>
      <c r="AK272" s="1332"/>
      <c r="AL272" s="771"/>
    </row>
    <row r="273" spans="1:38" ht="11.25" customHeight="1">
      <c r="A273" s="1029" t="s">
        <v>1021</v>
      </c>
      <c r="E273" s="556"/>
      <c r="F273" s="1354"/>
      <c r="G273" s="1326"/>
      <c r="H273" s="1327" t="s">
        <v>115</v>
      </c>
      <c r="I273" s="1328"/>
      <c r="J273" s="1341"/>
      <c r="K273" s="1330"/>
      <c r="L273" s="1058"/>
      <c r="M273" s="1342"/>
      <c r="N273" s="1333"/>
      <c r="O273" s="1334"/>
      <c r="P273" s="1337"/>
      <c r="Q273" s="1323"/>
      <c r="R273" s="1323"/>
      <c r="S273" s="1338"/>
      <c r="T273" s="1323"/>
      <c r="U273" s="1323"/>
      <c r="V273" s="1323"/>
      <c r="W273" s="1323"/>
      <c r="X273" s="1323"/>
      <c r="Y273" s="1323"/>
      <c r="Z273" s="229"/>
      <c r="AA273" s="230"/>
      <c r="AB273" s="44" t="s">
        <v>1064</v>
      </c>
      <c r="AC273" s="231"/>
      <c r="AD273" s="231"/>
      <c r="AE273" s="245"/>
      <c r="AF273" s="1331"/>
      <c r="AG273" s="1332"/>
      <c r="AH273" s="1332"/>
      <c r="AI273" s="1331"/>
      <c r="AJ273" s="1332"/>
      <c r="AK273" s="1332"/>
      <c r="AL273" s="771"/>
    </row>
    <row r="274" spans="1:38" ht="11.25" customHeight="1">
      <c r="A274" s="1029" t="s">
        <v>1021</v>
      </c>
      <c r="E274" s="556"/>
      <c r="F274" s="1354"/>
      <c r="G274" s="1326"/>
      <c r="H274" s="1327" t="s">
        <v>115</v>
      </c>
      <c r="I274" s="1328"/>
      <c r="J274" s="1341"/>
      <c r="K274" s="1330"/>
      <c r="L274" s="1058"/>
      <c r="M274" s="1342"/>
      <c r="N274" s="229"/>
      <c r="O274" s="230"/>
      <c r="P274" s="44" t="s">
        <v>1065</v>
      </c>
      <c r="Q274" s="230"/>
      <c r="R274" s="230"/>
      <c r="S274" s="230"/>
      <c r="T274" s="230"/>
      <c r="U274" s="230"/>
      <c r="V274" s="230"/>
      <c r="W274" s="230"/>
      <c r="X274" s="230"/>
      <c r="Y274" s="230"/>
      <c r="Z274" s="230"/>
      <c r="AA274" s="230"/>
      <c r="AB274" s="230"/>
      <c r="AC274" s="230"/>
      <c r="AD274" s="230"/>
      <c r="AE274" s="246"/>
      <c r="AF274" s="1331"/>
      <c r="AG274" s="1332"/>
      <c r="AH274" s="1332"/>
      <c r="AI274" s="1331"/>
      <c r="AJ274" s="1332"/>
      <c r="AK274" s="1332"/>
      <c r="AL274" s="771"/>
    </row>
    <row r="275" spans="1:38" ht="11.25" customHeight="1">
      <c r="A275" s="1029" t="s">
        <v>1021</v>
      </c>
      <c r="B275" s="1029" t="s">
        <v>1076</v>
      </c>
      <c r="E275" s="556"/>
      <c r="F275" s="1354"/>
      <c r="G275" s="1304" t="s">
        <v>103</v>
      </c>
      <c r="H275" s="1327" t="s">
        <v>92</v>
      </c>
      <c r="I275" s="1328" t="s">
        <v>1077</v>
      </c>
      <c r="J275" s="1341" t="s">
        <v>1078</v>
      </c>
      <c r="K275" s="1330" t="s">
        <v>1115</v>
      </c>
      <c r="L275" s="1058" t="s">
        <v>19</v>
      </c>
      <c r="M275" s="1060"/>
      <c r="N275" s="241"/>
      <c r="O275" s="242" t="s">
        <v>387</v>
      </c>
      <c r="P275" s="243"/>
      <c r="Q275" s="243"/>
      <c r="R275" s="243"/>
      <c r="S275" s="243"/>
      <c r="T275" s="243"/>
      <c r="U275" s="243"/>
      <c r="V275" s="243"/>
      <c r="W275" s="243"/>
      <c r="X275" s="243"/>
      <c r="Y275" s="243"/>
      <c r="Z275" s="243"/>
      <c r="AA275" s="243"/>
      <c r="AB275" s="243"/>
      <c r="AC275" s="243"/>
      <c r="AD275" s="243"/>
      <c r="AE275" s="243"/>
      <c r="AF275" s="1331">
        <v>4</v>
      </c>
      <c r="AG275" s="1332" t="s">
        <v>1055</v>
      </c>
      <c r="AH275" s="1332" t="s">
        <v>1093</v>
      </c>
      <c r="AI275" s="1331">
        <v>4</v>
      </c>
      <c r="AJ275" s="1332" t="s">
        <v>1055</v>
      </c>
      <c r="AK275" s="1332" t="s">
        <v>1093</v>
      </c>
      <c r="AL275" s="771"/>
    </row>
    <row r="276" spans="1:38" ht="11.25" customHeight="1">
      <c r="A276" s="1029" t="s">
        <v>1021</v>
      </c>
      <c r="E276" s="556"/>
      <c r="F276" s="1354"/>
      <c r="G276" s="1326"/>
      <c r="H276" s="1327" t="s">
        <v>91</v>
      </c>
      <c r="I276" s="1328"/>
      <c r="J276" s="1341"/>
      <c r="K276" s="1330"/>
      <c r="L276" s="1058"/>
      <c r="M276" s="1060"/>
      <c r="N276" s="1333"/>
      <c r="O276" s="1334">
        <v>1</v>
      </c>
      <c r="P276" s="1335" t="s">
        <v>19</v>
      </c>
      <c r="Q276" s="1323" t="s">
        <v>22</v>
      </c>
      <c r="R276" s="1323" t="s">
        <v>22</v>
      </c>
      <c r="S276" s="1323" t="s">
        <v>22</v>
      </c>
      <c r="T276" s="1323" t="s">
        <v>22</v>
      </c>
      <c r="U276" s="1323" t="s">
        <v>22</v>
      </c>
      <c r="V276" s="1323" t="s">
        <v>22</v>
      </c>
      <c r="W276" s="1323" t="s">
        <v>22</v>
      </c>
      <c r="X276" s="1323" t="s">
        <v>22</v>
      </c>
      <c r="Y276" s="1323"/>
      <c r="Z276" s="229"/>
      <c r="AA276" s="230"/>
      <c r="AB276" s="230"/>
      <c r="AC276" s="231"/>
      <c r="AD276" s="231"/>
      <c r="AE276" s="244"/>
      <c r="AF276" s="1331"/>
      <c r="AG276" s="1332"/>
      <c r="AH276" s="1332"/>
      <c r="AI276" s="1331"/>
      <c r="AJ276" s="1332"/>
      <c r="AK276" s="1332"/>
      <c r="AL276" s="771"/>
    </row>
    <row r="277" spans="1:38" ht="11.25" customHeight="1">
      <c r="A277" s="1029" t="s">
        <v>1021</v>
      </c>
      <c r="E277" s="556"/>
      <c r="F277" s="1354"/>
      <c r="G277" s="1326"/>
      <c r="H277" s="1327" t="s">
        <v>91</v>
      </c>
      <c r="I277" s="1328"/>
      <c r="J277" s="1341"/>
      <c r="K277" s="1330"/>
      <c r="L277" s="1058"/>
      <c r="M277" s="1060"/>
      <c r="N277" s="1333"/>
      <c r="O277" s="1334"/>
      <c r="P277" s="1336"/>
      <c r="Q277" s="1323"/>
      <c r="R277" s="1323"/>
      <c r="S277" s="1338"/>
      <c r="T277" s="1323"/>
      <c r="U277" s="1323"/>
      <c r="V277" s="1323"/>
      <c r="W277" s="1323"/>
      <c r="X277" s="1323"/>
      <c r="Y277" s="1323"/>
      <c r="AA277" s="777">
        <v>1</v>
      </c>
      <c r="AB277" s="778" t="s">
        <v>1063</v>
      </c>
      <c r="AC277" s="236">
        <v>275</v>
      </c>
      <c r="AD277" s="778" t="str">
        <f>AB277</f>
        <v xml:space="preserve">  Кредиты</v>
      </c>
      <c r="AE277" s="236">
        <f>AC277</f>
        <v>275</v>
      </c>
      <c r="AF277" s="1331"/>
      <c r="AG277" s="1332"/>
      <c r="AH277" s="1332"/>
      <c r="AI277" s="1331"/>
      <c r="AJ277" s="1332"/>
      <c r="AK277" s="1332"/>
      <c r="AL277" s="771"/>
    </row>
    <row r="278" spans="1:38" ht="11.25" customHeight="1">
      <c r="A278" s="1029" t="s">
        <v>1021</v>
      </c>
      <c r="E278" s="556"/>
      <c r="F278" s="1354"/>
      <c r="G278" s="1326"/>
      <c r="H278" s="1327" t="s">
        <v>91</v>
      </c>
      <c r="I278" s="1328"/>
      <c r="J278" s="1341"/>
      <c r="K278" s="1330"/>
      <c r="L278" s="1058"/>
      <c r="M278" s="1060"/>
      <c r="N278" s="1333"/>
      <c r="O278" s="1334"/>
      <c r="P278" s="1337"/>
      <c r="Q278" s="1323"/>
      <c r="R278" s="1323"/>
      <c r="S278" s="1338"/>
      <c r="T278" s="1323"/>
      <c r="U278" s="1323"/>
      <c r="V278" s="1323"/>
      <c r="W278" s="1323"/>
      <c r="X278" s="1323"/>
      <c r="Y278" s="1323"/>
      <c r="Z278" s="229"/>
      <c r="AA278" s="230"/>
      <c r="AB278" s="44" t="s">
        <v>1064</v>
      </c>
      <c r="AC278" s="231"/>
      <c r="AD278" s="231"/>
      <c r="AE278" s="245"/>
      <c r="AF278" s="1331"/>
      <c r="AG278" s="1332"/>
      <c r="AH278" s="1332"/>
      <c r="AI278" s="1331"/>
      <c r="AJ278" s="1332"/>
      <c r="AK278" s="1332"/>
      <c r="AL278" s="771"/>
    </row>
    <row r="279" spans="1:38" ht="11.25" customHeight="1">
      <c r="A279" s="1029" t="s">
        <v>1021</v>
      </c>
      <c r="E279" s="556"/>
      <c r="F279" s="1354"/>
      <c r="G279" s="1326"/>
      <c r="H279" s="1327" t="s">
        <v>91</v>
      </c>
      <c r="I279" s="1328"/>
      <c r="J279" s="1341"/>
      <c r="K279" s="1330"/>
      <c r="L279" s="1058"/>
      <c r="M279" s="1060"/>
      <c r="N279" s="229"/>
      <c r="O279" s="230"/>
      <c r="P279" s="44" t="s">
        <v>1065</v>
      </c>
      <c r="Q279" s="230"/>
      <c r="R279" s="230"/>
      <c r="S279" s="230"/>
      <c r="T279" s="230"/>
      <c r="U279" s="230"/>
      <c r="V279" s="230"/>
      <c r="W279" s="230"/>
      <c r="X279" s="230"/>
      <c r="Y279" s="230"/>
      <c r="Z279" s="230"/>
      <c r="AA279" s="230"/>
      <c r="AB279" s="230"/>
      <c r="AC279" s="230"/>
      <c r="AD279" s="230"/>
      <c r="AE279" s="246"/>
      <c r="AF279" s="1331"/>
      <c r="AG279" s="1332"/>
      <c r="AH279" s="1332"/>
      <c r="AI279" s="1331"/>
      <c r="AJ279" s="1332"/>
      <c r="AK279" s="1332"/>
      <c r="AL279" s="771"/>
    </row>
    <row r="280" spans="1:38" ht="11.25" customHeight="1">
      <c r="A280" s="1029" t="s">
        <v>1021</v>
      </c>
      <c r="B280" s="1029" t="s">
        <v>1076</v>
      </c>
      <c r="E280" s="556"/>
      <c r="F280" s="1354"/>
      <c r="G280" s="1304" t="s">
        <v>103</v>
      </c>
      <c r="H280" s="1327" t="s">
        <v>116</v>
      </c>
      <c r="I280" s="1328" t="s">
        <v>1077</v>
      </c>
      <c r="J280" s="1341" t="s">
        <v>1078</v>
      </c>
      <c r="K280" s="1330" t="s">
        <v>1108</v>
      </c>
      <c r="L280" s="1058" t="s">
        <v>61</v>
      </c>
      <c r="M280" s="1342" t="s">
        <v>1020</v>
      </c>
      <c r="N280" s="241"/>
      <c r="O280" s="242" t="s">
        <v>387</v>
      </c>
      <c r="P280" s="243"/>
      <c r="Q280" s="243"/>
      <c r="R280" s="243"/>
      <c r="S280" s="243"/>
      <c r="T280" s="243"/>
      <c r="U280" s="243"/>
      <c r="V280" s="243"/>
      <c r="W280" s="243"/>
      <c r="X280" s="243"/>
      <c r="Y280" s="243"/>
      <c r="Z280" s="243"/>
      <c r="AA280" s="243"/>
      <c r="AB280" s="243"/>
      <c r="AC280" s="243"/>
      <c r="AD280" s="243"/>
      <c r="AE280" s="243"/>
      <c r="AF280" s="1331">
        <v>9</v>
      </c>
      <c r="AG280" s="1332" t="s">
        <v>1055</v>
      </c>
      <c r="AH280" s="1332" t="s">
        <v>1109</v>
      </c>
      <c r="AI280" s="1331">
        <v>9</v>
      </c>
      <c r="AJ280" s="1332" t="s">
        <v>1055</v>
      </c>
      <c r="AK280" s="1332" t="s">
        <v>1109</v>
      </c>
      <c r="AL280" s="771"/>
    </row>
    <row r="281" spans="1:38" ht="11.25" customHeight="1">
      <c r="A281" s="1029" t="s">
        <v>1021</v>
      </c>
      <c r="E281" s="556"/>
      <c r="F281" s="1354"/>
      <c r="G281" s="1326"/>
      <c r="H281" s="1327" t="s">
        <v>92</v>
      </c>
      <c r="I281" s="1328"/>
      <c r="J281" s="1341"/>
      <c r="K281" s="1330"/>
      <c r="L281" s="1058"/>
      <c r="M281" s="1342"/>
      <c r="N281" s="1333"/>
      <c r="O281" s="1334">
        <v>1</v>
      </c>
      <c r="P281" s="1335" t="s">
        <v>19</v>
      </c>
      <c r="Q281" s="1323" t="s">
        <v>22</v>
      </c>
      <c r="R281" s="1323" t="s">
        <v>22</v>
      </c>
      <c r="S281" s="1323" t="s">
        <v>22</v>
      </c>
      <c r="T281" s="1323" t="s">
        <v>22</v>
      </c>
      <c r="U281" s="1323" t="s">
        <v>22</v>
      </c>
      <c r="V281" s="1323" t="s">
        <v>22</v>
      </c>
      <c r="W281" s="1323" t="s">
        <v>22</v>
      </c>
      <c r="X281" s="1323" t="s">
        <v>22</v>
      </c>
      <c r="Y281" s="1323"/>
      <c r="Z281" s="229"/>
      <c r="AA281" s="230"/>
      <c r="AB281" s="230"/>
      <c r="AC281" s="231"/>
      <c r="AD281" s="231"/>
      <c r="AE281" s="244"/>
      <c r="AF281" s="1331"/>
      <c r="AG281" s="1332"/>
      <c r="AH281" s="1332"/>
      <c r="AI281" s="1331"/>
      <c r="AJ281" s="1332"/>
      <c r="AK281" s="1332"/>
      <c r="AL281" s="771"/>
    </row>
    <row r="282" spans="1:38" ht="11.25" customHeight="1">
      <c r="A282" s="1029" t="s">
        <v>1021</v>
      </c>
      <c r="E282" s="556"/>
      <c r="F282" s="1354"/>
      <c r="G282" s="1326"/>
      <c r="H282" s="1327" t="s">
        <v>92</v>
      </c>
      <c r="I282" s="1328"/>
      <c r="J282" s="1341"/>
      <c r="K282" s="1330"/>
      <c r="L282" s="1058"/>
      <c r="M282" s="1342"/>
      <c r="N282" s="1333"/>
      <c r="O282" s="1334"/>
      <c r="P282" s="1336"/>
      <c r="Q282" s="1323"/>
      <c r="R282" s="1323"/>
      <c r="S282" s="1338"/>
      <c r="T282" s="1323"/>
      <c r="U282" s="1323"/>
      <c r="V282" s="1323"/>
      <c r="W282" s="1323"/>
      <c r="X282" s="1323"/>
      <c r="Y282" s="1323"/>
      <c r="AA282" s="777">
        <v>1</v>
      </c>
      <c r="AB282" s="778" t="s">
        <v>1063</v>
      </c>
      <c r="AC282" s="236">
        <v>50941</v>
      </c>
      <c r="AD282" s="778" t="str">
        <f>AB282</f>
        <v xml:space="preserve">  Кредиты</v>
      </c>
      <c r="AE282" s="236">
        <f>AC282</f>
        <v>50941</v>
      </c>
      <c r="AF282" s="1331"/>
      <c r="AG282" s="1332"/>
      <c r="AH282" s="1332"/>
      <c r="AI282" s="1331"/>
      <c r="AJ282" s="1332"/>
      <c r="AK282" s="1332"/>
      <c r="AL282" s="771"/>
    </row>
    <row r="283" spans="1:38" ht="11.25" customHeight="1">
      <c r="A283" s="1029" t="s">
        <v>1021</v>
      </c>
      <c r="E283" s="556"/>
      <c r="F283" s="1354"/>
      <c r="G283" s="1326"/>
      <c r="H283" s="1327" t="s">
        <v>92</v>
      </c>
      <c r="I283" s="1328"/>
      <c r="J283" s="1341"/>
      <c r="K283" s="1330"/>
      <c r="L283" s="1058"/>
      <c r="M283" s="1342"/>
      <c r="N283" s="1333"/>
      <c r="O283" s="1334"/>
      <c r="P283" s="1337"/>
      <c r="Q283" s="1323"/>
      <c r="R283" s="1323"/>
      <c r="S283" s="1338"/>
      <c r="T283" s="1323"/>
      <c r="U283" s="1323"/>
      <c r="V283" s="1323"/>
      <c r="W283" s="1323"/>
      <c r="X283" s="1323"/>
      <c r="Y283" s="1323"/>
      <c r="Z283" s="229"/>
      <c r="AA283" s="230"/>
      <c r="AB283" s="44" t="s">
        <v>1064</v>
      </c>
      <c r="AC283" s="231"/>
      <c r="AD283" s="231"/>
      <c r="AE283" s="245"/>
      <c r="AF283" s="1331"/>
      <c r="AG283" s="1332"/>
      <c r="AH283" s="1332"/>
      <c r="AI283" s="1331"/>
      <c r="AJ283" s="1332"/>
      <c r="AK283" s="1332"/>
      <c r="AL283" s="771"/>
    </row>
    <row r="284" spans="1:38" ht="11.25" customHeight="1">
      <c r="A284" s="1029" t="s">
        <v>1021</v>
      </c>
      <c r="E284" s="556"/>
      <c r="F284" s="1354"/>
      <c r="G284" s="1326"/>
      <c r="H284" s="1327" t="s">
        <v>92</v>
      </c>
      <c r="I284" s="1328"/>
      <c r="J284" s="1341"/>
      <c r="K284" s="1330"/>
      <c r="L284" s="1058"/>
      <c r="M284" s="1342"/>
      <c r="N284" s="229"/>
      <c r="O284" s="230"/>
      <c r="P284" s="44" t="s">
        <v>1065</v>
      </c>
      <c r="Q284" s="230"/>
      <c r="R284" s="230"/>
      <c r="S284" s="230"/>
      <c r="T284" s="230"/>
      <c r="U284" s="230"/>
      <c r="V284" s="230"/>
      <c r="W284" s="230"/>
      <c r="X284" s="230"/>
      <c r="Y284" s="230"/>
      <c r="Z284" s="230"/>
      <c r="AA284" s="230"/>
      <c r="AB284" s="230"/>
      <c r="AC284" s="230"/>
      <c r="AD284" s="230"/>
      <c r="AE284" s="246"/>
      <c r="AF284" s="1331"/>
      <c r="AG284" s="1332"/>
      <c r="AH284" s="1332"/>
      <c r="AI284" s="1331"/>
      <c r="AJ284" s="1332"/>
      <c r="AK284" s="1332"/>
      <c r="AL284" s="771"/>
    </row>
    <row r="285" spans="1:38" ht="11.25" customHeight="1">
      <c r="A285" s="1029" t="s">
        <v>1021</v>
      </c>
      <c r="B285" s="1029" t="s">
        <v>22</v>
      </c>
      <c r="E285" s="556"/>
      <c r="F285" s="1354"/>
      <c r="G285" s="1304" t="s">
        <v>103</v>
      </c>
      <c r="H285" s="1327" t="s">
        <v>161</v>
      </c>
      <c r="I285" s="1328" t="s">
        <v>1086</v>
      </c>
      <c r="J285" s="1329" t="s">
        <v>22</v>
      </c>
      <c r="K285" s="1330" t="s">
        <v>1110</v>
      </c>
      <c r="L285" s="1058" t="s">
        <v>19</v>
      </c>
      <c r="M285" s="1060"/>
      <c r="N285" s="241"/>
      <c r="O285" s="242" t="s">
        <v>387</v>
      </c>
      <c r="P285" s="243"/>
      <c r="Q285" s="243"/>
      <c r="R285" s="243"/>
      <c r="S285" s="243"/>
      <c r="T285" s="243"/>
      <c r="U285" s="243"/>
      <c r="V285" s="243"/>
      <c r="W285" s="243"/>
      <c r="X285" s="243"/>
      <c r="Y285" s="243"/>
      <c r="Z285" s="243"/>
      <c r="AA285" s="243"/>
      <c r="AB285" s="243"/>
      <c r="AC285" s="243"/>
      <c r="AD285" s="243"/>
      <c r="AE285" s="243"/>
      <c r="AF285" s="1331">
        <v>1</v>
      </c>
      <c r="AG285" s="1332" t="s">
        <v>1055</v>
      </c>
      <c r="AH285" s="1332" t="s">
        <v>1056</v>
      </c>
      <c r="AI285" s="1331">
        <v>1</v>
      </c>
      <c r="AJ285" s="1332" t="s">
        <v>1055</v>
      </c>
      <c r="AK285" s="1332" t="s">
        <v>1056</v>
      </c>
      <c r="AL285" s="771"/>
    </row>
    <row r="286" spans="1:38" ht="11.25" customHeight="1">
      <c r="A286" s="1029" t="s">
        <v>1021</v>
      </c>
      <c r="E286" s="556"/>
      <c r="F286" s="1354"/>
      <c r="G286" s="1326"/>
      <c r="H286" s="1327" t="s">
        <v>116</v>
      </c>
      <c r="I286" s="1328"/>
      <c r="J286" s="1329"/>
      <c r="K286" s="1330"/>
      <c r="L286" s="1058"/>
      <c r="M286" s="1060"/>
      <c r="N286" s="1333"/>
      <c r="O286" s="1334">
        <v>1</v>
      </c>
      <c r="P286" s="1335" t="s">
        <v>19</v>
      </c>
      <c r="Q286" s="1323" t="s">
        <v>22</v>
      </c>
      <c r="R286" s="1323" t="s">
        <v>22</v>
      </c>
      <c r="S286" s="1323" t="s">
        <v>22</v>
      </c>
      <c r="T286" s="1323" t="s">
        <v>22</v>
      </c>
      <c r="U286" s="1323" t="s">
        <v>22</v>
      </c>
      <c r="V286" s="1323" t="s">
        <v>22</v>
      </c>
      <c r="W286" s="1323" t="s">
        <v>22</v>
      </c>
      <c r="X286" s="1323" t="s">
        <v>22</v>
      </c>
      <c r="Y286" s="1323"/>
      <c r="Z286" s="229"/>
      <c r="AA286" s="230"/>
      <c r="AB286" s="230"/>
      <c r="AC286" s="231"/>
      <c r="AD286" s="231"/>
      <c r="AE286" s="244"/>
      <c r="AF286" s="1331"/>
      <c r="AG286" s="1332"/>
      <c r="AH286" s="1332"/>
      <c r="AI286" s="1331"/>
      <c r="AJ286" s="1332"/>
      <c r="AK286" s="1332"/>
      <c r="AL286" s="771"/>
    </row>
    <row r="287" spans="1:38" ht="11.25" customHeight="1">
      <c r="A287" s="1029" t="s">
        <v>1021</v>
      </c>
      <c r="E287" s="556"/>
      <c r="F287" s="1354"/>
      <c r="G287" s="1326"/>
      <c r="H287" s="1327" t="s">
        <v>116</v>
      </c>
      <c r="I287" s="1328"/>
      <c r="J287" s="1329"/>
      <c r="K287" s="1330"/>
      <c r="L287" s="1058"/>
      <c r="M287" s="1060"/>
      <c r="N287" s="1333"/>
      <c r="O287" s="1334"/>
      <c r="P287" s="1336"/>
      <c r="Q287" s="1323"/>
      <c r="R287" s="1323"/>
      <c r="S287" s="1338"/>
      <c r="T287" s="1323"/>
      <c r="U287" s="1323"/>
      <c r="V287" s="1323"/>
      <c r="W287" s="1323"/>
      <c r="X287" s="1323"/>
      <c r="Y287" s="1323"/>
      <c r="AA287" s="777">
        <v>1</v>
      </c>
      <c r="AB287" s="778" t="s">
        <v>1063</v>
      </c>
      <c r="AC287" s="236">
        <v>5992</v>
      </c>
      <c r="AD287" s="778" t="str">
        <f>AB287</f>
        <v xml:space="preserve">  Кредиты</v>
      </c>
      <c r="AE287" s="236">
        <f>AC287</f>
        <v>5992</v>
      </c>
      <c r="AF287" s="1331"/>
      <c r="AG287" s="1332"/>
      <c r="AH287" s="1332"/>
      <c r="AI287" s="1331"/>
      <c r="AJ287" s="1332"/>
      <c r="AK287" s="1332"/>
      <c r="AL287" s="771"/>
    </row>
    <row r="288" spans="1:38" ht="11.25" customHeight="1">
      <c r="A288" s="1029" t="s">
        <v>1021</v>
      </c>
      <c r="E288" s="556"/>
      <c r="F288" s="1354"/>
      <c r="G288" s="1326"/>
      <c r="H288" s="1327" t="s">
        <v>116</v>
      </c>
      <c r="I288" s="1328"/>
      <c r="J288" s="1329"/>
      <c r="K288" s="1330"/>
      <c r="L288" s="1058"/>
      <c r="M288" s="1060"/>
      <c r="N288" s="1333"/>
      <c r="O288" s="1334"/>
      <c r="P288" s="1337"/>
      <c r="Q288" s="1323"/>
      <c r="R288" s="1323"/>
      <c r="S288" s="1338"/>
      <c r="T288" s="1323"/>
      <c r="U288" s="1323"/>
      <c r="V288" s="1323"/>
      <c r="W288" s="1323"/>
      <c r="X288" s="1323"/>
      <c r="Y288" s="1323"/>
      <c r="Z288" s="229"/>
      <c r="AA288" s="230"/>
      <c r="AB288" s="44" t="s">
        <v>1064</v>
      </c>
      <c r="AC288" s="231"/>
      <c r="AD288" s="231"/>
      <c r="AE288" s="245"/>
      <c r="AF288" s="1331"/>
      <c r="AG288" s="1332"/>
      <c r="AH288" s="1332"/>
      <c r="AI288" s="1331"/>
      <c r="AJ288" s="1332"/>
      <c r="AK288" s="1332"/>
      <c r="AL288" s="771"/>
    </row>
    <row r="289" spans="1:38" ht="11.25" customHeight="1">
      <c r="A289" s="1029" t="s">
        <v>1021</v>
      </c>
      <c r="E289" s="556"/>
      <c r="F289" s="1354"/>
      <c r="G289" s="1326"/>
      <c r="H289" s="1327" t="s">
        <v>116</v>
      </c>
      <c r="I289" s="1328"/>
      <c r="J289" s="1329"/>
      <c r="K289" s="1330"/>
      <c r="L289" s="1058"/>
      <c r="M289" s="1060"/>
      <c r="N289" s="229"/>
      <c r="O289" s="230"/>
      <c r="P289" s="44" t="s">
        <v>1065</v>
      </c>
      <c r="Q289" s="230"/>
      <c r="R289" s="230"/>
      <c r="S289" s="230"/>
      <c r="T289" s="230"/>
      <c r="U289" s="230"/>
      <c r="V289" s="230"/>
      <c r="W289" s="230"/>
      <c r="X289" s="230"/>
      <c r="Y289" s="230"/>
      <c r="Z289" s="230"/>
      <c r="AA289" s="230"/>
      <c r="AB289" s="230"/>
      <c r="AC289" s="230"/>
      <c r="AD289" s="230"/>
      <c r="AE289" s="246"/>
      <c r="AF289" s="1331"/>
      <c r="AG289" s="1332"/>
      <c r="AH289" s="1332"/>
      <c r="AI289" s="1331"/>
      <c r="AJ289" s="1332"/>
      <c r="AK289" s="1332"/>
      <c r="AL289" s="771"/>
    </row>
    <row r="290" spans="1:38" ht="11.25" customHeight="1">
      <c r="A290" s="1029" t="s">
        <v>1021</v>
      </c>
      <c r="B290" s="1029" t="s">
        <v>22</v>
      </c>
      <c r="E290" s="556"/>
      <c r="F290" s="1354"/>
      <c r="G290" s="1304" t="s">
        <v>103</v>
      </c>
      <c r="H290" s="1327" t="s">
        <v>162</v>
      </c>
      <c r="I290" s="1328" t="s">
        <v>1086</v>
      </c>
      <c r="J290" s="1329" t="s">
        <v>22</v>
      </c>
      <c r="K290" s="1330" t="s">
        <v>1099</v>
      </c>
      <c r="L290" s="1058" t="s">
        <v>19</v>
      </c>
      <c r="M290" s="1060"/>
      <c r="N290" s="241"/>
      <c r="O290" s="242" t="s">
        <v>387</v>
      </c>
      <c r="P290" s="243"/>
      <c r="Q290" s="243"/>
      <c r="R290" s="243"/>
      <c r="S290" s="243"/>
      <c r="T290" s="243"/>
      <c r="U290" s="243"/>
      <c r="V290" s="243"/>
      <c r="W290" s="243"/>
      <c r="X290" s="243"/>
      <c r="Y290" s="243"/>
      <c r="Z290" s="243"/>
      <c r="AA290" s="243"/>
      <c r="AB290" s="243"/>
      <c r="AC290" s="243"/>
      <c r="AD290" s="243"/>
      <c r="AE290" s="243"/>
      <c r="AF290" s="1331">
        <v>3</v>
      </c>
      <c r="AG290" s="1332" t="s">
        <v>1055</v>
      </c>
      <c r="AH290" s="1332" t="s">
        <v>1082</v>
      </c>
      <c r="AI290" s="1331">
        <v>3</v>
      </c>
      <c r="AJ290" s="1332" t="s">
        <v>1055</v>
      </c>
      <c r="AK290" s="1332" t="s">
        <v>1082</v>
      </c>
      <c r="AL290" s="771"/>
    </row>
    <row r="291" spans="1:38" ht="11.25" customHeight="1">
      <c r="A291" s="1029" t="s">
        <v>1021</v>
      </c>
      <c r="E291" s="556"/>
      <c r="F291" s="1354"/>
      <c r="G291" s="1326"/>
      <c r="H291" s="1327" t="s">
        <v>161</v>
      </c>
      <c r="I291" s="1328"/>
      <c r="J291" s="1329"/>
      <c r="K291" s="1330"/>
      <c r="L291" s="1058"/>
      <c r="M291" s="1060"/>
      <c r="N291" s="1333"/>
      <c r="O291" s="1334">
        <v>1</v>
      </c>
      <c r="P291" s="1335" t="s">
        <v>61</v>
      </c>
      <c r="Q291" s="1339" t="s">
        <v>1074</v>
      </c>
      <c r="R291" s="1340" t="s">
        <v>1058</v>
      </c>
      <c r="S291" s="1340" t="s">
        <v>99</v>
      </c>
      <c r="T291" s="1340" t="s">
        <v>99</v>
      </c>
      <c r="U291" s="1340" t="s">
        <v>100</v>
      </c>
      <c r="V291" s="1340" t="s">
        <v>1059</v>
      </c>
      <c r="W291" s="1340" t="s">
        <v>1060</v>
      </c>
      <c r="X291" s="1340" t="s">
        <v>1070</v>
      </c>
      <c r="Y291" s="1340" t="s">
        <v>1075</v>
      </c>
      <c r="Z291" s="229"/>
      <c r="AA291" s="230"/>
      <c r="AB291" s="230"/>
      <c r="AC291" s="231"/>
      <c r="AD291" s="231"/>
      <c r="AE291" s="244"/>
      <c r="AF291" s="1331"/>
      <c r="AG291" s="1332"/>
      <c r="AH291" s="1332"/>
      <c r="AI291" s="1331"/>
      <c r="AJ291" s="1332"/>
      <c r="AK291" s="1332"/>
      <c r="AL291" s="771"/>
    </row>
    <row r="292" spans="1:38" ht="11.25" customHeight="1">
      <c r="A292" s="1029" t="s">
        <v>1021</v>
      </c>
      <c r="E292" s="556"/>
      <c r="F292" s="1354"/>
      <c r="G292" s="1326"/>
      <c r="H292" s="1327" t="s">
        <v>161</v>
      </c>
      <c r="I292" s="1328"/>
      <c r="J292" s="1329"/>
      <c r="K292" s="1330"/>
      <c r="L292" s="1058"/>
      <c r="M292" s="1060"/>
      <c r="N292" s="1333"/>
      <c r="O292" s="1334"/>
      <c r="P292" s="1336"/>
      <c r="Q292" s="1339"/>
      <c r="R292" s="1323"/>
      <c r="S292" s="1338"/>
      <c r="T292" s="1323"/>
      <c r="U292" s="1323"/>
      <c r="V292" s="1323"/>
      <c r="W292" s="1323"/>
      <c r="X292" s="1323"/>
      <c r="Y292" s="1323"/>
      <c r="AA292" s="777">
        <v>1</v>
      </c>
      <c r="AB292" s="778" t="s">
        <v>1063</v>
      </c>
      <c r="AC292" s="236">
        <v>736</v>
      </c>
      <c r="AD292" s="778" t="str">
        <f>AB292</f>
        <v xml:space="preserve">  Кредиты</v>
      </c>
      <c r="AE292" s="236">
        <f>AC292</f>
        <v>736</v>
      </c>
      <c r="AF292" s="1331"/>
      <c r="AG292" s="1332"/>
      <c r="AH292" s="1332"/>
      <c r="AI292" s="1331"/>
      <c r="AJ292" s="1332"/>
      <c r="AK292" s="1332"/>
      <c r="AL292" s="771"/>
    </row>
    <row r="293" spans="1:38" ht="11.25" customHeight="1">
      <c r="A293" s="1029" t="s">
        <v>1021</v>
      </c>
      <c r="E293" s="556"/>
      <c r="F293" s="1354"/>
      <c r="G293" s="1326"/>
      <c r="H293" s="1327" t="s">
        <v>161</v>
      </c>
      <c r="I293" s="1328"/>
      <c r="J293" s="1329"/>
      <c r="K293" s="1330"/>
      <c r="L293" s="1058"/>
      <c r="M293" s="1060"/>
      <c r="N293" s="1333"/>
      <c r="O293" s="1334"/>
      <c r="P293" s="1337"/>
      <c r="Q293" s="1339"/>
      <c r="R293" s="1323"/>
      <c r="S293" s="1338"/>
      <c r="T293" s="1323"/>
      <c r="U293" s="1323"/>
      <c r="V293" s="1323"/>
      <c r="W293" s="1323"/>
      <c r="X293" s="1323"/>
      <c r="Y293" s="1323"/>
      <c r="Z293" s="229"/>
      <c r="AA293" s="230"/>
      <c r="AB293" s="44" t="s">
        <v>1064</v>
      </c>
      <c r="AC293" s="231"/>
      <c r="AD293" s="231"/>
      <c r="AE293" s="245"/>
      <c r="AF293" s="1331"/>
      <c r="AG293" s="1332"/>
      <c r="AH293" s="1332"/>
      <c r="AI293" s="1331"/>
      <c r="AJ293" s="1332"/>
      <c r="AK293" s="1332"/>
      <c r="AL293" s="771"/>
    </row>
    <row r="294" spans="1:38" ht="11.25" customHeight="1">
      <c r="A294" s="1029" t="s">
        <v>1021</v>
      </c>
      <c r="E294" s="556"/>
      <c r="F294" s="1354"/>
      <c r="G294" s="1326"/>
      <c r="H294" s="1327" t="s">
        <v>161</v>
      </c>
      <c r="I294" s="1328"/>
      <c r="J294" s="1329"/>
      <c r="K294" s="1330"/>
      <c r="L294" s="1058"/>
      <c r="M294" s="1060"/>
      <c r="N294" s="229"/>
      <c r="O294" s="230"/>
      <c r="P294" s="44" t="s">
        <v>1065</v>
      </c>
      <c r="Q294" s="230"/>
      <c r="R294" s="230"/>
      <c r="S294" s="230"/>
      <c r="T294" s="230"/>
      <c r="U294" s="230"/>
      <c r="V294" s="230"/>
      <c r="W294" s="230"/>
      <c r="X294" s="230"/>
      <c r="Y294" s="230"/>
      <c r="Z294" s="230"/>
      <c r="AA294" s="230"/>
      <c r="AB294" s="230"/>
      <c r="AC294" s="230"/>
      <c r="AD294" s="230"/>
      <c r="AE294" s="246"/>
      <c r="AF294" s="1331"/>
      <c r="AG294" s="1332"/>
      <c r="AH294" s="1332"/>
      <c r="AI294" s="1331"/>
      <c r="AJ294" s="1332"/>
      <c r="AK294" s="1332"/>
      <c r="AL294" s="771"/>
    </row>
    <row r="295" spans="1:38" ht="11.25" customHeight="1">
      <c r="A295" s="1029" t="s">
        <v>1021</v>
      </c>
      <c r="B295" s="1029" t="s">
        <v>22</v>
      </c>
      <c r="E295" s="556"/>
      <c r="F295" s="1354"/>
      <c r="G295" s="1304" t="s">
        <v>103</v>
      </c>
      <c r="H295" s="1327" t="s">
        <v>163</v>
      </c>
      <c r="I295" s="1328" t="s">
        <v>1080</v>
      </c>
      <c r="J295" s="1329" t="s">
        <v>22</v>
      </c>
      <c r="K295" s="1330" t="s">
        <v>1081</v>
      </c>
      <c r="L295" s="1058" t="s">
        <v>19</v>
      </c>
      <c r="M295" s="1060"/>
      <c r="N295" s="241"/>
      <c r="O295" s="242" t="s">
        <v>387</v>
      </c>
      <c r="P295" s="243"/>
      <c r="Q295" s="243"/>
      <c r="R295" s="243"/>
      <c r="S295" s="243"/>
      <c r="T295" s="243"/>
      <c r="U295" s="243"/>
      <c r="V295" s="243"/>
      <c r="W295" s="243"/>
      <c r="X295" s="243"/>
      <c r="Y295" s="243"/>
      <c r="Z295" s="243"/>
      <c r="AA295" s="243"/>
      <c r="AB295" s="243"/>
      <c r="AC295" s="243"/>
      <c r="AD295" s="243"/>
      <c r="AE295" s="243"/>
      <c r="AF295" s="1331">
        <v>3</v>
      </c>
      <c r="AG295" s="1332" t="s">
        <v>1055</v>
      </c>
      <c r="AH295" s="1332" t="s">
        <v>1082</v>
      </c>
      <c r="AI295" s="1331">
        <v>3</v>
      </c>
      <c r="AJ295" s="1332" t="s">
        <v>1055</v>
      </c>
      <c r="AK295" s="1332" t="s">
        <v>1082</v>
      </c>
      <c r="AL295" s="771"/>
    </row>
    <row r="296" spans="1:38" ht="11.25" customHeight="1">
      <c r="A296" s="1029" t="s">
        <v>1021</v>
      </c>
      <c r="E296" s="556"/>
      <c r="F296" s="1354"/>
      <c r="G296" s="1326"/>
      <c r="H296" s="1327" t="s">
        <v>162</v>
      </c>
      <c r="I296" s="1328"/>
      <c r="J296" s="1329"/>
      <c r="K296" s="1330"/>
      <c r="L296" s="1058"/>
      <c r="M296" s="1060"/>
      <c r="N296" s="1333"/>
      <c r="O296" s="1334">
        <v>1</v>
      </c>
      <c r="P296" s="1335" t="s">
        <v>19</v>
      </c>
      <c r="Q296" s="1323" t="s">
        <v>22</v>
      </c>
      <c r="R296" s="1323" t="s">
        <v>22</v>
      </c>
      <c r="S296" s="1323" t="s">
        <v>22</v>
      </c>
      <c r="T296" s="1323" t="s">
        <v>22</v>
      </c>
      <c r="U296" s="1323" t="s">
        <v>22</v>
      </c>
      <c r="V296" s="1323" t="s">
        <v>22</v>
      </c>
      <c r="W296" s="1323" t="s">
        <v>22</v>
      </c>
      <c r="X296" s="1323" t="s">
        <v>22</v>
      </c>
      <c r="Y296" s="1323"/>
      <c r="Z296" s="229"/>
      <c r="AA296" s="230"/>
      <c r="AB296" s="230"/>
      <c r="AC296" s="231"/>
      <c r="AD296" s="231"/>
      <c r="AE296" s="244"/>
      <c r="AF296" s="1331"/>
      <c r="AG296" s="1332"/>
      <c r="AH296" s="1332"/>
      <c r="AI296" s="1331"/>
      <c r="AJ296" s="1332"/>
      <c r="AK296" s="1332"/>
      <c r="AL296" s="771"/>
    </row>
    <row r="297" spans="1:38" ht="11.25" customHeight="1">
      <c r="A297" s="1029" t="s">
        <v>1021</v>
      </c>
      <c r="E297" s="556"/>
      <c r="F297" s="1354"/>
      <c r="G297" s="1326"/>
      <c r="H297" s="1327" t="s">
        <v>162</v>
      </c>
      <c r="I297" s="1328"/>
      <c r="J297" s="1329"/>
      <c r="K297" s="1330"/>
      <c r="L297" s="1058"/>
      <c r="M297" s="1060"/>
      <c r="N297" s="1333"/>
      <c r="O297" s="1334"/>
      <c r="P297" s="1336"/>
      <c r="Q297" s="1323"/>
      <c r="R297" s="1323"/>
      <c r="S297" s="1338"/>
      <c r="T297" s="1323"/>
      <c r="U297" s="1323"/>
      <c r="V297" s="1323"/>
      <c r="W297" s="1323"/>
      <c r="X297" s="1323"/>
      <c r="Y297" s="1323"/>
      <c r="AA297" s="777">
        <v>1</v>
      </c>
      <c r="AB297" s="778" t="s">
        <v>1063</v>
      </c>
      <c r="AC297" s="236">
        <v>2697</v>
      </c>
      <c r="AD297" s="778" t="str">
        <f>AB297</f>
        <v xml:space="preserve">  Кредиты</v>
      </c>
      <c r="AE297" s="236">
        <f>AC297</f>
        <v>2697</v>
      </c>
      <c r="AF297" s="1331"/>
      <c r="AG297" s="1332"/>
      <c r="AH297" s="1332"/>
      <c r="AI297" s="1331"/>
      <c r="AJ297" s="1332"/>
      <c r="AK297" s="1332"/>
      <c r="AL297" s="771"/>
    </row>
    <row r="298" spans="1:38" ht="11.25" customHeight="1">
      <c r="A298" s="1029" t="s">
        <v>1021</v>
      </c>
      <c r="E298" s="556"/>
      <c r="F298" s="1354"/>
      <c r="G298" s="1326"/>
      <c r="H298" s="1327" t="s">
        <v>162</v>
      </c>
      <c r="I298" s="1328"/>
      <c r="J298" s="1329"/>
      <c r="K298" s="1330"/>
      <c r="L298" s="1058"/>
      <c r="M298" s="1060"/>
      <c r="N298" s="1333"/>
      <c r="O298" s="1334"/>
      <c r="P298" s="1337"/>
      <c r="Q298" s="1323"/>
      <c r="R298" s="1323"/>
      <c r="S298" s="1338"/>
      <c r="T298" s="1323"/>
      <c r="U298" s="1323"/>
      <c r="V298" s="1323"/>
      <c r="W298" s="1323"/>
      <c r="X298" s="1323"/>
      <c r="Y298" s="1323"/>
      <c r="Z298" s="229"/>
      <c r="AA298" s="230"/>
      <c r="AB298" s="44" t="s">
        <v>1064</v>
      </c>
      <c r="AC298" s="231"/>
      <c r="AD298" s="231"/>
      <c r="AE298" s="245"/>
      <c r="AF298" s="1331"/>
      <c r="AG298" s="1332"/>
      <c r="AH298" s="1332"/>
      <c r="AI298" s="1331"/>
      <c r="AJ298" s="1332"/>
      <c r="AK298" s="1332"/>
      <c r="AL298" s="771"/>
    </row>
    <row r="299" spans="1:38" ht="11.25" customHeight="1">
      <c r="A299" s="1029" t="s">
        <v>1021</v>
      </c>
      <c r="E299" s="556"/>
      <c r="F299" s="1354"/>
      <c r="G299" s="1326"/>
      <c r="H299" s="1327" t="s">
        <v>162</v>
      </c>
      <c r="I299" s="1328"/>
      <c r="J299" s="1329"/>
      <c r="K299" s="1330"/>
      <c r="L299" s="1058"/>
      <c r="M299" s="1060"/>
      <c r="N299" s="229"/>
      <c r="O299" s="230"/>
      <c r="P299" s="44" t="s">
        <v>1065</v>
      </c>
      <c r="Q299" s="230"/>
      <c r="R299" s="230"/>
      <c r="S299" s="230"/>
      <c r="T299" s="230"/>
      <c r="U299" s="230"/>
      <c r="V299" s="230"/>
      <c r="W299" s="230"/>
      <c r="X299" s="230"/>
      <c r="Y299" s="230"/>
      <c r="Z299" s="230"/>
      <c r="AA299" s="230"/>
      <c r="AB299" s="230"/>
      <c r="AC299" s="230"/>
      <c r="AD299" s="230"/>
      <c r="AE299" s="246"/>
      <c r="AF299" s="1331"/>
      <c r="AG299" s="1332"/>
      <c r="AH299" s="1332"/>
      <c r="AI299" s="1331"/>
      <c r="AJ299" s="1332"/>
      <c r="AK299" s="1332"/>
      <c r="AL299" s="771"/>
    </row>
    <row r="300" spans="1:38" ht="11.25" customHeight="1">
      <c r="A300" s="1029" t="s">
        <v>1021</v>
      </c>
      <c r="B300" s="1029" t="s">
        <v>22</v>
      </c>
      <c r="E300" s="556"/>
      <c r="F300" s="1354"/>
      <c r="G300" s="1304" t="s">
        <v>103</v>
      </c>
      <c r="H300" s="1327" t="s">
        <v>164</v>
      </c>
      <c r="I300" s="1328" t="s">
        <v>1080</v>
      </c>
      <c r="J300" s="1329" t="s">
        <v>22</v>
      </c>
      <c r="K300" s="1330" t="s">
        <v>1111</v>
      </c>
      <c r="L300" s="1058" t="s">
        <v>61</v>
      </c>
      <c r="M300" s="1342" t="s">
        <v>1020</v>
      </c>
      <c r="N300" s="241"/>
      <c r="O300" s="242" t="s">
        <v>387</v>
      </c>
      <c r="P300" s="243"/>
      <c r="Q300" s="243"/>
      <c r="R300" s="243"/>
      <c r="S300" s="243"/>
      <c r="T300" s="243"/>
      <c r="U300" s="243"/>
      <c r="V300" s="243"/>
      <c r="W300" s="243"/>
      <c r="X300" s="243"/>
      <c r="Y300" s="243"/>
      <c r="Z300" s="243"/>
      <c r="AA300" s="243"/>
      <c r="AB300" s="243"/>
      <c r="AC300" s="243"/>
      <c r="AD300" s="243"/>
      <c r="AE300" s="243"/>
      <c r="AF300" s="1331">
        <v>9</v>
      </c>
      <c r="AG300" s="1332" t="s">
        <v>1055</v>
      </c>
      <c r="AH300" s="1332" t="s">
        <v>1109</v>
      </c>
      <c r="AI300" s="1331">
        <v>9</v>
      </c>
      <c r="AJ300" s="1332" t="s">
        <v>1055</v>
      </c>
      <c r="AK300" s="1332" t="s">
        <v>1109</v>
      </c>
      <c r="AL300" s="771"/>
    </row>
    <row r="301" spans="1:38" ht="11.25" customHeight="1">
      <c r="A301" s="1029" t="s">
        <v>1021</v>
      </c>
      <c r="E301" s="556"/>
      <c r="F301" s="1354"/>
      <c r="G301" s="1326"/>
      <c r="H301" s="1327" t="s">
        <v>163</v>
      </c>
      <c r="I301" s="1328"/>
      <c r="J301" s="1329"/>
      <c r="K301" s="1330"/>
      <c r="L301" s="1058"/>
      <c r="M301" s="1342"/>
      <c r="N301" s="1333"/>
      <c r="O301" s="1334">
        <v>1</v>
      </c>
      <c r="P301" s="1335" t="s">
        <v>19</v>
      </c>
      <c r="Q301" s="1323" t="s">
        <v>22</v>
      </c>
      <c r="R301" s="1323" t="s">
        <v>22</v>
      </c>
      <c r="S301" s="1323" t="s">
        <v>22</v>
      </c>
      <c r="T301" s="1323" t="s">
        <v>22</v>
      </c>
      <c r="U301" s="1323" t="s">
        <v>22</v>
      </c>
      <c r="V301" s="1323" t="s">
        <v>22</v>
      </c>
      <c r="W301" s="1323" t="s">
        <v>22</v>
      </c>
      <c r="X301" s="1323" t="s">
        <v>22</v>
      </c>
      <c r="Y301" s="1323"/>
      <c r="Z301" s="229"/>
      <c r="AA301" s="230"/>
      <c r="AB301" s="230"/>
      <c r="AC301" s="231"/>
      <c r="AD301" s="231"/>
      <c r="AE301" s="244"/>
      <c r="AF301" s="1331"/>
      <c r="AG301" s="1332"/>
      <c r="AH301" s="1332"/>
      <c r="AI301" s="1331"/>
      <c r="AJ301" s="1332"/>
      <c r="AK301" s="1332"/>
      <c r="AL301" s="771"/>
    </row>
    <row r="302" spans="1:38" ht="11.25" customHeight="1">
      <c r="A302" s="1029" t="s">
        <v>1021</v>
      </c>
      <c r="E302" s="556"/>
      <c r="F302" s="1354"/>
      <c r="G302" s="1326"/>
      <c r="H302" s="1327" t="s">
        <v>163</v>
      </c>
      <c r="I302" s="1328"/>
      <c r="J302" s="1329"/>
      <c r="K302" s="1330"/>
      <c r="L302" s="1058"/>
      <c r="M302" s="1342"/>
      <c r="N302" s="1333"/>
      <c r="O302" s="1334"/>
      <c r="P302" s="1336"/>
      <c r="Q302" s="1323"/>
      <c r="R302" s="1323"/>
      <c r="S302" s="1338"/>
      <c r="T302" s="1323"/>
      <c r="U302" s="1323"/>
      <c r="V302" s="1323"/>
      <c r="W302" s="1323"/>
      <c r="X302" s="1323"/>
      <c r="Y302" s="1323"/>
      <c r="AA302" s="777">
        <v>1</v>
      </c>
      <c r="AB302" s="778" t="s">
        <v>1063</v>
      </c>
      <c r="AC302" s="236">
        <v>8590</v>
      </c>
      <c r="AD302" s="778" t="str">
        <f>AB302</f>
        <v xml:space="preserve">  Кредиты</v>
      </c>
      <c r="AE302" s="236">
        <f>AC302</f>
        <v>8590</v>
      </c>
      <c r="AF302" s="1331"/>
      <c r="AG302" s="1332"/>
      <c r="AH302" s="1332"/>
      <c r="AI302" s="1331"/>
      <c r="AJ302" s="1332"/>
      <c r="AK302" s="1332"/>
      <c r="AL302" s="771"/>
    </row>
    <row r="303" spans="1:38" ht="11.25" customHeight="1">
      <c r="A303" s="1029" t="s">
        <v>1021</v>
      </c>
      <c r="E303" s="556"/>
      <c r="F303" s="1354"/>
      <c r="G303" s="1326"/>
      <c r="H303" s="1327" t="s">
        <v>163</v>
      </c>
      <c r="I303" s="1328"/>
      <c r="J303" s="1329"/>
      <c r="K303" s="1330"/>
      <c r="L303" s="1058"/>
      <c r="M303" s="1342"/>
      <c r="N303" s="1333"/>
      <c r="O303" s="1334"/>
      <c r="P303" s="1337"/>
      <c r="Q303" s="1323"/>
      <c r="R303" s="1323"/>
      <c r="S303" s="1338"/>
      <c r="T303" s="1323"/>
      <c r="U303" s="1323"/>
      <c r="V303" s="1323"/>
      <c r="W303" s="1323"/>
      <c r="X303" s="1323"/>
      <c r="Y303" s="1323"/>
      <c r="Z303" s="229"/>
      <c r="AA303" s="230"/>
      <c r="AB303" s="44" t="s">
        <v>1064</v>
      </c>
      <c r="AC303" s="231"/>
      <c r="AD303" s="231"/>
      <c r="AE303" s="245"/>
      <c r="AF303" s="1331"/>
      <c r="AG303" s="1332"/>
      <c r="AH303" s="1332"/>
      <c r="AI303" s="1331"/>
      <c r="AJ303" s="1332"/>
      <c r="AK303" s="1332"/>
      <c r="AL303" s="771"/>
    </row>
    <row r="304" spans="1:38" ht="11.25" customHeight="1">
      <c r="A304" s="1029" t="s">
        <v>1021</v>
      </c>
      <c r="E304" s="556"/>
      <c r="F304" s="1354"/>
      <c r="G304" s="1326"/>
      <c r="H304" s="1327" t="s">
        <v>163</v>
      </c>
      <c r="I304" s="1328"/>
      <c r="J304" s="1329"/>
      <c r="K304" s="1330"/>
      <c r="L304" s="1058"/>
      <c r="M304" s="1342"/>
      <c r="N304" s="229"/>
      <c r="O304" s="230"/>
      <c r="P304" s="44" t="s">
        <v>1065</v>
      </c>
      <c r="Q304" s="230"/>
      <c r="R304" s="230"/>
      <c r="S304" s="230"/>
      <c r="T304" s="230"/>
      <c r="U304" s="230"/>
      <c r="V304" s="230"/>
      <c r="W304" s="230"/>
      <c r="X304" s="230"/>
      <c r="Y304" s="230"/>
      <c r="Z304" s="230"/>
      <c r="AA304" s="230"/>
      <c r="AB304" s="230"/>
      <c r="AC304" s="230"/>
      <c r="AD304" s="230"/>
      <c r="AE304" s="246"/>
      <c r="AF304" s="1331"/>
      <c r="AG304" s="1332"/>
      <c r="AH304" s="1332"/>
      <c r="AI304" s="1331"/>
      <c r="AJ304" s="1332"/>
      <c r="AK304" s="1332"/>
      <c r="AL304" s="771"/>
    </row>
    <row r="305" spans="1:38" ht="11.25" customHeight="1">
      <c r="A305" s="1029" t="s">
        <v>1021</v>
      </c>
      <c r="B305" s="1029" t="s">
        <v>22</v>
      </c>
      <c r="E305" s="556"/>
      <c r="F305" s="1354"/>
      <c r="G305" s="1304" t="s">
        <v>103</v>
      </c>
      <c r="H305" s="1327" t="s">
        <v>165</v>
      </c>
      <c r="I305" s="1328" t="s">
        <v>1080</v>
      </c>
      <c r="J305" s="1329" t="s">
        <v>22</v>
      </c>
      <c r="K305" s="1330" t="s">
        <v>1116</v>
      </c>
      <c r="L305" s="1058" t="s">
        <v>19</v>
      </c>
      <c r="M305" s="1060"/>
      <c r="N305" s="241"/>
      <c r="O305" s="242" t="s">
        <v>387</v>
      </c>
      <c r="P305" s="243"/>
      <c r="Q305" s="243"/>
      <c r="R305" s="243"/>
      <c r="S305" s="243"/>
      <c r="T305" s="243"/>
      <c r="U305" s="243"/>
      <c r="V305" s="243"/>
      <c r="W305" s="243"/>
      <c r="X305" s="243"/>
      <c r="Y305" s="243"/>
      <c r="Z305" s="243"/>
      <c r="AA305" s="243"/>
      <c r="AB305" s="243"/>
      <c r="AC305" s="243"/>
      <c r="AD305" s="243"/>
      <c r="AE305" s="243"/>
      <c r="AF305" s="1331">
        <v>2</v>
      </c>
      <c r="AG305" s="1332" t="s">
        <v>1055</v>
      </c>
      <c r="AH305" s="1332" t="s">
        <v>1095</v>
      </c>
      <c r="AI305" s="1331">
        <v>2</v>
      </c>
      <c r="AJ305" s="1332" t="s">
        <v>1055</v>
      </c>
      <c r="AK305" s="1332" t="s">
        <v>1095</v>
      </c>
      <c r="AL305" s="771"/>
    </row>
    <row r="306" spans="1:38" ht="11.25" customHeight="1">
      <c r="A306" s="1029" t="s">
        <v>1021</v>
      </c>
      <c r="E306" s="556"/>
      <c r="F306" s="1354"/>
      <c r="G306" s="1326"/>
      <c r="H306" s="1327" t="s">
        <v>164</v>
      </c>
      <c r="I306" s="1328"/>
      <c r="J306" s="1329"/>
      <c r="K306" s="1330"/>
      <c r="L306" s="1058"/>
      <c r="M306" s="1060"/>
      <c r="N306" s="1333"/>
      <c r="O306" s="1334">
        <v>1</v>
      </c>
      <c r="P306" s="1335" t="s">
        <v>19</v>
      </c>
      <c r="Q306" s="1323" t="s">
        <v>22</v>
      </c>
      <c r="R306" s="1323" t="s">
        <v>22</v>
      </c>
      <c r="S306" s="1323" t="s">
        <v>22</v>
      </c>
      <c r="T306" s="1323" t="s">
        <v>22</v>
      </c>
      <c r="U306" s="1323" t="s">
        <v>22</v>
      </c>
      <c r="V306" s="1323" t="s">
        <v>22</v>
      </c>
      <c r="W306" s="1323" t="s">
        <v>22</v>
      </c>
      <c r="X306" s="1323" t="s">
        <v>22</v>
      </c>
      <c r="Y306" s="1323"/>
      <c r="Z306" s="229"/>
      <c r="AA306" s="230"/>
      <c r="AB306" s="230"/>
      <c r="AC306" s="231"/>
      <c r="AD306" s="231"/>
      <c r="AE306" s="244"/>
      <c r="AF306" s="1331"/>
      <c r="AG306" s="1332"/>
      <c r="AH306" s="1332"/>
      <c r="AI306" s="1331"/>
      <c r="AJ306" s="1332"/>
      <c r="AK306" s="1332"/>
      <c r="AL306" s="771"/>
    </row>
    <row r="307" spans="1:38" ht="11.25" customHeight="1">
      <c r="A307" s="1029" t="s">
        <v>1021</v>
      </c>
      <c r="E307" s="556"/>
      <c r="F307" s="1354"/>
      <c r="G307" s="1326"/>
      <c r="H307" s="1327" t="s">
        <v>164</v>
      </c>
      <c r="I307" s="1328"/>
      <c r="J307" s="1329"/>
      <c r="K307" s="1330"/>
      <c r="L307" s="1058"/>
      <c r="M307" s="1060"/>
      <c r="N307" s="1333"/>
      <c r="O307" s="1334"/>
      <c r="P307" s="1336"/>
      <c r="Q307" s="1323"/>
      <c r="R307" s="1323"/>
      <c r="S307" s="1338"/>
      <c r="T307" s="1323"/>
      <c r="U307" s="1323"/>
      <c r="V307" s="1323"/>
      <c r="W307" s="1323"/>
      <c r="X307" s="1323"/>
      <c r="Y307" s="1323"/>
      <c r="AA307" s="777">
        <v>1</v>
      </c>
      <c r="AB307" s="778" t="s">
        <v>1063</v>
      </c>
      <c r="AC307" s="236">
        <v>2312</v>
      </c>
      <c r="AD307" s="778" t="str">
        <f>AB307</f>
        <v xml:space="preserve">  Кредиты</v>
      </c>
      <c r="AE307" s="236">
        <f>AC307</f>
        <v>2312</v>
      </c>
      <c r="AF307" s="1331"/>
      <c r="AG307" s="1332"/>
      <c r="AH307" s="1332"/>
      <c r="AI307" s="1331"/>
      <c r="AJ307" s="1332"/>
      <c r="AK307" s="1332"/>
      <c r="AL307" s="771"/>
    </row>
    <row r="308" spans="1:38" ht="11.25" customHeight="1">
      <c r="A308" s="1029" t="s">
        <v>1021</v>
      </c>
      <c r="E308" s="556"/>
      <c r="F308" s="1354"/>
      <c r="G308" s="1326"/>
      <c r="H308" s="1327" t="s">
        <v>164</v>
      </c>
      <c r="I308" s="1328"/>
      <c r="J308" s="1329"/>
      <c r="K308" s="1330"/>
      <c r="L308" s="1058"/>
      <c r="M308" s="1060"/>
      <c r="N308" s="1333"/>
      <c r="O308" s="1334"/>
      <c r="P308" s="1337"/>
      <c r="Q308" s="1323"/>
      <c r="R308" s="1323"/>
      <c r="S308" s="1338"/>
      <c r="T308" s="1323"/>
      <c r="U308" s="1323"/>
      <c r="V308" s="1323"/>
      <c r="W308" s="1323"/>
      <c r="X308" s="1323"/>
      <c r="Y308" s="1323"/>
      <c r="Z308" s="229"/>
      <c r="AA308" s="230"/>
      <c r="AB308" s="44" t="s">
        <v>1064</v>
      </c>
      <c r="AC308" s="231"/>
      <c r="AD308" s="231"/>
      <c r="AE308" s="245"/>
      <c r="AF308" s="1331"/>
      <c r="AG308" s="1332"/>
      <c r="AH308" s="1332"/>
      <c r="AI308" s="1331"/>
      <c r="AJ308" s="1332"/>
      <c r="AK308" s="1332"/>
      <c r="AL308" s="771"/>
    </row>
    <row r="309" spans="1:38" ht="11.25" customHeight="1">
      <c r="A309" s="1029" t="s">
        <v>1021</v>
      </c>
      <c r="E309" s="556"/>
      <c r="F309" s="1354"/>
      <c r="G309" s="1326"/>
      <c r="H309" s="1327" t="s">
        <v>164</v>
      </c>
      <c r="I309" s="1328"/>
      <c r="J309" s="1329"/>
      <c r="K309" s="1330"/>
      <c r="L309" s="1058"/>
      <c r="M309" s="1060"/>
      <c r="N309" s="229"/>
      <c r="O309" s="230"/>
      <c r="P309" s="44" t="s">
        <v>1065</v>
      </c>
      <c r="Q309" s="230"/>
      <c r="R309" s="230"/>
      <c r="S309" s="230"/>
      <c r="T309" s="230"/>
      <c r="U309" s="230"/>
      <c r="V309" s="230"/>
      <c r="W309" s="230"/>
      <c r="X309" s="230"/>
      <c r="Y309" s="230"/>
      <c r="Z309" s="230"/>
      <c r="AA309" s="230"/>
      <c r="AB309" s="230"/>
      <c r="AC309" s="230"/>
      <c r="AD309" s="230"/>
      <c r="AE309" s="246"/>
      <c r="AF309" s="1331"/>
      <c r="AG309" s="1332"/>
      <c r="AH309" s="1332"/>
      <c r="AI309" s="1331"/>
      <c r="AJ309" s="1332"/>
      <c r="AK309" s="1332"/>
      <c r="AL309" s="771"/>
    </row>
    <row r="310" spans="1:38" ht="11.25" customHeight="1">
      <c r="A310" s="1029" t="s">
        <v>1021</v>
      </c>
      <c r="B310" s="1029" t="s">
        <v>22</v>
      </c>
      <c r="E310" s="556"/>
      <c r="F310" s="1354"/>
      <c r="G310" s="1304" t="s">
        <v>103</v>
      </c>
      <c r="H310" s="1327" t="s">
        <v>166</v>
      </c>
      <c r="I310" s="1328" t="s">
        <v>1053</v>
      </c>
      <c r="J310" s="1329" t="s">
        <v>22</v>
      </c>
      <c r="K310" s="1330" t="s">
        <v>1117</v>
      </c>
      <c r="L310" s="1058" t="s">
        <v>19</v>
      </c>
      <c r="M310" s="1060"/>
      <c r="N310" s="241"/>
      <c r="O310" s="242" t="s">
        <v>387</v>
      </c>
      <c r="P310" s="243"/>
      <c r="Q310" s="243"/>
      <c r="R310" s="243"/>
      <c r="S310" s="243"/>
      <c r="T310" s="243"/>
      <c r="U310" s="243"/>
      <c r="V310" s="243"/>
      <c r="W310" s="243"/>
      <c r="X310" s="243"/>
      <c r="Y310" s="243"/>
      <c r="Z310" s="243"/>
      <c r="AA310" s="243"/>
      <c r="AB310" s="243"/>
      <c r="AC310" s="243"/>
      <c r="AD310" s="243"/>
      <c r="AE310" s="243"/>
      <c r="AF310" s="1331">
        <v>4</v>
      </c>
      <c r="AG310" s="1332" t="s">
        <v>1055</v>
      </c>
      <c r="AH310" s="1332" t="s">
        <v>1093</v>
      </c>
      <c r="AI310" s="1331">
        <v>4</v>
      </c>
      <c r="AJ310" s="1332" t="s">
        <v>1055</v>
      </c>
      <c r="AK310" s="1332" t="s">
        <v>1093</v>
      </c>
      <c r="AL310" s="771"/>
    </row>
    <row r="311" spans="1:38" ht="11.25" customHeight="1">
      <c r="A311" s="1029" t="s">
        <v>1021</v>
      </c>
      <c r="E311" s="556"/>
      <c r="F311" s="1354"/>
      <c r="G311" s="1326"/>
      <c r="H311" s="1327" t="s">
        <v>165</v>
      </c>
      <c r="I311" s="1328"/>
      <c r="J311" s="1329"/>
      <c r="K311" s="1330"/>
      <c r="L311" s="1058"/>
      <c r="M311" s="1060"/>
      <c r="N311" s="1333"/>
      <c r="O311" s="1334">
        <v>1</v>
      </c>
      <c r="P311" s="1335" t="s">
        <v>61</v>
      </c>
      <c r="Q311" s="1339" t="s">
        <v>1057</v>
      </c>
      <c r="R311" s="1340" t="s">
        <v>1058</v>
      </c>
      <c r="S311" s="1340" t="s">
        <v>99</v>
      </c>
      <c r="T311" s="1340" t="s">
        <v>99</v>
      </c>
      <c r="U311" s="1340" t="s">
        <v>100</v>
      </c>
      <c r="V311" s="1340" t="s">
        <v>1059</v>
      </c>
      <c r="W311" s="1340" t="s">
        <v>1060</v>
      </c>
      <c r="X311" s="1340" t="s">
        <v>1061</v>
      </c>
      <c r="Y311" s="1340" t="s">
        <v>1062</v>
      </c>
      <c r="Z311" s="229"/>
      <c r="AA311" s="230"/>
      <c r="AB311" s="230"/>
      <c r="AC311" s="231"/>
      <c r="AD311" s="231"/>
      <c r="AE311" s="244"/>
      <c r="AF311" s="1331"/>
      <c r="AG311" s="1332"/>
      <c r="AH311" s="1332"/>
      <c r="AI311" s="1331"/>
      <c r="AJ311" s="1332"/>
      <c r="AK311" s="1332"/>
      <c r="AL311" s="771"/>
    </row>
    <row r="312" spans="1:38" ht="11.25" customHeight="1">
      <c r="A312" s="1029" t="s">
        <v>1021</v>
      </c>
      <c r="E312" s="556"/>
      <c r="F312" s="1354"/>
      <c r="G312" s="1326"/>
      <c r="H312" s="1327" t="s">
        <v>165</v>
      </c>
      <c r="I312" s="1328"/>
      <c r="J312" s="1329"/>
      <c r="K312" s="1330"/>
      <c r="L312" s="1058"/>
      <c r="M312" s="1060"/>
      <c r="N312" s="1333"/>
      <c r="O312" s="1334"/>
      <c r="P312" s="1336"/>
      <c r="Q312" s="1339"/>
      <c r="R312" s="1323"/>
      <c r="S312" s="1338"/>
      <c r="T312" s="1323"/>
      <c r="U312" s="1323"/>
      <c r="V312" s="1323"/>
      <c r="W312" s="1323"/>
      <c r="X312" s="1323"/>
      <c r="Y312" s="1323"/>
      <c r="AA312" s="777">
        <v>1</v>
      </c>
      <c r="AB312" s="778" t="s">
        <v>1063</v>
      </c>
      <c r="AC312" s="236">
        <v>1403</v>
      </c>
      <c r="AD312" s="778" t="str">
        <f>AB312</f>
        <v xml:space="preserve">  Кредиты</v>
      </c>
      <c r="AE312" s="236">
        <f>AC312</f>
        <v>1403</v>
      </c>
      <c r="AF312" s="1331"/>
      <c r="AG312" s="1332"/>
      <c r="AH312" s="1332"/>
      <c r="AI312" s="1331"/>
      <c r="AJ312" s="1332"/>
      <c r="AK312" s="1332"/>
      <c r="AL312" s="771"/>
    </row>
    <row r="313" spans="1:38" ht="11.25" customHeight="1">
      <c r="A313" s="1029" t="s">
        <v>1021</v>
      </c>
      <c r="E313" s="556"/>
      <c r="F313" s="1354"/>
      <c r="G313" s="1326"/>
      <c r="H313" s="1327" t="s">
        <v>165</v>
      </c>
      <c r="I313" s="1328"/>
      <c r="J313" s="1329"/>
      <c r="K313" s="1330"/>
      <c r="L313" s="1058"/>
      <c r="M313" s="1060"/>
      <c r="N313" s="1333"/>
      <c r="O313" s="1334"/>
      <c r="P313" s="1337"/>
      <c r="Q313" s="1339"/>
      <c r="R313" s="1323"/>
      <c r="S313" s="1338"/>
      <c r="T313" s="1323"/>
      <c r="U313" s="1323"/>
      <c r="V313" s="1323"/>
      <c r="W313" s="1323"/>
      <c r="X313" s="1323"/>
      <c r="Y313" s="1323"/>
      <c r="Z313" s="229"/>
      <c r="AA313" s="230"/>
      <c r="AB313" s="44" t="s">
        <v>1064</v>
      </c>
      <c r="AC313" s="231"/>
      <c r="AD313" s="231"/>
      <c r="AE313" s="245"/>
      <c r="AF313" s="1331"/>
      <c r="AG313" s="1332"/>
      <c r="AH313" s="1332"/>
      <c r="AI313" s="1331"/>
      <c r="AJ313" s="1332"/>
      <c r="AK313" s="1332"/>
      <c r="AL313" s="771"/>
    </row>
    <row r="314" spans="1:38" ht="11.25" customHeight="1">
      <c r="A314" s="1029" t="s">
        <v>1021</v>
      </c>
      <c r="E314" s="556"/>
      <c r="F314" s="1354"/>
      <c r="G314" s="1326"/>
      <c r="H314" s="1327" t="s">
        <v>165</v>
      </c>
      <c r="I314" s="1328"/>
      <c r="J314" s="1329"/>
      <c r="K314" s="1330"/>
      <c r="L314" s="1058"/>
      <c r="M314" s="1060"/>
      <c r="N314" s="229"/>
      <c r="O314" s="230"/>
      <c r="P314" s="44" t="s">
        <v>1065</v>
      </c>
      <c r="Q314" s="230"/>
      <c r="R314" s="230"/>
      <c r="S314" s="230"/>
      <c r="T314" s="230"/>
      <c r="U314" s="230"/>
      <c r="V314" s="230"/>
      <c r="W314" s="230"/>
      <c r="X314" s="230"/>
      <c r="Y314" s="230"/>
      <c r="Z314" s="230"/>
      <c r="AA314" s="230"/>
      <c r="AB314" s="230"/>
      <c r="AC314" s="230"/>
      <c r="AD314" s="230"/>
      <c r="AE314" s="246"/>
      <c r="AF314" s="1331"/>
      <c r="AG314" s="1332"/>
      <c r="AH314" s="1332"/>
      <c r="AI314" s="1331"/>
      <c r="AJ314" s="1332"/>
      <c r="AK314" s="1332"/>
      <c r="AL314" s="771"/>
    </row>
    <row r="315" spans="1:38" ht="11.25" customHeight="1">
      <c r="A315" s="1029" t="s">
        <v>1021</v>
      </c>
      <c r="B315" s="1029" t="s">
        <v>22</v>
      </c>
      <c r="E315" s="556"/>
      <c r="F315" s="1354"/>
      <c r="G315" s="1304" t="s">
        <v>103</v>
      </c>
      <c r="H315" s="1327" t="s">
        <v>1112</v>
      </c>
      <c r="I315" s="1328" t="s">
        <v>1053</v>
      </c>
      <c r="J315" s="1329" t="s">
        <v>22</v>
      </c>
      <c r="K315" s="1330" t="s">
        <v>1113</v>
      </c>
      <c r="L315" s="1058" t="s">
        <v>19</v>
      </c>
      <c r="M315" s="1060"/>
      <c r="N315" s="241"/>
      <c r="O315" s="242" t="s">
        <v>387</v>
      </c>
      <c r="P315" s="243"/>
      <c r="Q315" s="243"/>
      <c r="R315" s="243"/>
      <c r="S315" s="243"/>
      <c r="T315" s="243"/>
      <c r="U315" s="243"/>
      <c r="V315" s="243"/>
      <c r="W315" s="243"/>
      <c r="X315" s="243"/>
      <c r="Y315" s="243"/>
      <c r="Z315" s="243"/>
      <c r="AA315" s="243"/>
      <c r="AB315" s="243"/>
      <c r="AC315" s="243"/>
      <c r="AD315" s="243"/>
      <c r="AE315" s="243"/>
      <c r="AF315" s="1331">
        <v>2</v>
      </c>
      <c r="AG315" s="1332" t="s">
        <v>1055</v>
      </c>
      <c r="AH315" s="1332" t="s">
        <v>1095</v>
      </c>
      <c r="AI315" s="1331">
        <v>2</v>
      </c>
      <c r="AJ315" s="1332" t="s">
        <v>1055</v>
      </c>
      <c r="AK315" s="1332" t="s">
        <v>1095</v>
      </c>
      <c r="AL315" s="771"/>
    </row>
    <row r="316" spans="1:38" ht="11.25" customHeight="1">
      <c r="A316" s="1029" t="s">
        <v>1021</v>
      </c>
      <c r="E316" s="556"/>
      <c r="F316" s="1354"/>
      <c r="G316" s="1326"/>
      <c r="H316" s="1327" t="s">
        <v>166</v>
      </c>
      <c r="I316" s="1328"/>
      <c r="J316" s="1329"/>
      <c r="K316" s="1330"/>
      <c r="L316" s="1058"/>
      <c r="M316" s="1060"/>
      <c r="N316" s="1333"/>
      <c r="O316" s="1334">
        <v>1</v>
      </c>
      <c r="P316" s="1335" t="s">
        <v>61</v>
      </c>
      <c r="Q316" s="1339" t="s">
        <v>1069</v>
      </c>
      <c r="R316" s="1340" t="s">
        <v>1058</v>
      </c>
      <c r="S316" s="1340" t="s">
        <v>99</v>
      </c>
      <c r="T316" s="1340" t="s">
        <v>99</v>
      </c>
      <c r="U316" s="1340" t="s">
        <v>100</v>
      </c>
      <c r="V316" s="1340" t="s">
        <v>1059</v>
      </c>
      <c r="W316" s="1340" t="s">
        <v>1060</v>
      </c>
      <c r="X316" s="1340" t="s">
        <v>1070</v>
      </c>
      <c r="Y316" s="1340" t="s">
        <v>1071</v>
      </c>
      <c r="Z316" s="229"/>
      <c r="AA316" s="230"/>
      <c r="AB316" s="230"/>
      <c r="AC316" s="231"/>
      <c r="AD316" s="231"/>
      <c r="AE316" s="244"/>
      <c r="AF316" s="1331"/>
      <c r="AG316" s="1332"/>
      <c r="AH316" s="1332"/>
      <c r="AI316" s="1331"/>
      <c r="AJ316" s="1332"/>
      <c r="AK316" s="1332"/>
      <c r="AL316" s="771"/>
    </row>
    <row r="317" spans="1:38" ht="11.25" customHeight="1">
      <c r="A317" s="1029" t="s">
        <v>1021</v>
      </c>
      <c r="E317" s="556"/>
      <c r="F317" s="1354"/>
      <c r="G317" s="1326"/>
      <c r="H317" s="1327" t="s">
        <v>166</v>
      </c>
      <c r="I317" s="1328"/>
      <c r="J317" s="1329"/>
      <c r="K317" s="1330"/>
      <c r="L317" s="1058"/>
      <c r="M317" s="1060"/>
      <c r="N317" s="1333"/>
      <c r="O317" s="1334"/>
      <c r="P317" s="1336"/>
      <c r="Q317" s="1339"/>
      <c r="R317" s="1323"/>
      <c r="S317" s="1338"/>
      <c r="T317" s="1323"/>
      <c r="U317" s="1323"/>
      <c r="V317" s="1323"/>
      <c r="W317" s="1323"/>
      <c r="X317" s="1323"/>
      <c r="Y317" s="1323"/>
      <c r="AA317" s="777">
        <v>1</v>
      </c>
      <c r="AB317" s="778" t="s">
        <v>1063</v>
      </c>
      <c r="AC317" s="236">
        <v>11295</v>
      </c>
      <c r="AD317" s="778" t="str">
        <f>AB317</f>
        <v xml:space="preserve">  Кредиты</v>
      </c>
      <c r="AE317" s="236">
        <f>AC317</f>
        <v>11295</v>
      </c>
      <c r="AF317" s="1331"/>
      <c r="AG317" s="1332"/>
      <c r="AH317" s="1332"/>
      <c r="AI317" s="1331"/>
      <c r="AJ317" s="1332"/>
      <c r="AK317" s="1332"/>
      <c r="AL317" s="771"/>
    </row>
    <row r="318" spans="1:38" ht="11.25" customHeight="1">
      <c r="A318" s="1029" t="s">
        <v>1021</v>
      </c>
      <c r="E318" s="556"/>
      <c r="F318" s="1354"/>
      <c r="G318" s="1326"/>
      <c r="H318" s="1327" t="s">
        <v>166</v>
      </c>
      <c r="I318" s="1328"/>
      <c r="J318" s="1329"/>
      <c r="K318" s="1330"/>
      <c r="L318" s="1058"/>
      <c r="M318" s="1060"/>
      <c r="N318" s="1333"/>
      <c r="O318" s="1334"/>
      <c r="P318" s="1337"/>
      <c r="Q318" s="1339"/>
      <c r="R318" s="1323"/>
      <c r="S318" s="1338"/>
      <c r="T318" s="1323"/>
      <c r="U318" s="1323"/>
      <c r="V318" s="1323"/>
      <c r="W318" s="1323"/>
      <c r="X318" s="1323"/>
      <c r="Y318" s="1323"/>
      <c r="Z318" s="229"/>
      <c r="AA318" s="230"/>
      <c r="AB318" s="44" t="s">
        <v>1064</v>
      </c>
      <c r="AC318" s="231"/>
      <c r="AD318" s="231"/>
      <c r="AE318" s="245"/>
      <c r="AF318" s="1331"/>
      <c r="AG318" s="1332"/>
      <c r="AH318" s="1332"/>
      <c r="AI318" s="1331"/>
      <c r="AJ318" s="1332"/>
      <c r="AK318" s="1332"/>
      <c r="AL318" s="771"/>
    </row>
    <row r="319" spans="1:38" ht="11.25" customHeight="1">
      <c r="A319" s="1029" t="s">
        <v>1021</v>
      </c>
      <c r="E319" s="556"/>
      <c r="F319" s="1354"/>
      <c r="G319" s="1326"/>
      <c r="H319" s="1327" t="s">
        <v>166</v>
      </c>
      <c r="I319" s="1328"/>
      <c r="J319" s="1329"/>
      <c r="K319" s="1330"/>
      <c r="L319" s="1058"/>
      <c r="M319" s="1060"/>
      <c r="N319" s="229"/>
      <c r="O319" s="230"/>
      <c r="P319" s="44" t="s">
        <v>1065</v>
      </c>
      <c r="Q319" s="230"/>
      <c r="R319" s="230"/>
      <c r="S319" s="230"/>
      <c r="T319" s="230"/>
      <c r="U319" s="230"/>
      <c r="V319" s="230"/>
      <c r="W319" s="230"/>
      <c r="X319" s="230"/>
      <c r="Y319" s="230"/>
      <c r="Z319" s="230"/>
      <c r="AA319" s="230"/>
      <c r="AB319" s="230"/>
      <c r="AC319" s="230"/>
      <c r="AD319" s="230"/>
      <c r="AE319" s="246"/>
      <c r="AF319" s="1331"/>
      <c r="AG319" s="1332"/>
      <c r="AH319" s="1332"/>
      <c r="AI319" s="1331"/>
      <c r="AJ319" s="1332"/>
      <c r="AK319" s="1332"/>
      <c r="AL319" s="771"/>
    </row>
    <row r="320" spans="1:38" ht="11.25" customHeight="1">
      <c r="A320" s="1029" t="s">
        <v>1021</v>
      </c>
      <c r="B320" s="1029" t="s">
        <v>22</v>
      </c>
      <c r="E320" s="556"/>
      <c r="F320" s="1354"/>
      <c r="G320" s="1304" t="s">
        <v>103</v>
      </c>
      <c r="H320" s="1327" t="s">
        <v>1118</v>
      </c>
      <c r="I320" s="1328" t="s">
        <v>1053</v>
      </c>
      <c r="J320" s="1329" t="s">
        <v>22</v>
      </c>
      <c r="K320" s="1330" t="s">
        <v>1119</v>
      </c>
      <c r="L320" s="1058" t="s">
        <v>19</v>
      </c>
      <c r="M320" s="1060"/>
      <c r="N320" s="241"/>
      <c r="O320" s="242" t="s">
        <v>387</v>
      </c>
      <c r="P320" s="243"/>
      <c r="Q320" s="243"/>
      <c r="R320" s="243"/>
      <c r="S320" s="243"/>
      <c r="T320" s="243"/>
      <c r="U320" s="243"/>
      <c r="V320" s="243"/>
      <c r="W320" s="243"/>
      <c r="X320" s="243"/>
      <c r="Y320" s="243"/>
      <c r="Z320" s="243"/>
      <c r="AA320" s="243"/>
      <c r="AB320" s="243"/>
      <c r="AC320" s="243"/>
      <c r="AD320" s="243"/>
      <c r="AE320" s="243"/>
      <c r="AF320" s="1331">
        <v>2</v>
      </c>
      <c r="AG320" s="1332" t="s">
        <v>1055</v>
      </c>
      <c r="AH320" s="1332" t="s">
        <v>1095</v>
      </c>
      <c r="AI320" s="1331">
        <v>2</v>
      </c>
      <c r="AJ320" s="1332" t="s">
        <v>1055</v>
      </c>
      <c r="AK320" s="1332" t="s">
        <v>1095</v>
      </c>
      <c r="AL320" s="771"/>
    </row>
    <row r="321" spans="1:38" ht="11.25" customHeight="1">
      <c r="A321" s="1029" t="s">
        <v>1021</v>
      </c>
      <c r="E321" s="556"/>
      <c r="F321" s="1354"/>
      <c r="G321" s="1326"/>
      <c r="H321" s="1327" t="s">
        <v>1112</v>
      </c>
      <c r="I321" s="1328"/>
      <c r="J321" s="1329"/>
      <c r="K321" s="1330"/>
      <c r="L321" s="1058"/>
      <c r="M321" s="1060"/>
      <c r="N321" s="1333"/>
      <c r="O321" s="1334">
        <v>1</v>
      </c>
      <c r="P321" s="1335" t="s">
        <v>61</v>
      </c>
      <c r="Q321" s="1339" t="s">
        <v>1074</v>
      </c>
      <c r="R321" s="1340" t="s">
        <v>1058</v>
      </c>
      <c r="S321" s="1340" t="s">
        <v>99</v>
      </c>
      <c r="T321" s="1340" t="s">
        <v>99</v>
      </c>
      <c r="U321" s="1340" t="s">
        <v>100</v>
      </c>
      <c r="V321" s="1340" t="s">
        <v>1059</v>
      </c>
      <c r="W321" s="1340" t="s">
        <v>1060</v>
      </c>
      <c r="X321" s="1340" t="s">
        <v>1070</v>
      </c>
      <c r="Y321" s="1340" t="s">
        <v>1075</v>
      </c>
      <c r="Z321" s="229"/>
      <c r="AA321" s="230"/>
      <c r="AB321" s="230"/>
      <c r="AC321" s="231"/>
      <c r="AD321" s="231"/>
      <c r="AE321" s="244"/>
      <c r="AF321" s="1331"/>
      <c r="AG321" s="1332"/>
      <c r="AH321" s="1332"/>
      <c r="AI321" s="1331"/>
      <c r="AJ321" s="1332"/>
      <c r="AK321" s="1332"/>
      <c r="AL321" s="771"/>
    </row>
    <row r="322" spans="1:38" ht="11.25" customHeight="1">
      <c r="A322" s="1029" t="s">
        <v>1021</v>
      </c>
      <c r="E322" s="556"/>
      <c r="F322" s="1354"/>
      <c r="G322" s="1326"/>
      <c r="H322" s="1327" t="s">
        <v>1112</v>
      </c>
      <c r="I322" s="1328"/>
      <c r="J322" s="1329"/>
      <c r="K322" s="1330"/>
      <c r="L322" s="1058"/>
      <c r="M322" s="1060"/>
      <c r="N322" s="1333"/>
      <c r="O322" s="1334"/>
      <c r="P322" s="1336"/>
      <c r="Q322" s="1339"/>
      <c r="R322" s="1323"/>
      <c r="S322" s="1338"/>
      <c r="T322" s="1323"/>
      <c r="U322" s="1323"/>
      <c r="V322" s="1323"/>
      <c r="W322" s="1323"/>
      <c r="X322" s="1323"/>
      <c r="Y322" s="1323"/>
      <c r="AA322" s="777">
        <v>1</v>
      </c>
      <c r="AB322" s="778" t="s">
        <v>1063</v>
      </c>
      <c r="AC322" s="236">
        <v>12000</v>
      </c>
      <c r="AD322" s="778" t="str">
        <f>AB322</f>
        <v xml:space="preserve">  Кредиты</v>
      </c>
      <c r="AE322" s="236">
        <f>AC322</f>
        <v>12000</v>
      </c>
      <c r="AF322" s="1331"/>
      <c r="AG322" s="1332"/>
      <c r="AH322" s="1332"/>
      <c r="AI322" s="1331"/>
      <c r="AJ322" s="1332"/>
      <c r="AK322" s="1332"/>
      <c r="AL322" s="771"/>
    </row>
    <row r="323" spans="1:38" ht="11.25" customHeight="1">
      <c r="A323" s="1029" t="s">
        <v>1021</v>
      </c>
      <c r="E323" s="556"/>
      <c r="F323" s="1354"/>
      <c r="G323" s="1326"/>
      <c r="H323" s="1327" t="s">
        <v>1112</v>
      </c>
      <c r="I323" s="1328"/>
      <c r="J323" s="1329"/>
      <c r="K323" s="1330"/>
      <c r="L323" s="1058"/>
      <c r="M323" s="1060"/>
      <c r="N323" s="1333"/>
      <c r="O323" s="1334"/>
      <c r="P323" s="1337"/>
      <c r="Q323" s="1339"/>
      <c r="R323" s="1323"/>
      <c r="S323" s="1338"/>
      <c r="T323" s="1323"/>
      <c r="U323" s="1323"/>
      <c r="V323" s="1323"/>
      <c r="W323" s="1323"/>
      <c r="X323" s="1323"/>
      <c r="Y323" s="1323"/>
      <c r="Z323" s="229"/>
      <c r="AA323" s="230"/>
      <c r="AB323" s="44" t="s">
        <v>1064</v>
      </c>
      <c r="AC323" s="231"/>
      <c r="AD323" s="231"/>
      <c r="AE323" s="245"/>
      <c r="AF323" s="1331"/>
      <c r="AG323" s="1332"/>
      <c r="AH323" s="1332"/>
      <c r="AI323" s="1331"/>
      <c r="AJ323" s="1332"/>
      <c r="AK323" s="1332"/>
      <c r="AL323" s="771"/>
    </row>
    <row r="324" spans="1:38" ht="11.25" customHeight="1">
      <c r="A324" s="1029" t="s">
        <v>1021</v>
      </c>
      <c r="E324" s="556"/>
      <c r="F324" s="1354"/>
      <c r="G324" s="1326"/>
      <c r="H324" s="1327" t="s">
        <v>1112</v>
      </c>
      <c r="I324" s="1328"/>
      <c r="J324" s="1329"/>
      <c r="K324" s="1330"/>
      <c r="L324" s="1058"/>
      <c r="M324" s="1060"/>
      <c r="N324" s="229"/>
      <c r="O324" s="230"/>
      <c r="P324" s="44" t="s">
        <v>1065</v>
      </c>
      <c r="Q324" s="230"/>
      <c r="R324" s="230"/>
      <c r="S324" s="230"/>
      <c r="T324" s="230"/>
      <c r="U324" s="230"/>
      <c r="V324" s="230"/>
      <c r="W324" s="230"/>
      <c r="X324" s="230"/>
      <c r="Y324" s="230"/>
      <c r="Z324" s="230"/>
      <c r="AA324" s="230"/>
      <c r="AB324" s="230"/>
      <c r="AC324" s="230"/>
      <c r="AD324" s="230"/>
      <c r="AE324" s="246"/>
      <c r="AF324" s="1331"/>
      <c r="AG324" s="1332"/>
      <c r="AH324" s="1332"/>
      <c r="AI324" s="1331"/>
      <c r="AJ324" s="1332"/>
      <c r="AK324" s="1332"/>
      <c r="AL324" s="771"/>
    </row>
    <row r="325" spans="1:38" ht="11.25" customHeight="1">
      <c r="A325" s="1029" t="s">
        <v>1021</v>
      </c>
      <c r="B325" s="1029" t="s">
        <v>22</v>
      </c>
      <c r="E325" s="556"/>
      <c r="F325" s="1354"/>
      <c r="G325" s="1304" t="s">
        <v>103</v>
      </c>
      <c r="H325" s="1327" t="s">
        <v>1120</v>
      </c>
      <c r="I325" s="1328" t="s">
        <v>1053</v>
      </c>
      <c r="J325" s="1329" t="s">
        <v>22</v>
      </c>
      <c r="K325" s="1330" t="s">
        <v>1121</v>
      </c>
      <c r="L325" s="1058" t="s">
        <v>19</v>
      </c>
      <c r="M325" s="1060"/>
      <c r="N325" s="241"/>
      <c r="O325" s="242" t="s">
        <v>387</v>
      </c>
      <c r="P325" s="243"/>
      <c r="Q325" s="243"/>
      <c r="R325" s="243"/>
      <c r="S325" s="243"/>
      <c r="T325" s="243"/>
      <c r="U325" s="243"/>
      <c r="V325" s="243"/>
      <c r="W325" s="243"/>
      <c r="X325" s="243"/>
      <c r="Y325" s="243"/>
      <c r="Z325" s="243"/>
      <c r="AA325" s="243"/>
      <c r="AB325" s="243"/>
      <c r="AC325" s="243"/>
      <c r="AD325" s="243"/>
      <c r="AE325" s="243"/>
      <c r="AF325" s="1331">
        <v>1</v>
      </c>
      <c r="AG325" s="1332" t="s">
        <v>1055</v>
      </c>
      <c r="AH325" s="1332" t="s">
        <v>1056</v>
      </c>
      <c r="AI325" s="1331">
        <v>1</v>
      </c>
      <c r="AJ325" s="1332" t="s">
        <v>1055</v>
      </c>
      <c r="AK325" s="1332" t="s">
        <v>1056</v>
      </c>
      <c r="AL325" s="771"/>
    </row>
    <row r="326" spans="1:38" ht="11.25" customHeight="1">
      <c r="A326" s="1029" t="s">
        <v>1021</v>
      </c>
      <c r="E326" s="556"/>
      <c r="F326" s="1354"/>
      <c r="G326" s="1326"/>
      <c r="H326" s="1327" t="s">
        <v>1118</v>
      </c>
      <c r="I326" s="1328"/>
      <c r="J326" s="1329"/>
      <c r="K326" s="1330"/>
      <c r="L326" s="1058"/>
      <c r="M326" s="1060"/>
      <c r="N326" s="1333"/>
      <c r="O326" s="1334">
        <v>1</v>
      </c>
      <c r="P326" s="1335" t="s">
        <v>61</v>
      </c>
      <c r="Q326" s="1339" t="s">
        <v>1057</v>
      </c>
      <c r="R326" s="1340" t="s">
        <v>1058</v>
      </c>
      <c r="S326" s="1340" t="s">
        <v>99</v>
      </c>
      <c r="T326" s="1340" t="s">
        <v>99</v>
      </c>
      <c r="U326" s="1340" t="s">
        <v>100</v>
      </c>
      <c r="V326" s="1340" t="s">
        <v>1059</v>
      </c>
      <c r="W326" s="1340" t="s">
        <v>1060</v>
      </c>
      <c r="X326" s="1340" t="s">
        <v>1061</v>
      </c>
      <c r="Y326" s="1340" t="s">
        <v>1062</v>
      </c>
      <c r="Z326" s="229"/>
      <c r="AA326" s="230"/>
      <c r="AB326" s="230"/>
      <c r="AC326" s="231"/>
      <c r="AD326" s="231"/>
      <c r="AE326" s="244"/>
      <c r="AF326" s="1331"/>
      <c r="AG326" s="1332"/>
      <c r="AH326" s="1332"/>
      <c r="AI326" s="1331"/>
      <c r="AJ326" s="1332"/>
      <c r="AK326" s="1332"/>
      <c r="AL326" s="771"/>
    </row>
    <row r="327" spans="1:38" ht="11.25" customHeight="1">
      <c r="A327" s="1029" t="s">
        <v>1021</v>
      </c>
      <c r="E327" s="556"/>
      <c r="F327" s="1354"/>
      <c r="G327" s="1326"/>
      <c r="H327" s="1327" t="s">
        <v>1118</v>
      </c>
      <c r="I327" s="1328"/>
      <c r="J327" s="1329"/>
      <c r="K327" s="1330"/>
      <c r="L327" s="1058"/>
      <c r="M327" s="1060"/>
      <c r="N327" s="1333"/>
      <c r="O327" s="1334"/>
      <c r="P327" s="1336"/>
      <c r="Q327" s="1339"/>
      <c r="R327" s="1323"/>
      <c r="S327" s="1338"/>
      <c r="T327" s="1323"/>
      <c r="U327" s="1323"/>
      <c r="V327" s="1323"/>
      <c r="W327" s="1323"/>
      <c r="X327" s="1323"/>
      <c r="Y327" s="1323"/>
      <c r="AA327" s="777">
        <v>1</v>
      </c>
      <c r="AB327" s="778" t="s">
        <v>1063</v>
      </c>
      <c r="AC327" s="236">
        <v>26000</v>
      </c>
      <c r="AD327" s="778" t="str">
        <f>AB327</f>
        <v xml:space="preserve">  Кредиты</v>
      </c>
      <c r="AE327" s="236">
        <f>AC327</f>
        <v>26000</v>
      </c>
      <c r="AF327" s="1331"/>
      <c r="AG327" s="1332"/>
      <c r="AH327" s="1332"/>
      <c r="AI327" s="1331"/>
      <c r="AJ327" s="1332"/>
      <c r="AK327" s="1332"/>
      <c r="AL327" s="771"/>
    </row>
    <row r="328" spans="1:38" ht="11.25" customHeight="1">
      <c r="A328" s="1029" t="s">
        <v>1021</v>
      </c>
      <c r="E328" s="556"/>
      <c r="F328" s="1354"/>
      <c r="G328" s="1326"/>
      <c r="H328" s="1327" t="s">
        <v>1118</v>
      </c>
      <c r="I328" s="1328"/>
      <c r="J328" s="1329"/>
      <c r="K328" s="1330"/>
      <c r="L328" s="1058"/>
      <c r="M328" s="1060"/>
      <c r="N328" s="1333"/>
      <c r="O328" s="1334"/>
      <c r="P328" s="1337"/>
      <c r="Q328" s="1339"/>
      <c r="R328" s="1323"/>
      <c r="S328" s="1338"/>
      <c r="T328" s="1323"/>
      <c r="U328" s="1323"/>
      <c r="V328" s="1323"/>
      <c r="W328" s="1323"/>
      <c r="X328" s="1323"/>
      <c r="Y328" s="1323"/>
      <c r="Z328" s="229"/>
      <c r="AA328" s="230"/>
      <c r="AB328" s="44" t="s">
        <v>1064</v>
      </c>
      <c r="AC328" s="231"/>
      <c r="AD328" s="231"/>
      <c r="AE328" s="245"/>
      <c r="AF328" s="1331"/>
      <c r="AG328" s="1332"/>
      <c r="AH328" s="1332"/>
      <c r="AI328" s="1331"/>
      <c r="AJ328" s="1332"/>
      <c r="AK328" s="1332"/>
      <c r="AL328" s="771"/>
    </row>
    <row r="329" spans="1:38" ht="11.25" customHeight="1">
      <c r="A329" s="1029" t="s">
        <v>1021</v>
      </c>
      <c r="E329" s="556"/>
      <c r="F329" s="1354"/>
      <c r="G329" s="1326"/>
      <c r="H329" s="1327" t="s">
        <v>1118</v>
      </c>
      <c r="I329" s="1328"/>
      <c r="J329" s="1329"/>
      <c r="K329" s="1330"/>
      <c r="L329" s="1058"/>
      <c r="M329" s="1060"/>
      <c r="N329" s="229"/>
      <c r="O329" s="230"/>
      <c r="P329" s="44" t="s">
        <v>1065</v>
      </c>
      <c r="Q329" s="230"/>
      <c r="R329" s="230"/>
      <c r="S329" s="230"/>
      <c r="T329" s="230"/>
      <c r="U329" s="230"/>
      <c r="V329" s="230"/>
      <c r="W329" s="230"/>
      <c r="X329" s="230"/>
      <c r="Y329" s="230"/>
      <c r="Z329" s="230"/>
      <c r="AA329" s="230"/>
      <c r="AB329" s="230"/>
      <c r="AC329" s="230"/>
      <c r="AD329" s="230"/>
      <c r="AE329" s="246"/>
      <c r="AF329" s="1331"/>
      <c r="AG329" s="1332"/>
      <c r="AH329" s="1332"/>
      <c r="AI329" s="1331"/>
      <c r="AJ329" s="1332"/>
      <c r="AK329" s="1332"/>
      <c r="AL329" s="771"/>
    </row>
    <row r="330" spans="1:38" ht="12" customHeight="1">
      <c r="A330" t="s">
        <v>1021</v>
      </c>
      <c r="E330" s="556"/>
      <c r="F330" s="1355"/>
      <c r="G330" s="774"/>
      <c r="H330" s="774"/>
      <c r="I330" s="1352" t="s">
        <v>1083</v>
      </c>
      <c r="J330" s="1352"/>
      <c r="K330" s="1352"/>
      <c r="L330" s="775"/>
      <c r="M330" s="775"/>
      <c r="N330" s="776"/>
      <c r="O330" s="776"/>
      <c r="P330" s="776"/>
      <c r="Q330" s="776"/>
      <c r="R330" s="776"/>
      <c r="S330" s="776"/>
      <c r="T330" s="776"/>
      <c r="U330" s="776"/>
      <c r="V330" s="776"/>
      <c r="W330" s="776"/>
      <c r="X330" s="776"/>
      <c r="Y330" s="776"/>
      <c r="Z330" s="776"/>
      <c r="AA330" s="776"/>
      <c r="AB330" s="776"/>
      <c r="AC330" s="776"/>
      <c r="AD330" s="776"/>
      <c r="AE330" s="776"/>
      <c r="AF330" s="776"/>
      <c r="AG330" s="775"/>
      <c r="AH330" s="775"/>
      <c r="AI330" s="776"/>
      <c r="AJ330" s="775"/>
      <c r="AK330" s="776"/>
      <c r="AL330" s="771"/>
    </row>
    <row r="331" spans="1:38" ht="0.75" customHeight="1">
      <c r="A331" t="s">
        <v>1021</v>
      </c>
      <c r="E331" s="556"/>
      <c r="F331" s="1353">
        <v>2020</v>
      </c>
      <c r="G331" s="1327"/>
      <c r="H331" s="1357" t="s">
        <v>387</v>
      </c>
      <c r="I331" s="1358"/>
      <c r="J331" s="1350"/>
      <c r="K331" s="1350"/>
      <c r="L331" s="1351"/>
      <c r="M331" s="1200"/>
      <c r="N331" s="214"/>
      <c r="O331" s="215"/>
      <c r="P331" s="214"/>
      <c r="Q331" s="214"/>
      <c r="R331" s="214"/>
      <c r="S331" s="214"/>
      <c r="T331" s="214"/>
      <c r="U331" s="214"/>
      <c r="V331" s="214"/>
      <c r="W331" s="214"/>
      <c r="X331" s="214"/>
      <c r="Y331" s="214"/>
      <c r="Z331" s="214"/>
      <c r="AA331" s="214"/>
      <c r="AB331" s="214"/>
      <c r="AC331" s="214"/>
      <c r="AD331" s="214"/>
      <c r="AE331" s="214"/>
      <c r="AF331" s="1356"/>
      <c r="AG331" s="1351"/>
      <c r="AH331" s="1351"/>
      <c r="AI331" s="1356"/>
      <c r="AJ331" s="1351"/>
      <c r="AK331" s="1351"/>
      <c r="AL331" s="771"/>
    </row>
    <row r="332" spans="1:38" ht="0.75" customHeight="1">
      <c r="A332" t="s">
        <v>1021</v>
      </c>
      <c r="E332" s="556"/>
      <c r="F332" s="1353"/>
      <c r="G332" s="1327"/>
      <c r="H332" s="1357"/>
      <c r="I332" s="1358"/>
      <c r="J332" s="1350"/>
      <c r="K332" s="1350"/>
      <c r="L332" s="1351"/>
      <c r="M332" s="1200"/>
      <c r="N332" s="1359"/>
      <c r="O332" s="1360"/>
      <c r="P332" s="1347"/>
      <c r="Q332" s="1350"/>
      <c r="R332" s="1350"/>
      <c r="S332" s="1350"/>
      <c r="T332" s="1350"/>
      <c r="U332" s="1350"/>
      <c r="V332" s="1350"/>
      <c r="W332" s="1350"/>
      <c r="X332" s="1350"/>
      <c r="Y332" s="1350"/>
      <c r="Z332" s="216"/>
      <c r="AA332" s="217"/>
      <c r="AB332" s="217"/>
      <c r="AC332" s="218"/>
      <c r="AD332" s="218"/>
      <c r="AE332" s="219"/>
      <c r="AF332" s="1356"/>
      <c r="AG332" s="1351"/>
      <c r="AH332" s="1351"/>
      <c r="AI332" s="1356"/>
      <c r="AJ332" s="1351"/>
      <c r="AK332" s="1351"/>
      <c r="AL332" s="771"/>
    </row>
    <row r="333" spans="1:38" ht="0.75" customHeight="1">
      <c r="A333" t="s">
        <v>1021</v>
      </c>
      <c r="E333" s="556"/>
      <c r="F333" s="1353"/>
      <c r="G333" s="1327"/>
      <c r="H333" s="1357"/>
      <c r="I333" s="1358"/>
      <c r="J333" s="1350"/>
      <c r="K333" s="1350"/>
      <c r="L333" s="1351"/>
      <c r="M333" s="1200"/>
      <c r="N333" s="1359"/>
      <c r="O333" s="1360"/>
      <c r="P333" s="1348"/>
      <c r="Q333" s="1350"/>
      <c r="R333" s="1350"/>
      <c r="S333" s="1350"/>
      <c r="T333" s="1350"/>
      <c r="U333" s="1350"/>
      <c r="V333" s="1350"/>
      <c r="W333" s="1350"/>
      <c r="X333" s="1350"/>
      <c r="Y333" s="1350"/>
      <c r="AA333" s="772"/>
      <c r="AB333" s="773"/>
      <c r="AC333" s="220"/>
      <c r="AD333" s="773"/>
      <c r="AE333" s="220"/>
      <c r="AF333" s="1356"/>
      <c r="AG333" s="1351"/>
      <c r="AH333" s="1351"/>
      <c r="AI333" s="1356"/>
      <c r="AJ333" s="1351"/>
      <c r="AK333" s="1351"/>
      <c r="AL333" s="771"/>
    </row>
    <row r="334" spans="1:38" ht="0.75" customHeight="1">
      <c r="A334" t="s">
        <v>1021</v>
      </c>
      <c r="E334" s="556"/>
      <c r="F334" s="1353"/>
      <c r="G334" s="1327"/>
      <c r="H334" s="1357"/>
      <c r="I334" s="1358"/>
      <c r="J334" s="1350"/>
      <c r="K334" s="1350"/>
      <c r="L334" s="1351"/>
      <c r="M334" s="1200"/>
      <c r="N334" s="1359"/>
      <c r="O334" s="1360"/>
      <c r="P334" s="1349"/>
      <c r="Q334" s="1350"/>
      <c r="R334" s="1350"/>
      <c r="S334" s="1350"/>
      <c r="T334" s="1350"/>
      <c r="U334" s="1350"/>
      <c r="V334" s="1350"/>
      <c r="W334" s="1350"/>
      <c r="X334" s="1350"/>
      <c r="Y334" s="1350"/>
      <c r="Z334" s="216"/>
      <c r="AA334" s="217"/>
      <c r="AB334" s="221"/>
      <c r="AC334" s="218"/>
      <c r="AD334" s="218"/>
      <c r="AE334" s="222"/>
      <c r="AF334" s="1356"/>
      <c r="AG334" s="1351"/>
      <c r="AH334" s="1351"/>
      <c r="AI334" s="1356"/>
      <c r="AJ334" s="1351"/>
      <c r="AK334" s="1351"/>
      <c r="AL334" s="771"/>
    </row>
    <row r="335" spans="1:38" ht="0.75" customHeight="1">
      <c r="A335" t="s">
        <v>1021</v>
      </c>
      <c r="E335" s="556"/>
      <c r="F335" s="1353"/>
      <c r="G335" s="1327"/>
      <c r="H335" s="1357"/>
      <c r="I335" s="1358"/>
      <c r="J335" s="1350"/>
      <c r="K335" s="1350"/>
      <c r="L335" s="1351"/>
      <c r="M335" s="1200"/>
      <c r="N335" s="217"/>
      <c r="O335" s="217"/>
      <c r="P335" s="221"/>
      <c r="Q335" s="217"/>
      <c r="R335" s="217"/>
      <c r="S335" s="217"/>
      <c r="T335" s="217"/>
      <c r="U335" s="217"/>
      <c r="V335" s="217"/>
      <c r="W335" s="217"/>
      <c r="X335" s="217"/>
      <c r="Y335" s="217"/>
      <c r="Z335" s="217"/>
      <c r="AA335" s="217"/>
      <c r="AB335" s="217"/>
      <c r="AC335" s="217"/>
      <c r="AD335" s="217"/>
      <c r="AE335" s="223"/>
      <c r="AF335" s="1356"/>
      <c r="AG335" s="1351"/>
      <c r="AH335" s="1351"/>
      <c r="AI335" s="1356"/>
      <c r="AJ335" s="1351"/>
      <c r="AK335" s="1351"/>
      <c r="AL335" s="771"/>
    </row>
    <row r="336" spans="1:38" ht="11.25" customHeight="1">
      <c r="A336" t="s">
        <v>1021</v>
      </c>
      <c r="B336" t="s">
        <v>22</v>
      </c>
      <c r="E336" s="556"/>
      <c r="F336" s="1354"/>
      <c r="G336" s="1304" t="s">
        <v>103</v>
      </c>
      <c r="H336" s="1327" t="s">
        <v>114</v>
      </c>
      <c r="I336" s="1328" t="s">
        <v>1053</v>
      </c>
      <c r="J336" s="1329" t="s">
        <v>22</v>
      </c>
      <c r="K336" s="1330" t="s">
        <v>1092</v>
      </c>
      <c r="L336" s="1058" t="s">
        <v>19</v>
      </c>
      <c r="M336" s="1060"/>
      <c r="N336" s="241"/>
      <c r="O336" s="242" t="s">
        <v>387</v>
      </c>
      <c r="P336" s="243"/>
      <c r="Q336" s="243"/>
      <c r="R336" s="243"/>
      <c r="S336" s="243"/>
      <c r="T336" s="243"/>
      <c r="U336" s="243"/>
      <c r="V336" s="243"/>
      <c r="W336" s="243"/>
      <c r="X336" s="243"/>
      <c r="Y336" s="243"/>
      <c r="Z336" s="243"/>
      <c r="AA336" s="243"/>
      <c r="AB336" s="243"/>
      <c r="AC336" s="243"/>
      <c r="AD336" s="243"/>
      <c r="AE336" s="243"/>
      <c r="AF336" s="1331">
        <v>3</v>
      </c>
      <c r="AG336" s="1332" t="s">
        <v>1055</v>
      </c>
      <c r="AH336" s="1332" t="s">
        <v>1093</v>
      </c>
      <c r="AI336" s="1331">
        <v>3</v>
      </c>
      <c r="AJ336" s="1332" t="s">
        <v>1055</v>
      </c>
      <c r="AK336" s="1332" t="s">
        <v>1093</v>
      </c>
      <c r="AL336" s="771"/>
    </row>
    <row r="337" spans="1:38" ht="11.25" customHeight="1">
      <c r="A337" t="s">
        <v>1021</v>
      </c>
      <c r="E337" s="556"/>
      <c r="F337" s="1354"/>
      <c r="G337" s="1326"/>
      <c r="H337" s="1327" t="s">
        <v>387</v>
      </c>
      <c r="I337" s="1328"/>
      <c r="J337" s="1329"/>
      <c r="K337" s="1330"/>
      <c r="L337" s="1058"/>
      <c r="M337" s="1060"/>
      <c r="N337" s="1333"/>
      <c r="O337" s="1334">
        <v>1</v>
      </c>
      <c r="P337" s="1335" t="s">
        <v>61</v>
      </c>
      <c r="Q337" s="1339" t="s">
        <v>1057</v>
      </c>
      <c r="R337" s="1340" t="s">
        <v>1058</v>
      </c>
      <c r="S337" s="1340" t="s">
        <v>99</v>
      </c>
      <c r="T337" s="1340" t="s">
        <v>99</v>
      </c>
      <c r="U337" s="1340" t="s">
        <v>100</v>
      </c>
      <c r="V337" s="1340" t="s">
        <v>1059</v>
      </c>
      <c r="W337" s="1340" t="s">
        <v>1060</v>
      </c>
      <c r="X337" s="1340" t="s">
        <v>1061</v>
      </c>
      <c r="Y337" s="1340" t="s">
        <v>1062</v>
      </c>
      <c r="Z337" s="229"/>
      <c r="AA337" s="230"/>
      <c r="AB337" s="230"/>
      <c r="AC337" s="231"/>
      <c r="AD337" s="231"/>
      <c r="AE337" s="244"/>
      <c r="AF337" s="1331"/>
      <c r="AG337" s="1332"/>
      <c r="AH337" s="1332"/>
      <c r="AI337" s="1331"/>
      <c r="AJ337" s="1332"/>
      <c r="AK337" s="1332"/>
      <c r="AL337" s="771"/>
    </row>
    <row r="338" spans="1:38" ht="11.25" customHeight="1">
      <c r="A338" t="s">
        <v>1021</v>
      </c>
      <c r="E338" s="556"/>
      <c r="F338" s="1354"/>
      <c r="G338" s="1326"/>
      <c r="H338" s="1327" t="s">
        <v>387</v>
      </c>
      <c r="I338" s="1328"/>
      <c r="J338" s="1329"/>
      <c r="K338" s="1330"/>
      <c r="L338" s="1058"/>
      <c r="M338" s="1060"/>
      <c r="N338" s="1333"/>
      <c r="O338" s="1334"/>
      <c r="P338" s="1336"/>
      <c r="Q338" s="1339"/>
      <c r="R338" s="1323"/>
      <c r="S338" s="1338"/>
      <c r="T338" s="1323"/>
      <c r="U338" s="1323"/>
      <c r="V338" s="1323"/>
      <c r="W338" s="1323"/>
      <c r="X338" s="1323"/>
      <c r="Y338" s="1323"/>
      <c r="AA338" s="777">
        <v>1</v>
      </c>
      <c r="AB338" s="778" t="s">
        <v>1063</v>
      </c>
      <c r="AC338" s="236">
        <v>36744</v>
      </c>
      <c r="AD338" s="778" t="str">
        <f>AB338</f>
        <v xml:space="preserve">  Кредиты</v>
      </c>
      <c r="AE338" s="236">
        <f>AC338</f>
        <v>36744</v>
      </c>
      <c r="AF338" s="1331"/>
      <c r="AG338" s="1332"/>
      <c r="AH338" s="1332"/>
      <c r="AI338" s="1331"/>
      <c r="AJ338" s="1332"/>
      <c r="AK338" s="1332"/>
      <c r="AL338" s="771"/>
    </row>
    <row r="339" spans="1:38" ht="11.25" customHeight="1">
      <c r="A339" t="s">
        <v>1021</v>
      </c>
      <c r="E339" s="556"/>
      <c r="F339" s="1354"/>
      <c r="G339" s="1326"/>
      <c r="H339" s="1327" t="s">
        <v>387</v>
      </c>
      <c r="I339" s="1328"/>
      <c r="J339" s="1329"/>
      <c r="K339" s="1330"/>
      <c r="L339" s="1058"/>
      <c r="M339" s="1060"/>
      <c r="N339" s="1333"/>
      <c r="O339" s="1334"/>
      <c r="P339" s="1337"/>
      <c r="Q339" s="1339"/>
      <c r="R339" s="1323"/>
      <c r="S339" s="1338"/>
      <c r="T339" s="1323"/>
      <c r="U339" s="1323"/>
      <c r="V339" s="1323"/>
      <c r="W339" s="1323"/>
      <c r="X339" s="1323"/>
      <c r="Y339" s="1323"/>
      <c r="Z339" s="229"/>
      <c r="AA339" s="230"/>
      <c r="AB339" s="44" t="s">
        <v>1064</v>
      </c>
      <c r="AC339" s="231"/>
      <c r="AD339" s="231"/>
      <c r="AE339" s="245"/>
      <c r="AF339" s="1331"/>
      <c r="AG339" s="1332"/>
      <c r="AH339" s="1332"/>
      <c r="AI339" s="1331"/>
      <c r="AJ339" s="1332"/>
      <c r="AK339" s="1332"/>
      <c r="AL339" s="771"/>
    </row>
    <row r="340" spans="1:38" ht="11.25" customHeight="1">
      <c r="A340" t="s">
        <v>1021</v>
      </c>
      <c r="E340" s="556"/>
      <c r="F340" s="1354"/>
      <c r="G340" s="1326"/>
      <c r="H340" s="1327" t="s">
        <v>387</v>
      </c>
      <c r="I340" s="1328"/>
      <c r="J340" s="1329"/>
      <c r="K340" s="1330"/>
      <c r="L340" s="1058"/>
      <c r="M340" s="1060"/>
      <c r="N340" s="229"/>
      <c r="O340" s="230"/>
      <c r="P340" s="44" t="s">
        <v>1065</v>
      </c>
      <c r="Q340" s="230"/>
      <c r="R340" s="230"/>
      <c r="S340" s="230"/>
      <c r="T340" s="230"/>
      <c r="U340" s="230"/>
      <c r="V340" s="230"/>
      <c r="W340" s="230"/>
      <c r="X340" s="230"/>
      <c r="Y340" s="230"/>
      <c r="Z340" s="230"/>
      <c r="AA340" s="230"/>
      <c r="AB340" s="230"/>
      <c r="AC340" s="230"/>
      <c r="AD340" s="230"/>
      <c r="AE340" s="246"/>
      <c r="AF340" s="1331"/>
      <c r="AG340" s="1332"/>
      <c r="AH340" s="1332"/>
      <c r="AI340" s="1331"/>
      <c r="AJ340" s="1332"/>
      <c r="AK340" s="1332"/>
      <c r="AL340" s="771"/>
    </row>
    <row r="341" spans="1:38" ht="11.25" customHeight="1">
      <c r="A341" t="s">
        <v>1021</v>
      </c>
      <c r="B341" t="s">
        <v>22</v>
      </c>
      <c r="E341" s="556"/>
      <c r="F341" s="1354"/>
      <c r="G341" s="1304" t="s">
        <v>103</v>
      </c>
      <c r="H341" s="1327" t="s">
        <v>102</v>
      </c>
      <c r="I341" s="1328" t="s">
        <v>1053</v>
      </c>
      <c r="J341" s="1329" t="s">
        <v>22</v>
      </c>
      <c r="K341" s="1330" t="s">
        <v>1107</v>
      </c>
      <c r="L341" s="1058" t="s">
        <v>19</v>
      </c>
      <c r="M341" s="1060"/>
      <c r="N341" s="241"/>
      <c r="O341" s="242" t="s">
        <v>387</v>
      </c>
      <c r="P341" s="243"/>
      <c r="Q341" s="243"/>
      <c r="R341" s="243"/>
      <c r="S341" s="243"/>
      <c r="T341" s="243"/>
      <c r="U341" s="243"/>
      <c r="V341" s="243"/>
      <c r="W341" s="243"/>
      <c r="X341" s="243"/>
      <c r="Y341" s="243"/>
      <c r="Z341" s="243"/>
      <c r="AA341" s="243"/>
      <c r="AB341" s="243"/>
      <c r="AC341" s="243"/>
      <c r="AD341" s="243"/>
      <c r="AE341" s="243"/>
      <c r="AF341" s="1331">
        <v>2</v>
      </c>
      <c r="AG341" s="1332" t="s">
        <v>1055</v>
      </c>
      <c r="AH341" s="1332" t="s">
        <v>1082</v>
      </c>
      <c r="AI341" s="1331">
        <v>2</v>
      </c>
      <c r="AJ341" s="1332" t="s">
        <v>1055</v>
      </c>
      <c r="AK341" s="1332" t="s">
        <v>1082</v>
      </c>
      <c r="AL341" s="771"/>
    </row>
    <row r="342" spans="1:38" ht="11.25" customHeight="1">
      <c r="A342" t="s">
        <v>1021</v>
      </c>
      <c r="E342" s="556"/>
      <c r="F342" s="1354"/>
      <c r="G342" s="1326"/>
      <c r="H342" s="1327" t="s">
        <v>114</v>
      </c>
      <c r="I342" s="1328"/>
      <c r="J342" s="1329"/>
      <c r="K342" s="1330"/>
      <c r="L342" s="1058"/>
      <c r="M342" s="1060"/>
      <c r="N342" s="1333"/>
      <c r="O342" s="1334">
        <v>1</v>
      </c>
      <c r="P342" s="1335" t="s">
        <v>61</v>
      </c>
      <c r="Q342" s="1339" t="s">
        <v>1069</v>
      </c>
      <c r="R342" s="1340" t="s">
        <v>1058</v>
      </c>
      <c r="S342" s="1340" t="s">
        <v>99</v>
      </c>
      <c r="T342" s="1340" t="s">
        <v>99</v>
      </c>
      <c r="U342" s="1340" t="s">
        <v>100</v>
      </c>
      <c r="V342" s="1340" t="s">
        <v>1059</v>
      </c>
      <c r="W342" s="1340" t="s">
        <v>1060</v>
      </c>
      <c r="X342" s="1340" t="s">
        <v>1070</v>
      </c>
      <c r="Y342" s="1340" t="s">
        <v>1071</v>
      </c>
      <c r="Z342" s="229"/>
      <c r="AA342" s="230"/>
      <c r="AB342" s="230"/>
      <c r="AC342" s="231"/>
      <c r="AD342" s="231"/>
      <c r="AE342" s="244"/>
      <c r="AF342" s="1331"/>
      <c r="AG342" s="1332"/>
      <c r="AH342" s="1332"/>
      <c r="AI342" s="1331"/>
      <c r="AJ342" s="1332"/>
      <c r="AK342" s="1332"/>
      <c r="AL342" s="771"/>
    </row>
    <row r="343" spans="1:38" ht="11.25" customHeight="1">
      <c r="A343" t="s">
        <v>1021</v>
      </c>
      <c r="E343" s="556"/>
      <c r="F343" s="1354"/>
      <c r="G343" s="1326"/>
      <c r="H343" s="1327" t="s">
        <v>114</v>
      </c>
      <c r="I343" s="1328"/>
      <c r="J343" s="1329"/>
      <c r="K343" s="1330"/>
      <c r="L343" s="1058"/>
      <c r="M343" s="1060"/>
      <c r="N343" s="1333"/>
      <c r="O343" s="1334"/>
      <c r="P343" s="1336"/>
      <c r="Q343" s="1339"/>
      <c r="R343" s="1323"/>
      <c r="S343" s="1338"/>
      <c r="T343" s="1323"/>
      <c r="U343" s="1323"/>
      <c r="V343" s="1323"/>
      <c r="W343" s="1323"/>
      <c r="X343" s="1323"/>
      <c r="Y343" s="1323"/>
      <c r="AA343" s="777">
        <v>1</v>
      </c>
      <c r="AB343" s="778" t="s">
        <v>1063</v>
      </c>
      <c r="AC343" s="236">
        <v>27377</v>
      </c>
      <c r="AD343" s="778" t="str">
        <f>AB343</f>
        <v xml:space="preserve">  Кредиты</v>
      </c>
      <c r="AE343" s="236">
        <f>AC343</f>
        <v>27377</v>
      </c>
      <c r="AF343" s="1331"/>
      <c r="AG343" s="1332"/>
      <c r="AH343" s="1332"/>
      <c r="AI343" s="1331"/>
      <c r="AJ343" s="1332"/>
      <c r="AK343" s="1332"/>
      <c r="AL343" s="771"/>
    </row>
    <row r="344" spans="1:38" ht="11.25" customHeight="1">
      <c r="A344" t="s">
        <v>1021</v>
      </c>
      <c r="E344" s="556"/>
      <c r="F344" s="1354"/>
      <c r="G344" s="1326"/>
      <c r="H344" s="1327" t="s">
        <v>114</v>
      </c>
      <c r="I344" s="1328"/>
      <c r="J344" s="1329"/>
      <c r="K344" s="1330"/>
      <c r="L344" s="1058"/>
      <c r="M344" s="1060"/>
      <c r="N344" s="1333"/>
      <c r="O344" s="1334"/>
      <c r="P344" s="1337"/>
      <c r="Q344" s="1339"/>
      <c r="R344" s="1323"/>
      <c r="S344" s="1338"/>
      <c r="T344" s="1323"/>
      <c r="U344" s="1323"/>
      <c r="V344" s="1323"/>
      <c r="W344" s="1323"/>
      <c r="X344" s="1323"/>
      <c r="Y344" s="1323"/>
      <c r="Z344" s="229"/>
      <c r="AA344" s="230"/>
      <c r="AB344" s="44" t="s">
        <v>1064</v>
      </c>
      <c r="AC344" s="231"/>
      <c r="AD344" s="231"/>
      <c r="AE344" s="245"/>
      <c r="AF344" s="1331"/>
      <c r="AG344" s="1332"/>
      <c r="AH344" s="1332"/>
      <c r="AI344" s="1331"/>
      <c r="AJ344" s="1332"/>
      <c r="AK344" s="1332"/>
      <c r="AL344" s="771"/>
    </row>
    <row r="345" spans="1:38" ht="11.25" customHeight="1">
      <c r="A345" t="s">
        <v>1021</v>
      </c>
      <c r="E345" s="556"/>
      <c r="F345" s="1354"/>
      <c r="G345" s="1326"/>
      <c r="H345" s="1327" t="s">
        <v>114</v>
      </c>
      <c r="I345" s="1328"/>
      <c r="J345" s="1329"/>
      <c r="K345" s="1330"/>
      <c r="L345" s="1058"/>
      <c r="M345" s="1060"/>
      <c r="N345" s="229"/>
      <c r="O345" s="230"/>
      <c r="P345" s="44" t="s">
        <v>1065</v>
      </c>
      <c r="Q345" s="230"/>
      <c r="R345" s="230"/>
      <c r="S345" s="230"/>
      <c r="T345" s="230"/>
      <c r="U345" s="230"/>
      <c r="V345" s="230"/>
      <c r="W345" s="230"/>
      <c r="X345" s="230"/>
      <c r="Y345" s="230"/>
      <c r="Z345" s="230"/>
      <c r="AA345" s="230"/>
      <c r="AB345" s="230"/>
      <c r="AC345" s="230"/>
      <c r="AD345" s="230"/>
      <c r="AE345" s="246"/>
      <c r="AF345" s="1331"/>
      <c r="AG345" s="1332"/>
      <c r="AH345" s="1332"/>
      <c r="AI345" s="1331"/>
      <c r="AJ345" s="1332"/>
      <c r="AK345" s="1332"/>
      <c r="AL345" s="771"/>
    </row>
    <row r="346" spans="1:38" ht="11.25" customHeight="1">
      <c r="A346" t="s">
        <v>1021</v>
      </c>
      <c r="B346" t="s">
        <v>1076</v>
      </c>
      <c r="E346" s="556"/>
      <c r="F346" s="1354"/>
      <c r="G346" s="1304" t="s">
        <v>103</v>
      </c>
      <c r="H346" s="1327" t="s">
        <v>89</v>
      </c>
      <c r="I346" s="1328" t="s">
        <v>1077</v>
      </c>
      <c r="J346" s="1341" t="s">
        <v>1078</v>
      </c>
      <c r="K346" s="1330" t="s">
        <v>1084</v>
      </c>
      <c r="L346" s="1058" t="s">
        <v>61</v>
      </c>
      <c r="M346" s="1342" t="s">
        <v>1020</v>
      </c>
      <c r="N346" s="241"/>
      <c r="O346" s="242" t="s">
        <v>387</v>
      </c>
      <c r="P346" s="243"/>
      <c r="Q346" s="243"/>
      <c r="R346" s="243"/>
      <c r="S346" s="243"/>
      <c r="T346" s="243"/>
      <c r="U346" s="243"/>
      <c r="V346" s="243"/>
      <c r="W346" s="243"/>
      <c r="X346" s="243"/>
      <c r="Y346" s="243"/>
      <c r="Z346" s="243"/>
      <c r="AA346" s="243"/>
      <c r="AB346" s="243"/>
      <c r="AC346" s="243"/>
      <c r="AD346" s="243"/>
      <c r="AE346" s="243"/>
      <c r="AF346" s="1331">
        <v>9</v>
      </c>
      <c r="AG346" s="1332" t="s">
        <v>1055</v>
      </c>
      <c r="AH346" s="1332" t="s">
        <v>1085</v>
      </c>
      <c r="AI346" s="1331">
        <v>9</v>
      </c>
      <c r="AJ346" s="1332" t="s">
        <v>1055</v>
      </c>
      <c r="AK346" s="1332" t="s">
        <v>1085</v>
      </c>
      <c r="AL346" s="771"/>
    </row>
    <row r="347" spans="1:38" ht="11.25" customHeight="1">
      <c r="A347" t="s">
        <v>1021</v>
      </c>
      <c r="E347" s="556"/>
      <c r="F347" s="1354"/>
      <c r="G347" s="1326"/>
      <c r="H347" s="1327" t="s">
        <v>102</v>
      </c>
      <c r="I347" s="1328"/>
      <c r="J347" s="1341"/>
      <c r="K347" s="1330"/>
      <c r="L347" s="1058"/>
      <c r="M347" s="1342"/>
      <c r="N347" s="1333"/>
      <c r="O347" s="1334">
        <v>1</v>
      </c>
      <c r="P347" s="1335" t="s">
        <v>19</v>
      </c>
      <c r="Q347" s="1323" t="s">
        <v>22</v>
      </c>
      <c r="R347" s="1323" t="s">
        <v>22</v>
      </c>
      <c r="S347" s="1323" t="s">
        <v>22</v>
      </c>
      <c r="T347" s="1323" t="s">
        <v>22</v>
      </c>
      <c r="U347" s="1323" t="s">
        <v>22</v>
      </c>
      <c r="V347" s="1323" t="s">
        <v>22</v>
      </c>
      <c r="W347" s="1323" t="s">
        <v>22</v>
      </c>
      <c r="X347" s="1323" t="s">
        <v>22</v>
      </c>
      <c r="Y347" s="1323"/>
      <c r="Z347" s="229"/>
      <c r="AA347" s="230"/>
      <c r="AB347" s="230"/>
      <c r="AC347" s="231"/>
      <c r="AD347" s="231"/>
      <c r="AE347" s="244"/>
      <c r="AF347" s="1331"/>
      <c r="AG347" s="1332"/>
      <c r="AH347" s="1332"/>
      <c r="AI347" s="1331"/>
      <c r="AJ347" s="1332"/>
      <c r="AK347" s="1332"/>
      <c r="AL347" s="771"/>
    </row>
    <row r="348" spans="1:38" ht="11.25" customHeight="1">
      <c r="A348" t="s">
        <v>1021</v>
      </c>
      <c r="E348" s="556"/>
      <c r="F348" s="1354"/>
      <c r="G348" s="1326"/>
      <c r="H348" s="1327" t="s">
        <v>102</v>
      </c>
      <c r="I348" s="1328"/>
      <c r="J348" s="1341"/>
      <c r="K348" s="1330"/>
      <c r="L348" s="1058"/>
      <c r="M348" s="1342"/>
      <c r="N348" s="1333"/>
      <c r="O348" s="1334"/>
      <c r="P348" s="1336"/>
      <c r="Q348" s="1323"/>
      <c r="R348" s="1323"/>
      <c r="S348" s="1338"/>
      <c r="T348" s="1323"/>
      <c r="U348" s="1323"/>
      <c r="V348" s="1323"/>
      <c r="W348" s="1323"/>
      <c r="X348" s="1323"/>
      <c r="Y348" s="1323"/>
      <c r="AA348" s="777">
        <v>1</v>
      </c>
      <c r="AB348" s="778" t="s">
        <v>1063</v>
      </c>
      <c r="AC348" s="236">
        <v>104897.70772999999</v>
      </c>
      <c r="AD348" s="778" t="str">
        <f>AB348</f>
        <v xml:space="preserve">  Кредиты</v>
      </c>
      <c r="AE348" s="236">
        <f>AC348</f>
        <v>104897.70772999999</v>
      </c>
      <c r="AF348" s="1331"/>
      <c r="AG348" s="1332"/>
      <c r="AH348" s="1332"/>
      <c r="AI348" s="1331"/>
      <c r="AJ348" s="1332"/>
      <c r="AK348" s="1332"/>
      <c r="AL348" s="771"/>
    </row>
    <row r="349" spans="1:38" ht="11.25" customHeight="1">
      <c r="A349" t="s">
        <v>1021</v>
      </c>
      <c r="E349" s="556"/>
      <c r="F349" s="1354"/>
      <c r="G349" s="1326"/>
      <c r="H349" s="1327" t="s">
        <v>102</v>
      </c>
      <c r="I349" s="1328"/>
      <c r="J349" s="1341"/>
      <c r="K349" s="1330"/>
      <c r="L349" s="1058"/>
      <c r="M349" s="1342"/>
      <c r="N349" s="1333"/>
      <c r="O349" s="1334"/>
      <c r="P349" s="1337"/>
      <c r="Q349" s="1323"/>
      <c r="R349" s="1323"/>
      <c r="S349" s="1338"/>
      <c r="T349" s="1323"/>
      <c r="U349" s="1323"/>
      <c r="V349" s="1323"/>
      <c r="W349" s="1323"/>
      <c r="X349" s="1323"/>
      <c r="Y349" s="1323"/>
      <c r="Z349" s="229"/>
      <c r="AA349" s="230"/>
      <c r="AB349" s="44" t="s">
        <v>1064</v>
      </c>
      <c r="AC349" s="231"/>
      <c r="AD349" s="231"/>
      <c r="AE349" s="245"/>
      <c r="AF349" s="1331"/>
      <c r="AG349" s="1332"/>
      <c r="AH349" s="1332"/>
      <c r="AI349" s="1331"/>
      <c r="AJ349" s="1332"/>
      <c r="AK349" s="1332"/>
      <c r="AL349" s="771"/>
    </row>
    <row r="350" spans="1:38" ht="11.25" customHeight="1">
      <c r="A350" t="s">
        <v>1021</v>
      </c>
      <c r="E350" s="556"/>
      <c r="F350" s="1354"/>
      <c r="G350" s="1326"/>
      <c r="H350" s="1327" t="s">
        <v>102</v>
      </c>
      <c r="I350" s="1328"/>
      <c r="J350" s="1341"/>
      <c r="K350" s="1330"/>
      <c r="L350" s="1058"/>
      <c r="M350" s="1342"/>
      <c r="N350" s="229"/>
      <c r="O350" s="230"/>
      <c r="P350" s="44" t="s">
        <v>1065</v>
      </c>
      <c r="Q350" s="230"/>
      <c r="R350" s="230"/>
      <c r="S350" s="230"/>
      <c r="T350" s="230"/>
      <c r="U350" s="230"/>
      <c r="V350" s="230"/>
      <c r="W350" s="230"/>
      <c r="X350" s="230"/>
      <c r="Y350" s="230"/>
      <c r="Z350" s="230"/>
      <c r="AA350" s="230"/>
      <c r="AB350" s="230"/>
      <c r="AC350" s="230"/>
      <c r="AD350" s="230"/>
      <c r="AE350" s="246"/>
      <c r="AF350" s="1331"/>
      <c r="AG350" s="1332"/>
      <c r="AH350" s="1332"/>
      <c r="AI350" s="1331"/>
      <c r="AJ350" s="1332"/>
      <c r="AK350" s="1332"/>
      <c r="AL350" s="771"/>
    </row>
    <row r="351" spans="1:38" ht="11.25" customHeight="1">
      <c r="A351" t="s">
        <v>1021</v>
      </c>
      <c r="B351" t="s">
        <v>1076</v>
      </c>
      <c r="E351" s="556"/>
      <c r="F351" s="1354"/>
      <c r="G351" s="1304" t="s">
        <v>103</v>
      </c>
      <c r="H351" s="1327" t="s">
        <v>90</v>
      </c>
      <c r="I351" s="1328" t="s">
        <v>1077</v>
      </c>
      <c r="J351" s="1341" t="s">
        <v>1078</v>
      </c>
      <c r="K351" s="1330" t="s">
        <v>1108</v>
      </c>
      <c r="L351" s="1058" t="s">
        <v>61</v>
      </c>
      <c r="M351" s="1342" t="s">
        <v>1020</v>
      </c>
      <c r="N351" s="241"/>
      <c r="O351" s="242" t="s">
        <v>387</v>
      </c>
      <c r="P351" s="243"/>
      <c r="Q351" s="243"/>
      <c r="R351" s="243"/>
      <c r="S351" s="243"/>
      <c r="T351" s="243"/>
      <c r="U351" s="243"/>
      <c r="V351" s="243"/>
      <c r="W351" s="243"/>
      <c r="X351" s="243"/>
      <c r="Y351" s="243"/>
      <c r="Z351" s="243"/>
      <c r="AA351" s="243"/>
      <c r="AB351" s="243"/>
      <c r="AC351" s="243"/>
      <c r="AD351" s="243"/>
      <c r="AE351" s="243"/>
      <c r="AF351" s="1331">
        <v>8</v>
      </c>
      <c r="AG351" s="1332" t="s">
        <v>1055</v>
      </c>
      <c r="AH351" s="1332" t="s">
        <v>1109</v>
      </c>
      <c r="AI351" s="1331">
        <v>8</v>
      </c>
      <c r="AJ351" s="1332" t="s">
        <v>1055</v>
      </c>
      <c r="AK351" s="1332" t="s">
        <v>1109</v>
      </c>
      <c r="AL351" s="771"/>
    </row>
    <row r="352" spans="1:38" ht="11.25" customHeight="1">
      <c r="A352" t="s">
        <v>1021</v>
      </c>
      <c r="E352" s="556"/>
      <c r="F352" s="1354"/>
      <c r="G352" s="1326"/>
      <c r="H352" s="1327" t="s">
        <v>89</v>
      </c>
      <c r="I352" s="1328"/>
      <c r="J352" s="1341"/>
      <c r="K352" s="1330"/>
      <c r="L352" s="1058"/>
      <c r="M352" s="1342"/>
      <c r="N352" s="1333"/>
      <c r="O352" s="1334">
        <v>1</v>
      </c>
      <c r="P352" s="1335" t="s">
        <v>19</v>
      </c>
      <c r="Q352" s="1323" t="s">
        <v>22</v>
      </c>
      <c r="R352" s="1323" t="s">
        <v>22</v>
      </c>
      <c r="S352" s="1323" t="s">
        <v>22</v>
      </c>
      <c r="T352" s="1323" t="s">
        <v>22</v>
      </c>
      <c r="U352" s="1323" t="s">
        <v>22</v>
      </c>
      <c r="V352" s="1323" t="s">
        <v>22</v>
      </c>
      <c r="W352" s="1323" t="s">
        <v>22</v>
      </c>
      <c r="X352" s="1323" t="s">
        <v>22</v>
      </c>
      <c r="Y352" s="1323"/>
      <c r="Z352" s="229"/>
      <c r="AA352" s="230"/>
      <c r="AB352" s="230"/>
      <c r="AC352" s="231"/>
      <c r="AD352" s="231"/>
      <c r="AE352" s="244"/>
      <c r="AF352" s="1331"/>
      <c r="AG352" s="1332"/>
      <c r="AH352" s="1332"/>
      <c r="AI352" s="1331"/>
      <c r="AJ352" s="1332"/>
      <c r="AK352" s="1332"/>
      <c r="AL352" s="771"/>
    </row>
    <row r="353" spans="1:38" ht="11.25" customHeight="1">
      <c r="A353" t="s">
        <v>1021</v>
      </c>
      <c r="E353" s="556"/>
      <c r="F353" s="1354"/>
      <c r="G353" s="1326"/>
      <c r="H353" s="1327" t="s">
        <v>89</v>
      </c>
      <c r="I353" s="1328"/>
      <c r="J353" s="1341"/>
      <c r="K353" s="1330"/>
      <c r="L353" s="1058"/>
      <c r="M353" s="1342"/>
      <c r="N353" s="1333"/>
      <c r="O353" s="1334"/>
      <c r="P353" s="1336"/>
      <c r="Q353" s="1323"/>
      <c r="R353" s="1323"/>
      <c r="S353" s="1338"/>
      <c r="T353" s="1323"/>
      <c r="U353" s="1323"/>
      <c r="V353" s="1323"/>
      <c r="W353" s="1323"/>
      <c r="X353" s="1323"/>
      <c r="Y353" s="1323"/>
      <c r="AA353" s="777">
        <v>1</v>
      </c>
      <c r="AB353" s="778" t="s">
        <v>1063</v>
      </c>
      <c r="AC353" s="236">
        <v>24414</v>
      </c>
      <c r="AD353" s="778" t="str">
        <f>AB353</f>
        <v xml:space="preserve">  Кредиты</v>
      </c>
      <c r="AE353" s="236">
        <f>AC353</f>
        <v>24414</v>
      </c>
      <c r="AF353" s="1331"/>
      <c r="AG353" s="1332"/>
      <c r="AH353" s="1332"/>
      <c r="AI353" s="1331"/>
      <c r="AJ353" s="1332"/>
      <c r="AK353" s="1332"/>
      <c r="AL353" s="771"/>
    </row>
    <row r="354" spans="1:38" ht="11.25" customHeight="1">
      <c r="A354" t="s">
        <v>1021</v>
      </c>
      <c r="E354" s="556"/>
      <c r="F354" s="1354"/>
      <c r="G354" s="1326"/>
      <c r="H354" s="1327" t="s">
        <v>89</v>
      </c>
      <c r="I354" s="1328"/>
      <c r="J354" s="1341"/>
      <c r="K354" s="1330"/>
      <c r="L354" s="1058"/>
      <c r="M354" s="1342"/>
      <c r="N354" s="1333"/>
      <c r="O354" s="1334"/>
      <c r="P354" s="1337"/>
      <c r="Q354" s="1323"/>
      <c r="R354" s="1323"/>
      <c r="S354" s="1338"/>
      <c r="T354" s="1323"/>
      <c r="U354" s="1323"/>
      <c r="V354" s="1323"/>
      <c r="W354" s="1323"/>
      <c r="X354" s="1323"/>
      <c r="Y354" s="1323"/>
      <c r="Z354" s="229"/>
      <c r="AA354" s="230"/>
      <c r="AB354" s="44" t="s">
        <v>1064</v>
      </c>
      <c r="AC354" s="231"/>
      <c r="AD354" s="231"/>
      <c r="AE354" s="245"/>
      <c r="AF354" s="1331"/>
      <c r="AG354" s="1332"/>
      <c r="AH354" s="1332"/>
      <c r="AI354" s="1331"/>
      <c r="AJ354" s="1332"/>
      <c r="AK354" s="1332"/>
      <c r="AL354" s="771"/>
    </row>
    <row r="355" spans="1:38" ht="11.25" customHeight="1">
      <c r="A355" t="s">
        <v>1021</v>
      </c>
      <c r="E355" s="556"/>
      <c r="F355" s="1354"/>
      <c r="G355" s="1326"/>
      <c r="H355" s="1327" t="s">
        <v>89</v>
      </c>
      <c r="I355" s="1328"/>
      <c r="J355" s="1341"/>
      <c r="K355" s="1330"/>
      <c r="L355" s="1058"/>
      <c r="M355" s="1342"/>
      <c r="N355" s="229"/>
      <c r="O355" s="230"/>
      <c r="P355" s="44" t="s">
        <v>1065</v>
      </c>
      <c r="Q355" s="230"/>
      <c r="R355" s="230"/>
      <c r="S355" s="230"/>
      <c r="T355" s="230"/>
      <c r="U355" s="230"/>
      <c r="V355" s="230"/>
      <c r="W355" s="230"/>
      <c r="X355" s="230"/>
      <c r="Y355" s="230"/>
      <c r="Z355" s="230"/>
      <c r="AA355" s="230"/>
      <c r="AB355" s="230"/>
      <c r="AC355" s="230"/>
      <c r="AD355" s="230"/>
      <c r="AE355" s="246"/>
      <c r="AF355" s="1331"/>
      <c r="AG355" s="1332"/>
      <c r="AH355" s="1332"/>
      <c r="AI355" s="1331"/>
      <c r="AJ355" s="1332"/>
      <c r="AK355" s="1332"/>
      <c r="AL355" s="771"/>
    </row>
    <row r="356" spans="1:38" ht="11.25" customHeight="1">
      <c r="A356" t="s">
        <v>1021</v>
      </c>
      <c r="B356" t="s">
        <v>22</v>
      </c>
      <c r="E356" s="556"/>
      <c r="F356" s="1354"/>
      <c r="G356" s="1304" t="s">
        <v>103</v>
      </c>
      <c r="H356" s="1327" t="s">
        <v>115</v>
      </c>
      <c r="I356" s="1328" t="s">
        <v>1086</v>
      </c>
      <c r="J356" s="1329" t="s">
        <v>22</v>
      </c>
      <c r="K356" s="1330" t="s">
        <v>1099</v>
      </c>
      <c r="L356" s="1058" t="s">
        <v>19</v>
      </c>
      <c r="M356" s="1060"/>
      <c r="N356" s="241"/>
      <c r="O356" s="242" t="s">
        <v>387</v>
      </c>
      <c r="P356" s="243"/>
      <c r="Q356" s="243"/>
      <c r="R356" s="243"/>
      <c r="S356" s="243"/>
      <c r="T356" s="243"/>
      <c r="U356" s="243"/>
      <c r="V356" s="243"/>
      <c r="W356" s="243"/>
      <c r="X356" s="243"/>
      <c r="Y356" s="243"/>
      <c r="Z356" s="243"/>
      <c r="AA356" s="243"/>
      <c r="AB356" s="243"/>
      <c r="AC356" s="243"/>
      <c r="AD356" s="243"/>
      <c r="AE356" s="243"/>
      <c r="AF356" s="1331">
        <v>2</v>
      </c>
      <c r="AG356" s="1332" t="s">
        <v>1055</v>
      </c>
      <c r="AH356" s="1332" t="s">
        <v>1082</v>
      </c>
      <c r="AI356" s="1331">
        <v>2</v>
      </c>
      <c r="AJ356" s="1332" t="s">
        <v>1055</v>
      </c>
      <c r="AK356" s="1332" t="s">
        <v>1082</v>
      </c>
      <c r="AL356" s="771"/>
    </row>
    <row r="357" spans="1:38" ht="11.25" customHeight="1">
      <c r="A357" t="s">
        <v>1021</v>
      </c>
      <c r="E357" s="556"/>
      <c r="F357" s="1354"/>
      <c r="G357" s="1326"/>
      <c r="H357" s="1327" t="s">
        <v>90</v>
      </c>
      <c r="I357" s="1328"/>
      <c r="J357" s="1329"/>
      <c r="K357" s="1330"/>
      <c r="L357" s="1058"/>
      <c r="M357" s="1060"/>
      <c r="N357" s="1333"/>
      <c r="O357" s="1334">
        <v>1</v>
      </c>
      <c r="P357" s="1335" t="s">
        <v>61</v>
      </c>
      <c r="Q357" s="1339" t="s">
        <v>1074</v>
      </c>
      <c r="R357" s="1340" t="s">
        <v>1058</v>
      </c>
      <c r="S357" s="1340" t="s">
        <v>99</v>
      </c>
      <c r="T357" s="1340" t="s">
        <v>99</v>
      </c>
      <c r="U357" s="1340" t="s">
        <v>100</v>
      </c>
      <c r="V357" s="1340" t="s">
        <v>1059</v>
      </c>
      <c r="W357" s="1340" t="s">
        <v>1060</v>
      </c>
      <c r="X357" s="1340" t="s">
        <v>1070</v>
      </c>
      <c r="Y357" s="1340" t="s">
        <v>1075</v>
      </c>
      <c r="Z357" s="229"/>
      <c r="AA357" s="230"/>
      <c r="AB357" s="230"/>
      <c r="AC357" s="231"/>
      <c r="AD357" s="231"/>
      <c r="AE357" s="244"/>
      <c r="AF357" s="1331"/>
      <c r="AG357" s="1332"/>
      <c r="AH357" s="1332"/>
      <c r="AI357" s="1331"/>
      <c r="AJ357" s="1332"/>
      <c r="AK357" s="1332"/>
      <c r="AL357" s="771"/>
    </row>
    <row r="358" spans="1:38" ht="11.25" customHeight="1">
      <c r="A358" t="s">
        <v>1021</v>
      </c>
      <c r="E358" s="556"/>
      <c r="F358" s="1354"/>
      <c r="G358" s="1326"/>
      <c r="H358" s="1327" t="s">
        <v>90</v>
      </c>
      <c r="I358" s="1328"/>
      <c r="J358" s="1329"/>
      <c r="K358" s="1330"/>
      <c r="L358" s="1058"/>
      <c r="M358" s="1060"/>
      <c r="N358" s="1333"/>
      <c r="O358" s="1334"/>
      <c r="P358" s="1336"/>
      <c r="Q358" s="1339"/>
      <c r="R358" s="1323"/>
      <c r="S358" s="1338"/>
      <c r="T358" s="1323"/>
      <c r="U358" s="1323"/>
      <c r="V358" s="1323"/>
      <c r="W358" s="1323"/>
      <c r="X358" s="1323"/>
      <c r="Y358" s="1323"/>
      <c r="AA358" s="777">
        <v>1</v>
      </c>
      <c r="AB358" s="778" t="s">
        <v>1063</v>
      </c>
      <c r="AC358" s="236">
        <v>13945</v>
      </c>
      <c r="AD358" s="778" t="str">
        <f>AB358</f>
        <v xml:space="preserve">  Кредиты</v>
      </c>
      <c r="AE358" s="236">
        <f>AC358</f>
        <v>13945</v>
      </c>
      <c r="AF358" s="1331"/>
      <c r="AG358" s="1332"/>
      <c r="AH358" s="1332"/>
      <c r="AI358" s="1331"/>
      <c r="AJ358" s="1332"/>
      <c r="AK358" s="1332"/>
      <c r="AL358" s="771"/>
    </row>
    <row r="359" spans="1:38" ht="11.25" customHeight="1">
      <c r="A359" t="s">
        <v>1021</v>
      </c>
      <c r="E359" s="556"/>
      <c r="F359" s="1354"/>
      <c r="G359" s="1326"/>
      <c r="H359" s="1327" t="s">
        <v>90</v>
      </c>
      <c r="I359" s="1328"/>
      <c r="J359" s="1329"/>
      <c r="K359" s="1330"/>
      <c r="L359" s="1058"/>
      <c r="M359" s="1060"/>
      <c r="N359" s="1333"/>
      <c r="O359" s="1334"/>
      <c r="P359" s="1337"/>
      <c r="Q359" s="1339"/>
      <c r="R359" s="1323"/>
      <c r="S359" s="1338"/>
      <c r="T359" s="1323"/>
      <c r="U359" s="1323"/>
      <c r="V359" s="1323"/>
      <c r="W359" s="1323"/>
      <c r="X359" s="1323"/>
      <c r="Y359" s="1323"/>
      <c r="Z359" s="229"/>
      <c r="AA359" s="230"/>
      <c r="AB359" s="44" t="s">
        <v>1064</v>
      </c>
      <c r="AC359" s="231"/>
      <c r="AD359" s="231"/>
      <c r="AE359" s="245"/>
      <c r="AF359" s="1331"/>
      <c r="AG359" s="1332"/>
      <c r="AH359" s="1332"/>
      <c r="AI359" s="1331"/>
      <c r="AJ359" s="1332"/>
      <c r="AK359" s="1332"/>
      <c r="AL359" s="771"/>
    </row>
    <row r="360" spans="1:38" ht="11.25" customHeight="1">
      <c r="A360" t="s">
        <v>1021</v>
      </c>
      <c r="E360" s="556"/>
      <c r="F360" s="1354"/>
      <c r="G360" s="1326"/>
      <c r="H360" s="1327" t="s">
        <v>90</v>
      </c>
      <c r="I360" s="1328"/>
      <c r="J360" s="1329"/>
      <c r="K360" s="1330"/>
      <c r="L360" s="1058"/>
      <c r="M360" s="1060"/>
      <c r="N360" s="229"/>
      <c r="O360" s="230"/>
      <c r="P360" s="44" t="s">
        <v>1065</v>
      </c>
      <c r="Q360" s="230"/>
      <c r="R360" s="230"/>
      <c r="S360" s="230"/>
      <c r="T360" s="230"/>
      <c r="U360" s="230"/>
      <c r="V360" s="230"/>
      <c r="W360" s="230"/>
      <c r="X360" s="230"/>
      <c r="Y360" s="230"/>
      <c r="Z360" s="230"/>
      <c r="AA360" s="230"/>
      <c r="AB360" s="230"/>
      <c r="AC360" s="230"/>
      <c r="AD360" s="230"/>
      <c r="AE360" s="246"/>
      <c r="AF360" s="1331"/>
      <c r="AG360" s="1332"/>
      <c r="AH360" s="1332"/>
      <c r="AI360" s="1331"/>
      <c r="AJ360" s="1332"/>
      <c r="AK360" s="1332"/>
      <c r="AL360" s="771"/>
    </row>
    <row r="361" spans="1:38" ht="11.25" customHeight="1">
      <c r="A361" t="s">
        <v>1021</v>
      </c>
      <c r="B361" t="s">
        <v>1122</v>
      </c>
      <c r="E361" s="556"/>
      <c r="F361" s="1354"/>
      <c r="G361" s="1304" t="s">
        <v>103</v>
      </c>
      <c r="H361" s="1327" t="s">
        <v>91</v>
      </c>
      <c r="I361" s="1328" t="s">
        <v>1123</v>
      </c>
      <c r="J361" s="1341" t="s">
        <v>1124</v>
      </c>
      <c r="K361" s="1330" t="s">
        <v>1125</v>
      </c>
      <c r="L361" s="1058" t="s">
        <v>19</v>
      </c>
      <c r="M361" s="1060"/>
      <c r="N361" s="241"/>
      <c r="O361" s="242" t="s">
        <v>387</v>
      </c>
      <c r="P361" s="243"/>
      <c r="Q361" s="243"/>
      <c r="R361" s="243"/>
      <c r="S361" s="243"/>
      <c r="T361" s="243"/>
      <c r="U361" s="243"/>
      <c r="V361" s="243"/>
      <c r="W361" s="243"/>
      <c r="X361" s="243"/>
      <c r="Y361" s="243"/>
      <c r="Z361" s="243"/>
      <c r="AA361" s="243"/>
      <c r="AB361" s="243"/>
      <c r="AC361" s="243"/>
      <c r="AD361" s="243"/>
      <c r="AE361" s="243"/>
      <c r="AF361" s="1331">
        <v>4</v>
      </c>
      <c r="AG361" s="1332" t="s">
        <v>1055</v>
      </c>
      <c r="AH361" s="1332" t="s">
        <v>1126</v>
      </c>
      <c r="AI361" s="1331">
        <v>4</v>
      </c>
      <c r="AJ361" s="1332" t="s">
        <v>1055</v>
      </c>
      <c r="AK361" s="1332" t="s">
        <v>1126</v>
      </c>
      <c r="AL361" s="771"/>
    </row>
    <row r="362" spans="1:38" ht="11.25" customHeight="1">
      <c r="A362" t="s">
        <v>1021</v>
      </c>
      <c r="E362" s="556"/>
      <c r="F362" s="1354"/>
      <c r="G362" s="1326"/>
      <c r="H362" s="1327" t="s">
        <v>115</v>
      </c>
      <c r="I362" s="1328"/>
      <c r="J362" s="1341"/>
      <c r="K362" s="1330"/>
      <c r="L362" s="1058"/>
      <c r="M362" s="1060"/>
      <c r="N362" s="1333"/>
      <c r="O362" s="1334">
        <v>1</v>
      </c>
      <c r="P362" s="1335" t="s">
        <v>19</v>
      </c>
      <c r="Q362" s="1323" t="s">
        <v>22</v>
      </c>
      <c r="R362" s="1323" t="s">
        <v>22</v>
      </c>
      <c r="S362" s="1323" t="s">
        <v>22</v>
      </c>
      <c r="T362" s="1323" t="s">
        <v>22</v>
      </c>
      <c r="U362" s="1323" t="s">
        <v>22</v>
      </c>
      <c r="V362" s="1323" t="s">
        <v>22</v>
      </c>
      <c r="W362" s="1323" t="s">
        <v>22</v>
      </c>
      <c r="X362" s="1323" t="s">
        <v>22</v>
      </c>
      <c r="Y362" s="1323"/>
      <c r="Z362" s="229"/>
      <c r="AA362" s="230"/>
      <c r="AB362" s="230"/>
      <c r="AC362" s="231"/>
      <c r="AD362" s="231"/>
      <c r="AE362" s="244"/>
      <c r="AF362" s="1331"/>
      <c r="AG362" s="1332"/>
      <c r="AH362" s="1332"/>
      <c r="AI362" s="1331"/>
      <c r="AJ362" s="1332"/>
      <c r="AK362" s="1332"/>
      <c r="AL362" s="771"/>
    </row>
    <row r="363" spans="1:38" ht="11.25" customHeight="1">
      <c r="A363" t="s">
        <v>1021</v>
      </c>
      <c r="E363" s="556"/>
      <c r="F363" s="1354"/>
      <c r="G363" s="1326"/>
      <c r="H363" s="1327" t="s">
        <v>115</v>
      </c>
      <c r="I363" s="1328"/>
      <c r="J363" s="1341"/>
      <c r="K363" s="1330"/>
      <c r="L363" s="1058"/>
      <c r="M363" s="1060"/>
      <c r="N363" s="1333"/>
      <c r="O363" s="1334"/>
      <c r="P363" s="1336"/>
      <c r="Q363" s="1323"/>
      <c r="R363" s="1323"/>
      <c r="S363" s="1338"/>
      <c r="T363" s="1323"/>
      <c r="U363" s="1323"/>
      <c r="V363" s="1323"/>
      <c r="W363" s="1323"/>
      <c r="X363" s="1323"/>
      <c r="Y363" s="1323"/>
      <c r="AA363" s="777">
        <v>1</v>
      </c>
      <c r="AB363" s="778" t="s">
        <v>1127</v>
      </c>
      <c r="AC363" s="236">
        <v>437.09226999999998</v>
      </c>
      <c r="AD363" s="778" t="str">
        <f>AB363</f>
        <v xml:space="preserve">  Средства, полученные за счет платы за подключение (технологическое присоединение)</v>
      </c>
      <c r="AE363" s="236">
        <f>AC363</f>
        <v>437.09226999999998</v>
      </c>
      <c r="AF363" s="1331"/>
      <c r="AG363" s="1332"/>
      <c r="AH363" s="1332"/>
      <c r="AI363" s="1331"/>
      <c r="AJ363" s="1332"/>
      <c r="AK363" s="1332"/>
      <c r="AL363" s="771"/>
    </row>
    <row r="364" spans="1:38" ht="11.25" customHeight="1">
      <c r="A364" t="s">
        <v>1021</v>
      </c>
      <c r="E364" s="556"/>
      <c r="F364" s="1354"/>
      <c r="G364" s="1326"/>
      <c r="H364" s="1327" t="s">
        <v>115</v>
      </c>
      <c r="I364" s="1328"/>
      <c r="J364" s="1341"/>
      <c r="K364" s="1330"/>
      <c r="L364" s="1058"/>
      <c r="M364" s="1060"/>
      <c r="N364" s="1333"/>
      <c r="O364" s="1334"/>
      <c r="P364" s="1337"/>
      <c r="Q364" s="1323"/>
      <c r="R364" s="1323"/>
      <c r="S364" s="1338"/>
      <c r="T364" s="1323"/>
      <c r="U364" s="1323"/>
      <c r="V364" s="1323"/>
      <c r="W364" s="1323"/>
      <c r="X364" s="1323"/>
      <c r="Y364" s="1323"/>
      <c r="Z364" s="229"/>
      <c r="AA364" s="230"/>
      <c r="AB364" s="44" t="s">
        <v>1064</v>
      </c>
      <c r="AC364" s="231"/>
      <c r="AD364" s="231"/>
      <c r="AE364" s="245"/>
      <c r="AF364" s="1331"/>
      <c r="AG364" s="1332"/>
      <c r="AH364" s="1332"/>
      <c r="AI364" s="1331"/>
      <c r="AJ364" s="1332"/>
      <c r="AK364" s="1332"/>
      <c r="AL364" s="771"/>
    </row>
    <row r="365" spans="1:38" ht="11.25" customHeight="1">
      <c r="A365" t="s">
        <v>1021</v>
      </c>
      <c r="E365" s="556"/>
      <c r="F365" s="1354"/>
      <c r="G365" s="1326"/>
      <c r="H365" s="1327" t="s">
        <v>115</v>
      </c>
      <c r="I365" s="1328"/>
      <c r="J365" s="1341"/>
      <c r="K365" s="1330"/>
      <c r="L365" s="1058"/>
      <c r="M365" s="1060"/>
      <c r="N365" s="229"/>
      <c r="O365" s="230"/>
      <c r="P365" s="44" t="s">
        <v>1065</v>
      </c>
      <c r="Q365" s="230"/>
      <c r="R365" s="230"/>
      <c r="S365" s="230"/>
      <c r="T365" s="230"/>
      <c r="U365" s="230"/>
      <c r="V365" s="230"/>
      <c r="W365" s="230"/>
      <c r="X365" s="230"/>
      <c r="Y365" s="230"/>
      <c r="Z365" s="230"/>
      <c r="AA365" s="230"/>
      <c r="AB365" s="230"/>
      <c r="AC365" s="230"/>
      <c r="AD365" s="230"/>
      <c r="AE365" s="246"/>
      <c r="AF365" s="1331"/>
      <c r="AG365" s="1332"/>
      <c r="AH365" s="1332"/>
      <c r="AI365" s="1331"/>
      <c r="AJ365" s="1332"/>
      <c r="AK365" s="1332"/>
      <c r="AL365" s="771"/>
    </row>
    <row r="366" spans="1:38" ht="11.25" customHeight="1">
      <c r="A366" t="s">
        <v>1021</v>
      </c>
      <c r="B366" t="s">
        <v>22</v>
      </c>
      <c r="E366" s="556"/>
      <c r="F366" s="1354"/>
      <c r="G366" s="1304" t="s">
        <v>103</v>
      </c>
      <c r="H366" s="1327" t="s">
        <v>92</v>
      </c>
      <c r="I366" s="1328" t="s">
        <v>1080</v>
      </c>
      <c r="J366" s="1329" t="s">
        <v>22</v>
      </c>
      <c r="K366" s="1330" t="s">
        <v>1111</v>
      </c>
      <c r="L366" s="1058" t="s">
        <v>61</v>
      </c>
      <c r="M366" s="1342" t="s">
        <v>1020</v>
      </c>
      <c r="N366" s="241"/>
      <c r="O366" s="242" t="s">
        <v>387</v>
      </c>
      <c r="P366" s="243"/>
      <c r="Q366" s="243"/>
      <c r="R366" s="243"/>
      <c r="S366" s="243"/>
      <c r="T366" s="243"/>
      <c r="U366" s="243"/>
      <c r="V366" s="243"/>
      <c r="W366" s="243"/>
      <c r="X366" s="243"/>
      <c r="Y366" s="243"/>
      <c r="Z366" s="243"/>
      <c r="AA366" s="243"/>
      <c r="AB366" s="243"/>
      <c r="AC366" s="243"/>
      <c r="AD366" s="243"/>
      <c r="AE366" s="243"/>
      <c r="AF366" s="1331">
        <v>8</v>
      </c>
      <c r="AG366" s="1332" t="s">
        <v>1055</v>
      </c>
      <c r="AH366" s="1332" t="s">
        <v>1109</v>
      </c>
      <c r="AI366" s="1331">
        <v>8</v>
      </c>
      <c r="AJ366" s="1332" t="s">
        <v>1055</v>
      </c>
      <c r="AK366" s="1332" t="s">
        <v>1109</v>
      </c>
      <c r="AL366" s="771"/>
    </row>
    <row r="367" spans="1:38" ht="11.25" customHeight="1">
      <c r="A367" t="s">
        <v>1021</v>
      </c>
      <c r="E367" s="556"/>
      <c r="F367" s="1354"/>
      <c r="G367" s="1326"/>
      <c r="H367" s="1327" t="s">
        <v>91</v>
      </c>
      <c r="I367" s="1328"/>
      <c r="J367" s="1329"/>
      <c r="K367" s="1330"/>
      <c r="L367" s="1058"/>
      <c r="M367" s="1342"/>
      <c r="N367" s="1333"/>
      <c r="O367" s="1334">
        <v>1</v>
      </c>
      <c r="P367" s="1335" t="s">
        <v>19</v>
      </c>
      <c r="Q367" s="1323" t="s">
        <v>22</v>
      </c>
      <c r="R367" s="1323" t="s">
        <v>22</v>
      </c>
      <c r="S367" s="1323" t="s">
        <v>22</v>
      </c>
      <c r="T367" s="1323" t="s">
        <v>22</v>
      </c>
      <c r="U367" s="1323" t="s">
        <v>22</v>
      </c>
      <c r="V367" s="1323" t="s">
        <v>22</v>
      </c>
      <c r="W367" s="1323" t="s">
        <v>22</v>
      </c>
      <c r="X367" s="1323" t="s">
        <v>22</v>
      </c>
      <c r="Y367" s="1323"/>
      <c r="Z367" s="229"/>
      <c r="AA367" s="230"/>
      <c r="AB367" s="230"/>
      <c r="AC367" s="231"/>
      <c r="AD367" s="231"/>
      <c r="AE367" s="244"/>
      <c r="AF367" s="1331"/>
      <c r="AG367" s="1332"/>
      <c r="AH367" s="1332"/>
      <c r="AI367" s="1331"/>
      <c r="AJ367" s="1332"/>
      <c r="AK367" s="1332"/>
      <c r="AL367" s="771"/>
    </row>
    <row r="368" spans="1:38" ht="11.25" customHeight="1">
      <c r="A368" t="s">
        <v>1021</v>
      </c>
      <c r="E368" s="556"/>
      <c r="F368" s="1354"/>
      <c r="G368" s="1326"/>
      <c r="H368" s="1327" t="s">
        <v>91</v>
      </c>
      <c r="I368" s="1328"/>
      <c r="J368" s="1329"/>
      <c r="K368" s="1330"/>
      <c r="L368" s="1058"/>
      <c r="M368" s="1342"/>
      <c r="N368" s="1333"/>
      <c r="O368" s="1334"/>
      <c r="P368" s="1336"/>
      <c r="Q368" s="1323"/>
      <c r="R368" s="1323"/>
      <c r="S368" s="1338"/>
      <c r="T368" s="1323"/>
      <c r="U368" s="1323"/>
      <c r="V368" s="1323"/>
      <c r="W368" s="1323"/>
      <c r="X368" s="1323"/>
      <c r="Y368" s="1323"/>
      <c r="AA368" s="777">
        <v>1</v>
      </c>
      <c r="AB368" s="778" t="s">
        <v>1063</v>
      </c>
      <c r="AC368" s="236">
        <v>6199</v>
      </c>
      <c r="AD368" s="778" t="str">
        <f>AB368</f>
        <v xml:space="preserve">  Кредиты</v>
      </c>
      <c r="AE368" s="236">
        <f>AC368</f>
        <v>6199</v>
      </c>
      <c r="AF368" s="1331"/>
      <c r="AG368" s="1332"/>
      <c r="AH368" s="1332"/>
      <c r="AI368" s="1331"/>
      <c r="AJ368" s="1332"/>
      <c r="AK368" s="1332"/>
      <c r="AL368" s="771"/>
    </row>
    <row r="369" spans="1:38" ht="11.25" customHeight="1">
      <c r="A369" t="s">
        <v>1021</v>
      </c>
      <c r="E369" s="556"/>
      <c r="F369" s="1354"/>
      <c r="G369" s="1326"/>
      <c r="H369" s="1327" t="s">
        <v>91</v>
      </c>
      <c r="I369" s="1328"/>
      <c r="J369" s="1329"/>
      <c r="K369" s="1330"/>
      <c r="L369" s="1058"/>
      <c r="M369" s="1342"/>
      <c r="N369" s="1333"/>
      <c r="O369" s="1334"/>
      <c r="P369" s="1337"/>
      <c r="Q369" s="1323"/>
      <c r="R369" s="1323"/>
      <c r="S369" s="1338"/>
      <c r="T369" s="1323"/>
      <c r="U369" s="1323"/>
      <c r="V369" s="1323"/>
      <c r="W369" s="1323"/>
      <c r="X369" s="1323"/>
      <c r="Y369" s="1323"/>
      <c r="Z369" s="229"/>
      <c r="AA369" s="230"/>
      <c r="AB369" s="44" t="s">
        <v>1064</v>
      </c>
      <c r="AC369" s="231"/>
      <c r="AD369" s="231"/>
      <c r="AE369" s="245"/>
      <c r="AF369" s="1331"/>
      <c r="AG369" s="1332"/>
      <c r="AH369" s="1332"/>
      <c r="AI369" s="1331"/>
      <c r="AJ369" s="1332"/>
      <c r="AK369" s="1332"/>
      <c r="AL369" s="771"/>
    </row>
    <row r="370" spans="1:38" ht="11.25" customHeight="1">
      <c r="A370" t="s">
        <v>1021</v>
      </c>
      <c r="E370" s="556"/>
      <c r="F370" s="1354"/>
      <c r="G370" s="1326"/>
      <c r="H370" s="1327" t="s">
        <v>91</v>
      </c>
      <c r="I370" s="1328"/>
      <c r="J370" s="1329"/>
      <c r="K370" s="1330"/>
      <c r="L370" s="1058"/>
      <c r="M370" s="1342"/>
      <c r="N370" s="229"/>
      <c r="O370" s="230"/>
      <c r="P370" s="44" t="s">
        <v>1065</v>
      </c>
      <c r="Q370" s="230"/>
      <c r="R370" s="230"/>
      <c r="S370" s="230"/>
      <c r="T370" s="230"/>
      <c r="U370" s="230"/>
      <c r="V370" s="230"/>
      <c r="W370" s="230"/>
      <c r="X370" s="230"/>
      <c r="Y370" s="230"/>
      <c r="Z370" s="230"/>
      <c r="AA370" s="230"/>
      <c r="AB370" s="230"/>
      <c r="AC370" s="230"/>
      <c r="AD370" s="230"/>
      <c r="AE370" s="246"/>
      <c r="AF370" s="1331"/>
      <c r="AG370" s="1332"/>
      <c r="AH370" s="1332"/>
      <c r="AI370" s="1331"/>
      <c r="AJ370" s="1332"/>
      <c r="AK370" s="1332"/>
      <c r="AL370" s="771"/>
    </row>
    <row r="371" spans="1:38" ht="11.25" customHeight="1">
      <c r="A371" t="s">
        <v>1021</v>
      </c>
      <c r="B371" t="s">
        <v>22</v>
      </c>
      <c r="E371" s="556"/>
      <c r="F371" s="1354"/>
      <c r="G371" s="1304" t="s">
        <v>103</v>
      </c>
      <c r="H371" s="1327" t="s">
        <v>116</v>
      </c>
      <c r="I371" s="1328" t="s">
        <v>1080</v>
      </c>
      <c r="J371" s="1329" t="s">
        <v>22</v>
      </c>
      <c r="K371" s="1330" t="s">
        <v>1116</v>
      </c>
      <c r="L371" s="1058" t="s">
        <v>19</v>
      </c>
      <c r="M371" s="1060"/>
      <c r="N371" s="241"/>
      <c r="O371" s="242" t="s">
        <v>387</v>
      </c>
      <c r="P371" s="243"/>
      <c r="Q371" s="243"/>
      <c r="R371" s="243"/>
      <c r="S371" s="243"/>
      <c r="T371" s="243"/>
      <c r="U371" s="243"/>
      <c r="V371" s="243"/>
      <c r="W371" s="243"/>
      <c r="X371" s="243"/>
      <c r="Y371" s="243"/>
      <c r="Z371" s="243"/>
      <c r="AA371" s="243"/>
      <c r="AB371" s="243"/>
      <c r="AC371" s="243"/>
      <c r="AD371" s="243"/>
      <c r="AE371" s="243"/>
      <c r="AF371" s="1331">
        <v>1</v>
      </c>
      <c r="AG371" s="1332" t="s">
        <v>1055</v>
      </c>
      <c r="AH371" s="1332" t="s">
        <v>1095</v>
      </c>
      <c r="AI371" s="1331">
        <v>1</v>
      </c>
      <c r="AJ371" s="1332" t="s">
        <v>1055</v>
      </c>
      <c r="AK371" s="1332" t="s">
        <v>1095</v>
      </c>
      <c r="AL371" s="771"/>
    </row>
    <row r="372" spans="1:38" ht="11.25" customHeight="1">
      <c r="A372" t="s">
        <v>1021</v>
      </c>
      <c r="E372" s="556"/>
      <c r="F372" s="1354"/>
      <c r="G372" s="1326"/>
      <c r="H372" s="1327" t="s">
        <v>92</v>
      </c>
      <c r="I372" s="1328"/>
      <c r="J372" s="1329"/>
      <c r="K372" s="1330"/>
      <c r="L372" s="1058"/>
      <c r="M372" s="1060"/>
      <c r="N372" s="1333"/>
      <c r="O372" s="1334">
        <v>1</v>
      </c>
      <c r="P372" s="1335" t="s">
        <v>19</v>
      </c>
      <c r="Q372" s="1323" t="s">
        <v>22</v>
      </c>
      <c r="R372" s="1323" t="s">
        <v>22</v>
      </c>
      <c r="S372" s="1323" t="s">
        <v>22</v>
      </c>
      <c r="T372" s="1323" t="s">
        <v>22</v>
      </c>
      <c r="U372" s="1323" t="s">
        <v>22</v>
      </c>
      <c r="V372" s="1323" t="s">
        <v>22</v>
      </c>
      <c r="W372" s="1323" t="s">
        <v>22</v>
      </c>
      <c r="X372" s="1323" t="s">
        <v>22</v>
      </c>
      <c r="Y372" s="1323"/>
      <c r="Z372" s="229"/>
      <c r="AA372" s="230"/>
      <c r="AB372" s="230"/>
      <c r="AC372" s="231"/>
      <c r="AD372" s="231"/>
      <c r="AE372" s="244"/>
      <c r="AF372" s="1331"/>
      <c r="AG372" s="1332"/>
      <c r="AH372" s="1332"/>
      <c r="AI372" s="1331"/>
      <c r="AJ372" s="1332"/>
      <c r="AK372" s="1332"/>
      <c r="AL372" s="771"/>
    </row>
    <row r="373" spans="1:38" ht="11.25" customHeight="1">
      <c r="A373" t="s">
        <v>1021</v>
      </c>
      <c r="E373" s="556"/>
      <c r="F373" s="1354"/>
      <c r="G373" s="1326"/>
      <c r="H373" s="1327" t="s">
        <v>92</v>
      </c>
      <c r="I373" s="1328"/>
      <c r="J373" s="1329"/>
      <c r="K373" s="1330"/>
      <c r="L373" s="1058"/>
      <c r="M373" s="1060"/>
      <c r="N373" s="1333"/>
      <c r="O373" s="1334"/>
      <c r="P373" s="1336"/>
      <c r="Q373" s="1323"/>
      <c r="R373" s="1323"/>
      <c r="S373" s="1338"/>
      <c r="T373" s="1323"/>
      <c r="U373" s="1323"/>
      <c r="V373" s="1323"/>
      <c r="W373" s="1323"/>
      <c r="X373" s="1323"/>
      <c r="Y373" s="1323"/>
      <c r="AA373" s="777">
        <v>1</v>
      </c>
      <c r="AB373" s="778" t="s">
        <v>1063</v>
      </c>
      <c r="AC373" s="236">
        <v>678</v>
      </c>
      <c r="AD373" s="778" t="str">
        <f>AB373</f>
        <v xml:space="preserve">  Кредиты</v>
      </c>
      <c r="AE373" s="236">
        <f>AC373</f>
        <v>678</v>
      </c>
      <c r="AF373" s="1331"/>
      <c r="AG373" s="1332"/>
      <c r="AH373" s="1332"/>
      <c r="AI373" s="1331"/>
      <c r="AJ373" s="1332"/>
      <c r="AK373" s="1332"/>
      <c r="AL373" s="771"/>
    </row>
    <row r="374" spans="1:38" ht="11.25" customHeight="1">
      <c r="A374" t="s">
        <v>1021</v>
      </c>
      <c r="E374" s="556"/>
      <c r="F374" s="1354"/>
      <c r="G374" s="1326"/>
      <c r="H374" s="1327" t="s">
        <v>92</v>
      </c>
      <c r="I374" s="1328"/>
      <c r="J374" s="1329"/>
      <c r="K374" s="1330"/>
      <c r="L374" s="1058"/>
      <c r="M374" s="1060"/>
      <c r="N374" s="1333"/>
      <c r="O374" s="1334"/>
      <c r="P374" s="1337"/>
      <c r="Q374" s="1323"/>
      <c r="R374" s="1323"/>
      <c r="S374" s="1338"/>
      <c r="T374" s="1323"/>
      <c r="U374" s="1323"/>
      <c r="V374" s="1323"/>
      <c r="W374" s="1323"/>
      <c r="X374" s="1323"/>
      <c r="Y374" s="1323"/>
      <c r="Z374" s="229"/>
      <c r="AA374" s="230"/>
      <c r="AB374" s="44" t="s">
        <v>1064</v>
      </c>
      <c r="AC374" s="231"/>
      <c r="AD374" s="231"/>
      <c r="AE374" s="245"/>
      <c r="AF374" s="1331"/>
      <c r="AG374" s="1332"/>
      <c r="AH374" s="1332"/>
      <c r="AI374" s="1331"/>
      <c r="AJ374" s="1332"/>
      <c r="AK374" s="1332"/>
      <c r="AL374" s="771"/>
    </row>
    <row r="375" spans="1:38" ht="11.25" customHeight="1">
      <c r="A375" t="s">
        <v>1021</v>
      </c>
      <c r="E375" s="556"/>
      <c r="F375" s="1354"/>
      <c r="G375" s="1326"/>
      <c r="H375" s="1327" t="s">
        <v>92</v>
      </c>
      <c r="I375" s="1328"/>
      <c r="J375" s="1329"/>
      <c r="K375" s="1330"/>
      <c r="L375" s="1058"/>
      <c r="M375" s="1060"/>
      <c r="N375" s="229"/>
      <c r="O375" s="230"/>
      <c r="P375" s="44" t="s">
        <v>1065</v>
      </c>
      <c r="Q375" s="230"/>
      <c r="R375" s="230"/>
      <c r="S375" s="230"/>
      <c r="T375" s="230"/>
      <c r="U375" s="230"/>
      <c r="V375" s="230"/>
      <c r="W375" s="230"/>
      <c r="X375" s="230"/>
      <c r="Y375" s="230"/>
      <c r="Z375" s="230"/>
      <c r="AA375" s="230"/>
      <c r="AB375" s="230"/>
      <c r="AC375" s="230"/>
      <c r="AD375" s="230"/>
      <c r="AE375" s="246"/>
      <c r="AF375" s="1331"/>
      <c r="AG375" s="1332"/>
      <c r="AH375" s="1332"/>
      <c r="AI375" s="1331"/>
      <c r="AJ375" s="1332"/>
      <c r="AK375" s="1332"/>
      <c r="AL375" s="771"/>
    </row>
    <row r="376" spans="1:38" ht="11.25" customHeight="1">
      <c r="A376" t="s">
        <v>1021</v>
      </c>
      <c r="B376" t="s">
        <v>22</v>
      </c>
      <c r="E376" s="556"/>
      <c r="F376" s="1354"/>
      <c r="G376" s="1304" t="s">
        <v>103</v>
      </c>
      <c r="H376" s="1327" t="s">
        <v>161</v>
      </c>
      <c r="I376" s="1328" t="s">
        <v>1053</v>
      </c>
      <c r="J376" s="1329" t="s">
        <v>22</v>
      </c>
      <c r="K376" s="1330" t="s">
        <v>1117</v>
      </c>
      <c r="L376" s="1058" t="s">
        <v>19</v>
      </c>
      <c r="M376" s="1060"/>
      <c r="N376" s="241"/>
      <c r="O376" s="242" t="s">
        <v>387</v>
      </c>
      <c r="P376" s="243"/>
      <c r="Q376" s="243"/>
      <c r="R376" s="243"/>
      <c r="S376" s="243"/>
      <c r="T376" s="243"/>
      <c r="U376" s="243"/>
      <c r="V376" s="243"/>
      <c r="W376" s="243"/>
      <c r="X376" s="243"/>
      <c r="Y376" s="243"/>
      <c r="Z376" s="243"/>
      <c r="AA376" s="243"/>
      <c r="AB376" s="243"/>
      <c r="AC376" s="243"/>
      <c r="AD376" s="243"/>
      <c r="AE376" s="243"/>
      <c r="AF376" s="1331">
        <v>3</v>
      </c>
      <c r="AG376" s="1332" t="s">
        <v>1055</v>
      </c>
      <c r="AH376" s="1332" t="s">
        <v>1093</v>
      </c>
      <c r="AI376" s="1331">
        <v>3</v>
      </c>
      <c r="AJ376" s="1332" t="s">
        <v>1055</v>
      </c>
      <c r="AK376" s="1332" t="s">
        <v>1093</v>
      </c>
      <c r="AL376" s="771"/>
    </row>
    <row r="377" spans="1:38" ht="11.25" customHeight="1">
      <c r="A377" t="s">
        <v>1021</v>
      </c>
      <c r="E377" s="556"/>
      <c r="F377" s="1354"/>
      <c r="G377" s="1326"/>
      <c r="H377" s="1327" t="s">
        <v>116</v>
      </c>
      <c r="I377" s="1328"/>
      <c r="J377" s="1329"/>
      <c r="K377" s="1330"/>
      <c r="L377" s="1058"/>
      <c r="M377" s="1060"/>
      <c r="N377" s="1333"/>
      <c r="O377" s="1334">
        <v>1</v>
      </c>
      <c r="P377" s="1335" t="s">
        <v>61</v>
      </c>
      <c r="Q377" s="1339" t="s">
        <v>1057</v>
      </c>
      <c r="R377" s="1340" t="s">
        <v>1058</v>
      </c>
      <c r="S377" s="1340" t="s">
        <v>99</v>
      </c>
      <c r="T377" s="1340" t="s">
        <v>99</v>
      </c>
      <c r="U377" s="1340" t="s">
        <v>100</v>
      </c>
      <c r="V377" s="1340" t="s">
        <v>1059</v>
      </c>
      <c r="W377" s="1340" t="s">
        <v>1060</v>
      </c>
      <c r="X377" s="1340" t="s">
        <v>1061</v>
      </c>
      <c r="Y377" s="1340" t="s">
        <v>1062</v>
      </c>
      <c r="Z377" s="229"/>
      <c r="AA377" s="230"/>
      <c r="AB377" s="230"/>
      <c r="AC377" s="231"/>
      <c r="AD377" s="231"/>
      <c r="AE377" s="244"/>
      <c r="AF377" s="1331"/>
      <c r="AG377" s="1332"/>
      <c r="AH377" s="1332"/>
      <c r="AI377" s="1331"/>
      <c r="AJ377" s="1332"/>
      <c r="AK377" s="1332"/>
      <c r="AL377" s="771"/>
    </row>
    <row r="378" spans="1:38" ht="11.25" customHeight="1">
      <c r="A378" t="s">
        <v>1021</v>
      </c>
      <c r="E378" s="556"/>
      <c r="F378" s="1354"/>
      <c r="G378" s="1326"/>
      <c r="H378" s="1327" t="s">
        <v>116</v>
      </c>
      <c r="I378" s="1328"/>
      <c r="J378" s="1329"/>
      <c r="K378" s="1330"/>
      <c r="L378" s="1058"/>
      <c r="M378" s="1060"/>
      <c r="N378" s="1333"/>
      <c r="O378" s="1334"/>
      <c r="P378" s="1336"/>
      <c r="Q378" s="1339"/>
      <c r="R378" s="1323"/>
      <c r="S378" s="1338"/>
      <c r="T378" s="1323"/>
      <c r="U378" s="1323"/>
      <c r="V378" s="1323"/>
      <c r="W378" s="1323"/>
      <c r="X378" s="1323"/>
      <c r="Y378" s="1323"/>
      <c r="AA378" s="777">
        <v>1</v>
      </c>
      <c r="AB378" s="778" t="s">
        <v>1063</v>
      </c>
      <c r="AC378" s="236">
        <v>4682</v>
      </c>
      <c r="AD378" s="778" t="str">
        <f>AB378</f>
        <v xml:space="preserve">  Кредиты</v>
      </c>
      <c r="AE378" s="236">
        <f>AC378</f>
        <v>4682</v>
      </c>
      <c r="AF378" s="1331"/>
      <c r="AG378" s="1332"/>
      <c r="AH378" s="1332"/>
      <c r="AI378" s="1331"/>
      <c r="AJ378" s="1332"/>
      <c r="AK378" s="1332"/>
      <c r="AL378" s="771"/>
    </row>
    <row r="379" spans="1:38" ht="11.25" customHeight="1">
      <c r="A379" t="s">
        <v>1021</v>
      </c>
      <c r="E379" s="556"/>
      <c r="F379" s="1354"/>
      <c r="G379" s="1326"/>
      <c r="H379" s="1327" t="s">
        <v>116</v>
      </c>
      <c r="I379" s="1328"/>
      <c r="J379" s="1329"/>
      <c r="K379" s="1330"/>
      <c r="L379" s="1058"/>
      <c r="M379" s="1060"/>
      <c r="N379" s="1333"/>
      <c r="O379" s="1334"/>
      <c r="P379" s="1337"/>
      <c r="Q379" s="1339"/>
      <c r="R379" s="1323"/>
      <c r="S379" s="1338"/>
      <c r="T379" s="1323"/>
      <c r="U379" s="1323"/>
      <c r="V379" s="1323"/>
      <c r="W379" s="1323"/>
      <c r="X379" s="1323"/>
      <c r="Y379" s="1323"/>
      <c r="Z379" s="229"/>
      <c r="AA379" s="230"/>
      <c r="AB379" s="44" t="s">
        <v>1064</v>
      </c>
      <c r="AC379" s="231"/>
      <c r="AD379" s="231"/>
      <c r="AE379" s="245"/>
      <c r="AF379" s="1331"/>
      <c r="AG379" s="1332"/>
      <c r="AH379" s="1332"/>
      <c r="AI379" s="1331"/>
      <c r="AJ379" s="1332"/>
      <c r="AK379" s="1332"/>
      <c r="AL379" s="771"/>
    </row>
    <row r="380" spans="1:38" ht="11.25" customHeight="1">
      <c r="A380" t="s">
        <v>1021</v>
      </c>
      <c r="E380" s="556"/>
      <c r="F380" s="1354"/>
      <c r="G380" s="1326"/>
      <c r="H380" s="1327" t="s">
        <v>116</v>
      </c>
      <c r="I380" s="1328"/>
      <c r="J380" s="1329"/>
      <c r="K380" s="1330"/>
      <c r="L380" s="1058"/>
      <c r="M380" s="1060"/>
      <c r="N380" s="229"/>
      <c r="O380" s="230"/>
      <c r="P380" s="44" t="s">
        <v>1065</v>
      </c>
      <c r="Q380" s="230"/>
      <c r="R380" s="230"/>
      <c r="S380" s="230"/>
      <c r="T380" s="230"/>
      <c r="U380" s="230"/>
      <c r="V380" s="230"/>
      <c r="W380" s="230"/>
      <c r="X380" s="230"/>
      <c r="Y380" s="230"/>
      <c r="Z380" s="230"/>
      <c r="AA380" s="230"/>
      <c r="AB380" s="230"/>
      <c r="AC380" s="230"/>
      <c r="AD380" s="230"/>
      <c r="AE380" s="246"/>
      <c r="AF380" s="1331"/>
      <c r="AG380" s="1332"/>
      <c r="AH380" s="1332"/>
      <c r="AI380" s="1331"/>
      <c r="AJ380" s="1332"/>
      <c r="AK380" s="1332"/>
      <c r="AL380" s="771"/>
    </row>
    <row r="381" spans="1:38" ht="11.25" customHeight="1">
      <c r="A381" t="s">
        <v>1021</v>
      </c>
      <c r="B381" t="s">
        <v>22</v>
      </c>
      <c r="E381" s="556"/>
      <c r="F381" s="1354"/>
      <c r="G381" s="1304" t="s">
        <v>103</v>
      </c>
      <c r="H381" s="1327" t="s">
        <v>162</v>
      </c>
      <c r="I381" s="1328" t="s">
        <v>1053</v>
      </c>
      <c r="J381" s="1329" t="s">
        <v>22</v>
      </c>
      <c r="K381" s="1330" t="s">
        <v>1113</v>
      </c>
      <c r="L381" s="1058" t="s">
        <v>19</v>
      </c>
      <c r="M381" s="1060"/>
      <c r="N381" s="241"/>
      <c r="O381" s="242" t="s">
        <v>387</v>
      </c>
      <c r="P381" s="243"/>
      <c r="Q381" s="243"/>
      <c r="R381" s="243"/>
      <c r="S381" s="243"/>
      <c r="T381" s="243"/>
      <c r="U381" s="243"/>
      <c r="V381" s="243"/>
      <c r="W381" s="243"/>
      <c r="X381" s="243"/>
      <c r="Y381" s="243"/>
      <c r="Z381" s="243"/>
      <c r="AA381" s="243"/>
      <c r="AB381" s="243"/>
      <c r="AC381" s="243"/>
      <c r="AD381" s="243"/>
      <c r="AE381" s="243"/>
      <c r="AF381" s="1331">
        <v>1</v>
      </c>
      <c r="AG381" s="1332" t="s">
        <v>1055</v>
      </c>
      <c r="AH381" s="1332" t="s">
        <v>1095</v>
      </c>
      <c r="AI381" s="1331">
        <v>1</v>
      </c>
      <c r="AJ381" s="1332" t="s">
        <v>1055</v>
      </c>
      <c r="AK381" s="1332" t="s">
        <v>1095</v>
      </c>
      <c r="AL381" s="771"/>
    </row>
    <row r="382" spans="1:38" ht="11.25" customHeight="1">
      <c r="A382" t="s">
        <v>1021</v>
      </c>
      <c r="E382" s="556"/>
      <c r="F382" s="1354"/>
      <c r="G382" s="1326"/>
      <c r="H382" s="1327" t="s">
        <v>161</v>
      </c>
      <c r="I382" s="1328"/>
      <c r="J382" s="1329"/>
      <c r="K382" s="1330"/>
      <c r="L382" s="1058"/>
      <c r="M382" s="1060"/>
      <c r="N382" s="1333"/>
      <c r="O382" s="1334">
        <v>1</v>
      </c>
      <c r="P382" s="1335" t="s">
        <v>61</v>
      </c>
      <c r="Q382" s="1339" t="s">
        <v>1069</v>
      </c>
      <c r="R382" s="1340" t="s">
        <v>1058</v>
      </c>
      <c r="S382" s="1340" t="s">
        <v>99</v>
      </c>
      <c r="T382" s="1340" t="s">
        <v>99</v>
      </c>
      <c r="U382" s="1340" t="s">
        <v>100</v>
      </c>
      <c r="V382" s="1340" t="s">
        <v>1059</v>
      </c>
      <c r="W382" s="1340" t="s">
        <v>1060</v>
      </c>
      <c r="X382" s="1340" t="s">
        <v>1070</v>
      </c>
      <c r="Y382" s="1340" t="s">
        <v>1071</v>
      </c>
      <c r="Z382" s="229"/>
      <c r="AA382" s="230"/>
      <c r="AB382" s="230"/>
      <c r="AC382" s="231"/>
      <c r="AD382" s="231"/>
      <c r="AE382" s="244"/>
      <c r="AF382" s="1331"/>
      <c r="AG382" s="1332"/>
      <c r="AH382" s="1332"/>
      <c r="AI382" s="1331"/>
      <c r="AJ382" s="1332"/>
      <c r="AK382" s="1332"/>
      <c r="AL382" s="771"/>
    </row>
    <row r="383" spans="1:38" ht="11.25" customHeight="1">
      <c r="A383" t="s">
        <v>1021</v>
      </c>
      <c r="E383" s="556"/>
      <c r="F383" s="1354"/>
      <c r="G383" s="1326"/>
      <c r="H383" s="1327" t="s">
        <v>161</v>
      </c>
      <c r="I383" s="1328"/>
      <c r="J383" s="1329"/>
      <c r="K383" s="1330"/>
      <c r="L383" s="1058"/>
      <c r="M383" s="1060"/>
      <c r="N383" s="1333"/>
      <c r="O383" s="1334"/>
      <c r="P383" s="1336"/>
      <c r="Q383" s="1339"/>
      <c r="R383" s="1323"/>
      <c r="S383" s="1338"/>
      <c r="T383" s="1323"/>
      <c r="U383" s="1323"/>
      <c r="V383" s="1323"/>
      <c r="W383" s="1323"/>
      <c r="X383" s="1323"/>
      <c r="Y383" s="1323"/>
      <c r="AA383" s="777">
        <v>1</v>
      </c>
      <c r="AB383" s="778" t="s">
        <v>1063</v>
      </c>
      <c r="AC383" s="236">
        <v>10689</v>
      </c>
      <c r="AD383" s="778" t="str">
        <f>AB383</f>
        <v xml:space="preserve">  Кредиты</v>
      </c>
      <c r="AE383" s="236">
        <f>AC383</f>
        <v>10689</v>
      </c>
      <c r="AF383" s="1331"/>
      <c r="AG383" s="1332"/>
      <c r="AH383" s="1332"/>
      <c r="AI383" s="1331"/>
      <c r="AJ383" s="1332"/>
      <c r="AK383" s="1332"/>
      <c r="AL383" s="771"/>
    </row>
    <row r="384" spans="1:38" ht="11.25" customHeight="1">
      <c r="A384" t="s">
        <v>1021</v>
      </c>
      <c r="E384" s="556"/>
      <c r="F384" s="1354"/>
      <c r="G384" s="1326"/>
      <c r="H384" s="1327" t="s">
        <v>161</v>
      </c>
      <c r="I384" s="1328"/>
      <c r="J384" s="1329"/>
      <c r="K384" s="1330"/>
      <c r="L384" s="1058"/>
      <c r="M384" s="1060"/>
      <c r="N384" s="1333"/>
      <c r="O384" s="1334"/>
      <c r="P384" s="1337"/>
      <c r="Q384" s="1339"/>
      <c r="R384" s="1323"/>
      <c r="S384" s="1338"/>
      <c r="T384" s="1323"/>
      <c r="U384" s="1323"/>
      <c r="V384" s="1323"/>
      <c r="W384" s="1323"/>
      <c r="X384" s="1323"/>
      <c r="Y384" s="1323"/>
      <c r="Z384" s="229"/>
      <c r="AA384" s="230"/>
      <c r="AB384" s="44" t="s">
        <v>1064</v>
      </c>
      <c r="AC384" s="231"/>
      <c r="AD384" s="231"/>
      <c r="AE384" s="245"/>
      <c r="AF384" s="1331"/>
      <c r="AG384" s="1332"/>
      <c r="AH384" s="1332"/>
      <c r="AI384" s="1331"/>
      <c r="AJ384" s="1332"/>
      <c r="AK384" s="1332"/>
      <c r="AL384" s="771"/>
    </row>
    <row r="385" spans="1:38" ht="11.25" customHeight="1">
      <c r="A385" t="s">
        <v>1021</v>
      </c>
      <c r="E385" s="556"/>
      <c r="F385" s="1354"/>
      <c r="G385" s="1326"/>
      <c r="H385" s="1327" t="s">
        <v>161</v>
      </c>
      <c r="I385" s="1328"/>
      <c r="J385" s="1329"/>
      <c r="K385" s="1330"/>
      <c r="L385" s="1058"/>
      <c r="M385" s="1060"/>
      <c r="N385" s="229"/>
      <c r="O385" s="230"/>
      <c r="P385" s="44" t="s">
        <v>1065</v>
      </c>
      <c r="Q385" s="230"/>
      <c r="R385" s="230"/>
      <c r="S385" s="230"/>
      <c r="T385" s="230"/>
      <c r="U385" s="230"/>
      <c r="V385" s="230"/>
      <c r="W385" s="230"/>
      <c r="X385" s="230"/>
      <c r="Y385" s="230"/>
      <c r="Z385" s="230"/>
      <c r="AA385" s="230"/>
      <c r="AB385" s="230"/>
      <c r="AC385" s="230"/>
      <c r="AD385" s="230"/>
      <c r="AE385" s="246"/>
      <c r="AF385" s="1331"/>
      <c r="AG385" s="1332"/>
      <c r="AH385" s="1332"/>
      <c r="AI385" s="1331"/>
      <c r="AJ385" s="1332"/>
      <c r="AK385" s="1332"/>
      <c r="AL385" s="771"/>
    </row>
    <row r="386" spans="1:38" ht="11.25" customHeight="1">
      <c r="A386" t="s">
        <v>1021</v>
      </c>
      <c r="B386" t="s">
        <v>22</v>
      </c>
      <c r="E386" s="556"/>
      <c r="F386" s="1354"/>
      <c r="G386" s="1304" t="s">
        <v>103</v>
      </c>
      <c r="H386" s="1327" t="s">
        <v>163</v>
      </c>
      <c r="I386" s="1328" t="s">
        <v>1053</v>
      </c>
      <c r="J386" s="1329" t="s">
        <v>22</v>
      </c>
      <c r="K386" s="1330" t="s">
        <v>1119</v>
      </c>
      <c r="L386" s="1058" t="s">
        <v>19</v>
      </c>
      <c r="M386" s="1060"/>
      <c r="N386" s="241"/>
      <c r="O386" s="242" t="s">
        <v>387</v>
      </c>
      <c r="P386" s="243"/>
      <c r="Q386" s="243"/>
      <c r="R386" s="243"/>
      <c r="S386" s="243"/>
      <c r="T386" s="243"/>
      <c r="U386" s="243"/>
      <c r="V386" s="243"/>
      <c r="W386" s="243"/>
      <c r="X386" s="243"/>
      <c r="Y386" s="243"/>
      <c r="Z386" s="243"/>
      <c r="AA386" s="243"/>
      <c r="AB386" s="243"/>
      <c r="AC386" s="243"/>
      <c r="AD386" s="243"/>
      <c r="AE386" s="243"/>
      <c r="AF386" s="1331">
        <v>1</v>
      </c>
      <c r="AG386" s="1332" t="s">
        <v>1055</v>
      </c>
      <c r="AH386" s="1332" t="s">
        <v>1095</v>
      </c>
      <c r="AI386" s="1331">
        <v>1</v>
      </c>
      <c r="AJ386" s="1332" t="s">
        <v>1055</v>
      </c>
      <c r="AK386" s="1332" t="s">
        <v>1095</v>
      </c>
      <c r="AL386" s="771"/>
    </row>
    <row r="387" spans="1:38" ht="11.25" customHeight="1">
      <c r="A387" t="s">
        <v>1021</v>
      </c>
      <c r="E387" s="556"/>
      <c r="F387" s="1354"/>
      <c r="G387" s="1326"/>
      <c r="H387" s="1327" t="s">
        <v>162</v>
      </c>
      <c r="I387" s="1328"/>
      <c r="J387" s="1329"/>
      <c r="K387" s="1330"/>
      <c r="L387" s="1058"/>
      <c r="M387" s="1060"/>
      <c r="N387" s="1333"/>
      <c r="O387" s="1334">
        <v>1</v>
      </c>
      <c r="P387" s="1335" t="s">
        <v>61</v>
      </c>
      <c r="Q387" s="1339" t="s">
        <v>1074</v>
      </c>
      <c r="R387" s="1340" t="s">
        <v>1058</v>
      </c>
      <c r="S387" s="1340" t="s">
        <v>99</v>
      </c>
      <c r="T387" s="1340" t="s">
        <v>99</v>
      </c>
      <c r="U387" s="1340" t="s">
        <v>100</v>
      </c>
      <c r="V387" s="1340" t="s">
        <v>1059</v>
      </c>
      <c r="W387" s="1340" t="s">
        <v>1060</v>
      </c>
      <c r="X387" s="1340" t="s">
        <v>1070</v>
      </c>
      <c r="Y387" s="1340" t="s">
        <v>1075</v>
      </c>
      <c r="Z387" s="229"/>
      <c r="AA387" s="230"/>
      <c r="AB387" s="230"/>
      <c r="AC387" s="231"/>
      <c r="AD387" s="231"/>
      <c r="AE387" s="244"/>
      <c r="AF387" s="1331"/>
      <c r="AG387" s="1332"/>
      <c r="AH387" s="1332"/>
      <c r="AI387" s="1331"/>
      <c r="AJ387" s="1332"/>
      <c r="AK387" s="1332"/>
      <c r="AL387" s="771"/>
    </row>
    <row r="388" spans="1:38" ht="11.25" customHeight="1">
      <c r="A388" t="s">
        <v>1021</v>
      </c>
      <c r="E388" s="556"/>
      <c r="F388" s="1354"/>
      <c r="G388" s="1326"/>
      <c r="H388" s="1327" t="s">
        <v>162</v>
      </c>
      <c r="I388" s="1328"/>
      <c r="J388" s="1329"/>
      <c r="K388" s="1330"/>
      <c r="L388" s="1058"/>
      <c r="M388" s="1060"/>
      <c r="N388" s="1333"/>
      <c r="O388" s="1334"/>
      <c r="P388" s="1336"/>
      <c r="Q388" s="1339"/>
      <c r="R388" s="1323"/>
      <c r="S388" s="1338"/>
      <c r="T388" s="1323"/>
      <c r="U388" s="1323"/>
      <c r="V388" s="1323"/>
      <c r="W388" s="1323"/>
      <c r="X388" s="1323"/>
      <c r="Y388" s="1323"/>
      <c r="AA388" s="777">
        <v>1</v>
      </c>
      <c r="AB388" s="778" t="s">
        <v>1063</v>
      </c>
      <c r="AC388" s="236">
        <v>11430</v>
      </c>
      <c r="AD388" s="778" t="str">
        <f>AB388</f>
        <v xml:space="preserve">  Кредиты</v>
      </c>
      <c r="AE388" s="236">
        <f>AC388</f>
        <v>11430</v>
      </c>
      <c r="AF388" s="1331"/>
      <c r="AG388" s="1332"/>
      <c r="AH388" s="1332"/>
      <c r="AI388" s="1331"/>
      <c r="AJ388" s="1332"/>
      <c r="AK388" s="1332"/>
      <c r="AL388" s="771"/>
    </row>
    <row r="389" spans="1:38" ht="11.25" customHeight="1">
      <c r="A389" t="s">
        <v>1021</v>
      </c>
      <c r="E389" s="556"/>
      <c r="F389" s="1354"/>
      <c r="G389" s="1326"/>
      <c r="H389" s="1327" t="s">
        <v>162</v>
      </c>
      <c r="I389" s="1328"/>
      <c r="J389" s="1329"/>
      <c r="K389" s="1330"/>
      <c r="L389" s="1058"/>
      <c r="M389" s="1060"/>
      <c r="N389" s="1333"/>
      <c r="O389" s="1334"/>
      <c r="P389" s="1337"/>
      <c r="Q389" s="1339"/>
      <c r="R389" s="1323"/>
      <c r="S389" s="1338"/>
      <c r="T389" s="1323"/>
      <c r="U389" s="1323"/>
      <c r="V389" s="1323"/>
      <c r="W389" s="1323"/>
      <c r="X389" s="1323"/>
      <c r="Y389" s="1323"/>
      <c r="Z389" s="229"/>
      <c r="AA389" s="230"/>
      <c r="AB389" s="44" t="s">
        <v>1064</v>
      </c>
      <c r="AC389" s="231"/>
      <c r="AD389" s="231"/>
      <c r="AE389" s="245"/>
      <c r="AF389" s="1331"/>
      <c r="AG389" s="1332"/>
      <c r="AH389" s="1332"/>
      <c r="AI389" s="1331"/>
      <c r="AJ389" s="1332"/>
      <c r="AK389" s="1332"/>
      <c r="AL389" s="771"/>
    </row>
    <row r="390" spans="1:38" ht="11.25" customHeight="1">
      <c r="A390" t="s">
        <v>1021</v>
      </c>
      <c r="E390" s="556"/>
      <c r="F390" s="1354"/>
      <c r="G390" s="1326"/>
      <c r="H390" s="1327" t="s">
        <v>162</v>
      </c>
      <c r="I390" s="1328"/>
      <c r="J390" s="1329"/>
      <c r="K390" s="1330"/>
      <c r="L390" s="1058"/>
      <c r="M390" s="1060"/>
      <c r="N390" s="229"/>
      <c r="O390" s="230"/>
      <c r="P390" s="44" t="s">
        <v>1065</v>
      </c>
      <c r="Q390" s="230"/>
      <c r="R390" s="230"/>
      <c r="S390" s="230"/>
      <c r="T390" s="230"/>
      <c r="U390" s="230"/>
      <c r="V390" s="230"/>
      <c r="W390" s="230"/>
      <c r="X390" s="230"/>
      <c r="Y390" s="230"/>
      <c r="Z390" s="230"/>
      <c r="AA390" s="230"/>
      <c r="AB390" s="230"/>
      <c r="AC390" s="230"/>
      <c r="AD390" s="230"/>
      <c r="AE390" s="246"/>
      <c r="AF390" s="1331"/>
      <c r="AG390" s="1332"/>
      <c r="AH390" s="1332"/>
      <c r="AI390" s="1331"/>
      <c r="AJ390" s="1332"/>
      <c r="AK390" s="1332"/>
      <c r="AL390" s="771"/>
    </row>
    <row r="391" spans="1:38" ht="12" customHeight="1">
      <c r="A391" t="s">
        <v>1021</v>
      </c>
      <c r="E391" s="556"/>
      <c r="F391" s="1355"/>
      <c r="G391" s="774"/>
      <c r="H391" s="774"/>
      <c r="I391" s="1352" t="s">
        <v>1083</v>
      </c>
      <c r="J391" s="1352"/>
      <c r="K391" s="1352"/>
      <c r="L391" s="775"/>
      <c r="M391" s="775"/>
      <c r="N391" s="776"/>
      <c r="O391" s="776"/>
      <c r="P391" s="776"/>
      <c r="Q391" s="776"/>
      <c r="R391" s="776"/>
      <c r="S391" s="776"/>
      <c r="T391" s="776"/>
      <c r="U391" s="776"/>
      <c r="V391" s="776"/>
      <c r="W391" s="776"/>
      <c r="X391" s="776"/>
      <c r="Y391" s="776"/>
      <c r="Z391" s="776"/>
      <c r="AA391" s="776"/>
      <c r="AB391" s="776"/>
      <c r="AC391" s="776"/>
      <c r="AD391" s="776"/>
      <c r="AE391" s="776"/>
      <c r="AF391" s="776"/>
      <c r="AG391" s="775"/>
      <c r="AH391" s="775"/>
      <c r="AI391" s="776"/>
      <c r="AJ391" s="775"/>
      <c r="AK391" s="776"/>
      <c r="AL391" s="771"/>
    </row>
    <row r="392" spans="1:38" ht="0.75" customHeight="1">
      <c r="A392" t="s">
        <v>1021</v>
      </c>
      <c r="E392" s="556"/>
      <c r="F392" s="1353">
        <v>2021</v>
      </c>
      <c r="G392" s="1327"/>
      <c r="H392" s="1357" t="s">
        <v>387</v>
      </c>
      <c r="I392" s="1358"/>
      <c r="J392" s="1350"/>
      <c r="K392" s="1350"/>
      <c r="L392" s="1351"/>
      <c r="M392" s="1200"/>
      <c r="N392" s="214"/>
      <c r="O392" s="215"/>
      <c r="P392" s="214"/>
      <c r="Q392" s="214"/>
      <c r="R392" s="214"/>
      <c r="S392" s="214"/>
      <c r="T392" s="214"/>
      <c r="U392" s="214"/>
      <c r="V392" s="214"/>
      <c r="W392" s="214"/>
      <c r="X392" s="214"/>
      <c r="Y392" s="214"/>
      <c r="Z392" s="214"/>
      <c r="AA392" s="214"/>
      <c r="AB392" s="214"/>
      <c r="AC392" s="214"/>
      <c r="AD392" s="214"/>
      <c r="AE392" s="214"/>
      <c r="AF392" s="1356"/>
      <c r="AG392" s="1351"/>
      <c r="AH392" s="1351"/>
      <c r="AI392" s="1356"/>
      <c r="AJ392" s="1351"/>
      <c r="AK392" s="1351"/>
      <c r="AL392" s="771"/>
    </row>
    <row r="393" spans="1:38" ht="0.75" customHeight="1">
      <c r="A393" t="s">
        <v>1021</v>
      </c>
      <c r="E393" s="556"/>
      <c r="F393" s="1353"/>
      <c r="G393" s="1327"/>
      <c r="H393" s="1357"/>
      <c r="I393" s="1358"/>
      <c r="J393" s="1350"/>
      <c r="K393" s="1350"/>
      <c r="L393" s="1351"/>
      <c r="M393" s="1200"/>
      <c r="N393" s="1359"/>
      <c r="O393" s="1360"/>
      <c r="P393" s="1347"/>
      <c r="Q393" s="1350"/>
      <c r="R393" s="1350"/>
      <c r="S393" s="1350"/>
      <c r="T393" s="1350"/>
      <c r="U393" s="1350"/>
      <c r="V393" s="1350"/>
      <c r="W393" s="1350"/>
      <c r="X393" s="1350"/>
      <c r="Y393" s="1350"/>
      <c r="Z393" s="216"/>
      <c r="AA393" s="217"/>
      <c r="AB393" s="217"/>
      <c r="AC393" s="218"/>
      <c r="AD393" s="218"/>
      <c r="AE393" s="219"/>
      <c r="AF393" s="1356"/>
      <c r="AG393" s="1351"/>
      <c r="AH393" s="1351"/>
      <c r="AI393" s="1356"/>
      <c r="AJ393" s="1351"/>
      <c r="AK393" s="1351"/>
      <c r="AL393" s="771"/>
    </row>
    <row r="394" spans="1:38" ht="0.75" customHeight="1">
      <c r="A394" t="s">
        <v>1021</v>
      </c>
      <c r="E394" s="556"/>
      <c r="F394" s="1353"/>
      <c r="G394" s="1327"/>
      <c r="H394" s="1357"/>
      <c r="I394" s="1358"/>
      <c r="J394" s="1350"/>
      <c r="K394" s="1350"/>
      <c r="L394" s="1351"/>
      <c r="M394" s="1200"/>
      <c r="N394" s="1359"/>
      <c r="O394" s="1360"/>
      <c r="P394" s="1348"/>
      <c r="Q394" s="1350"/>
      <c r="R394" s="1350"/>
      <c r="S394" s="1350"/>
      <c r="T394" s="1350"/>
      <c r="U394" s="1350"/>
      <c r="V394" s="1350"/>
      <c r="W394" s="1350"/>
      <c r="X394" s="1350"/>
      <c r="Y394" s="1350"/>
      <c r="AA394" s="772"/>
      <c r="AB394" s="773"/>
      <c r="AC394" s="220"/>
      <c r="AD394" s="773"/>
      <c r="AE394" s="220"/>
      <c r="AF394" s="1356"/>
      <c r="AG394" s="1351"/>
      <c r="AH394" s="1351"/>
      <c r="AI394" s="1356"/>
      <c r="AJ394" s="1351"/>
      <c r="AK394" s="1351"/>
      <c r="AL394" s="771"/>
    </row>
    <row r="395" spans="1:38" ht="0.75" customHeight="1">
      <c r="A395" t="s">
        <v>1021</v>
      </c>
      <c r="E395" s="556"/>
      <c r="F395" s="1353"/>
      <c r="G395" s="1327"/>
      <c r="H395" s="1357"/>
      <c r="I395" s="1358"/>
      <c r="J395" s="1350"/>
      <c r="K395" s="1350"/>
      <c r="L395" s="1351"/>
      <c r="M395" s="1200"/>
      <c r="N395" s="1359"/>
      <c r="O395" s="1360"/>
      <c r="P395" s="1349"/>
      <c r="Q395" s="1350"/>
      <c r="R395" s="1350"/>
      <c r="S395" s="1350"/>
      <c r="T395" s="1350"/>
      <c r="U395" s="1350"/>
      <c r="V395" s="1350"/>
      <c r="W395" s="1350"/>
      <c r="X395" s="1350"/>
      <c r="Y395" s="1350"/>
      <c r="Z395" s="216"/>
      <c r="AA395" s="217"/>
      <c r="AB395" s="221"/>
      <c r="AC395" s="218"/>
      <c r="AD395" s="218"/>
      <c r="AE395" s="222"/>
      <c r="AF395" s="1356"/>
      <c r="AG395" s="1351"/>
      <c r="AH395" s="1351"/>
      <c r="AI395" s="1356"/>
      <c r="AJ395" s="1351"/>
      <c r="AK395" s="1351"/>
      <c r="AL395" s="771"/>
    </row>
    <row r="396" spans="1:38" ht="0.75" customHeight="1">
      <c r="A396" t="s">
        <v>1021</v>
      </c>
      <c r="E396" s="556"/>
      <c r="F396" s="1353"/>
      <c r="G396" s="1327"/>
      <c r="H396" s="1357"/>
      <c r="I396" s="1358"/>
      <c r="J396" s="1350"/>
      <c r="K396" s="1350"/>
      <c r="L396" s="1351"/>
      <c r="M396" s="1200"/>
      <c r="N396" s="217"/>
      <c r="O396" s="217"/>
      <c r="P396" s="221"/>
      <c r="Q396" s="217"/>
      <c r="R396" s="217"/>
      <c r="S396" s="217"/>
      <c r="T396" s="217"/>
      <c r="U396" s="217"/>
      <c r="V396" s="217"/>
      <c r="W396" s="217"/>
      <c r="X396" s="217"/>
      <c r="Y396" s="217"/>
      <c r="Z396" s="217"/>
      <c r="AA396" s="217"/>
      <c r="AB396" s="217"/>
      <c r="AC396" s="217"/>
      <c r="AD396" s="217"/>
      <c r="AE396" s="223"/>
      <c r="AF396" s="1356"/>
      <c r="AG396" s="1351"/>
      <c r="AH396" s="1351"/>
      <c r="AI396" s="1356"/>
      <c r="AJ396" s="1351"/>
      <c r="AK396" s="1351"/>
      <c r="AL396" s="771"/>
    </row>
    <row r="397" spans="1:38" ht="11.25" customHeight="1">
      <c r="A397" t="s">
        <v>1021</v>
      </c>
      <c r="B397" t="s">
        <v>22</v>
      </c>
      <c r="E397" s="556"/>
      <c r="F397" s="1354"/>
      <c r="G397" s="1304" t="s">
        <v>103</v>
      </c>
      <c r="H397" s="1327" t="s">
        <v>114</v>
      </c>
      <c r="I397" s="1328" t="s">
        <v>1053</v>
      </c>
      <c r="J397" s="1329" t="s">
        <v>22</v>
      </c>
      <c r="K397" s="1330" t="s">
        <v>1092</v>
      </c>
      <c r="L397" s="1058" t="s">
        <v>19</v>
      </c>
      <c r="M397" s="1060"/>
      <c r="N397" s="241"/>
      <c r="O397" s="242" t="s">
        <v>387</v>
      </c>
      <c r="P397" s="243"/>
      <c r="Q397" s="243"/>
      <c r="R397" s="243"/>
      <c r="S397" s="243"/>
      <c r="T397" s="243"/>
      <c r="U397" s="243"/>
      <c r="V397" s="243"/>
      <c r="W397" s="243"/>
      <c r="X397" s="243"/>
      <c r="Y397" s="243"/>
      <c r="Z397" s="243"/>
      <c r="AA397" s="243"/>
      <c r="AB397" s="243"/>
      <c r="AC397" s="243"/>
      <c r="AD397" s="243"/>
      <c r="AE397" s="243"/>
      <c r="AF397" s="1331">
        <v>2</v>
      </c>
      <c r="AG397" s="1332" t="s">
        <v>1055</v>
      </c>
      <c r="AH397" s="1332" t="s">
        <v>1093</v>
      </c>
      <c r="AI397" s="1331">
        <v>2</v>
      </c>
      <c r="AJ397" s="1332" t="s">
        <v>1055</v>
      </c>
      <c r="AK397" s="1332" t="s">
        <v>1093</v>
      </c>
      <c r="AL397" s="771"/>
    </row>
    <row r="398" spans="1:38" ht="11.25" customHeight="1">
      <c r="A398" t="s">
        <v>1021</v>
      </c>
      <c r="E398" s="556"/>
      <c r="F398" s="1354"/>
      <c r="G398" s="1326"/>
      <c r="H398" s="1327" t="s">
        <v>387</v>
      </c>
      <c r="I398" s="1328"/>
      <c r="J398" s="1329"/>
      <c r="K398" s="1330"/>
      <c r="L398" s="1058"/>
      <c r="M398" s="1060"/>
      <c r="N398" s="1333"/>
      <c r="O398" s="1334">
        <v>1</v>
      </c>
      <c r="P398" s="1335" t="s">
        <v>61</v>
      </c>
      <c r="Q398" s="1339" t="s">
        <v>1057</v>
      </c>
      <c r="R398" s="1340" t="s">
        <v>1058</v>
      </c>
      <c r="S398" s="1340" t="s">
        <v>99</v>
      </c>
      <c r="T398" s="1340" t="s">
        <v>99</v>
      </c>
      <c r="U398" s="1340" t="s">
        <v>100</v>
      </c>
      <c r="V398" s="1340" t="s">
        <v>1059</v>
      </c>
      <c r="W398" s="1340" t="s">
        <v>1060</v>
      </c>
      <c r="X398" s="1340" t="s">
        <v>1061</v>
      </c>
      <c r="Y398" s="1340" t="s">
        <v>1062</v>
      </c>
      <c r="Z398" s="229"/>
      <c r="AA398" s="230"/>
      <c r="AB398" s="230"/>
      <c r="AC398" s="231"/>
      <c r="AD398" s="231"/>
      <c r="AE398" s="244"/>
      <c r="AF398" s="1331"/>
      <c r="AG398" s="1332"/>
      <c r="AH398" s="1332"/>
      <c r="AI398" s="1331"/>
      <c r="AJ398" s="1332"/>
      <c r="AK398" s="1332"/>
      <c r="AL398" s="771"/>
    </row>
    <row r="399" spans="1:38" ht="11.25" customHeight="1">
      <c r="A399" t="s">
        <v>1021</v>
      </c>
      <c r="E399" s="556"/>
      <c r="F399" s="1354"/>
      <c r="G399" s="1326"/>
      <c r="H399" s="1327" t="s">
        <v>387</v>
      </c>
      <c r="I399" s="1328"/>
      <c r="J399" s="1329"/>
      <c r="K399" s="1330"/>
      <c r="L399" s="1058"/>
      <c r="M399" s="1060"/>
      <c r="N399" s="1333"/>
      <c r="O399" s="1334"/>
      <c r="P399" s="1336"/>
      <c r="Q399" s="1339"/>
      <c r="R399" s="1323"/>
      <c r="S399" s="1338"/>
      <c r="T399" s="1323"/>
      <c r="U399" s="1323"/>
      <c r="V399" s="1323"/>
      <c r="W399" s="1323"/>
      <c r="X399" s="1323"/>
      <c r="Y399" s="1323"/>
      <c r="AA399" s="777">
        <v>1</v>
      </c>
      <c r="AB399" s="778" t="s">
        <v>1128</v>
      </c>
      <c r="AC399" s="236">
        <v>127990.87591083501</v>
      </c>
      <c r="AD399" s="778" t="str">
        <f>AB399</f>
        <v xml:space="preserve">  Прибыль направляемая на инвестиции</v>
      </c>
      <c r="AE399" s="236">
        <f>AC399</f>
        <v>127990.87591083501</v>
      </c>
      <c r="AF399" s="1331"/>
      <c r="AG399" s="1332"/>
      <c r="AH399" s="1332"/>
      <c r="AI399" s="1331"/>
      <c r="AJ399" s="1332"/>
      <c r="AK399" s="1332"/>
      <c r="AL399" s="771"/>
    </row>
    <row r="400" spans="1:38" ht="11.25" customHeight="1">
      <c r="A400" t="s">
        <v>1021</v>
      </c>
      <c r="E400" s="556"/>
      <c r="F400" s="1326"/>
      <c r="G400" s="1326"/>
      <c r="H400" s="1326"/>
      <c r="I400" s="1326"/>
      <c r="J400" s="1326"/>
      <c r="K400" s="1326"/>
      <c r="L400" s="1326"/>
      <c r="M400" s="1326"/>
      <c r="N400" s="1326"/>
      <c r="O400" s="1326"/>
      <c r="P400" s="1326"/>
      <c r="Q400" s="1326"/>
      <c r="R400" s="1326"/>
      <c r="S400" s="1326"/>
      <c r="T400" s="1326"/>
      <c r="U400" s="1326"/>
      <c r="V400" s="1326"/>
      <c r="W400" s="1326"/>
      <c r="X400" s="1326"/>
      <c r="Y400" s="1326"/>
      <c r="Z400" s="181" t="s">
        <v>103</v>
      </c>
      <c r="AA400" s="779" t="s">
        <v>102</v>
      </c>
      <c r="AB400" s="778" t="s">
        <v>1129</v>
      </c>
      <c r="AC400" s="236">
        <v>53242.124089164601</v>
      </c>
      <c r="AD400" s="778" t="str">
        <f>AB400</f>
        <v xml:space="preserve">     Прочие амортизационные отчисления</v>
      </c>
      <c r="AE400" s="236">
        <f>AC400</f>
        <v>53242.124089164601</v>
      </c>
      <c r="AF400" s="1343"/>
      <c r="AG400" s="1344"/>
      <c r="AH400" s="1344"/>
      <c r="AI400" s="1343"/>
      <c r="AJ400" s="1344"/>
      <c r="AK400" s="1345"/>
      <c r="AL400" s="771"/>
    </row>
    <row r="401" spans="1:38" ht="11.25" customHeight="1">
      <c r="A401" t="s">
        <v>1021</v>
      </c>
      <c r="E401" s="556"/>
      <c r="F401" s="1354"/>
      <c r="G401" s="1326"/>
      <c r="H401" s="1327" t="s">
        <v>387</v>
      </c>
      <c r="I401" s="1328"/>
      <c r="J401" s="1329"/>
      <c r="K401" s="1330"/>
      <c r="L401" s="1058"/>
      <c r="M401" s="1060"/>
      <c r="N401" s="1333"/>
      <c r="O401" s="1334"/>
      <c r="P401" s="1337"/>
      <c r="Q401" s="1339"/>
      <c r="R401" s="1323"/>
      <c r="S401" s="1338"/>
      <c r="T401" s="1323"/>
      <c r="U401" s="1323"/>
      <c r="V401" s="1323"/>
      <c r="W401" s="1323"/>
      <c r="X401" s="1323"/>
      <c r="Y401" s="1323"/>
      <c r="Z401" s="229"/>
      <c r="AA401" s="230"/>
      <c r="AB401" s="44" t="s">
        <v>1064</v>
      </c>
      <c r="AC401" s="231"/>
      <c r="AD401" s="231"/>
      <c r="AE401" s="245"/>
      <c r="AF401" s="1331"/>
      <c r="AG401" s="1332"/>
      <c r="AH401" s="1332"/>
      <c r="AI401" s="1331"/>
      <c r="AJ401" s="1332"/>
      <c r="AK401" s="1332"/>
      <c r="AL401" s="771"/>
    </row>
    <row r="402" spans="1:38" ht="11.25" customHeight="1">
      <c r="A402" t="s">
        <v>1021</v>
      </c>
      <c r="E402" s="556"/>
      <c r="F402" s="1354"/>
      <c r="G402" s="1326"/>
      <c r="H402" s="1327" t="s">
        <v>387</v>
      </c>
      <c r="I402" s="1328"/>
      <c r="J402" s="1329"/>
      <c r="K402" s="1330"/>
      <c r="L402" s="1058"/>
      <c r="M402" s="1060"/>
      <c r="N402" s="229"/>
      <c r="O402" s="230"/>
      <c r="P402" s="44" t="s">
        <v>1065</v>
      </c>
      <c r="Q402" s="230"/>
      <c r="R402" s="230"/>
      <c r="S402" s="230"/>
      <c r="T402" s="230"/>
      <c r="U402" s="230"/>
      <c r="V402" s="230"/>
      <c r="W402" s="230"/>
      <c r="X402" s="230"/>
      <c r="Y402" s="230"/>
      <c r="Z402" s="230"/>
      <c r="AA402" s="230"/>
      <c r="AB402" s="230"/>
      <c r="AC402" s="230"/>
      <c r="AD402" s="230"/>
      <c r="AE402" s="246"/>
      <c r="AF402" s="1331"/>
      <c r="AG402" s="1332"/>
      <c r="AH402" s="1332"/>
      <c r="AI402" s="1331"/>
      <c r="AJ402" s="1332"/>
      <c r="AK402" s="1332"/>
      <c r="AL402" s="771"/>
    </row>
    <row r="403" spans="1:38" ht="11.25" customHeight="1">
      <c r="A403" t="s">
        <v>1021</v>
      </c>
      <c r="B403" t="s">
        <v>22</v>
      </c>
      <c r="E403" s="556"/>
      <c r="F403" s="1354"/>
      <c r="G403" s="1304" t="s">
        <v>103</v>
      </c>
      <c r="H403" s="1327" t="s">
        <v>102</v>
      </c>
      <c r="I403" s="1328" t="s">
        <v>1053</v>
      </c>
      <c r="J403" s="1329" t="s">
        <v>22</v>
      </c>
      <c r="K403" s="1330" t="s">
        <v>1101</v>
      </c>
      <c r="L403" s="1058" t="s">
        <v>19</v>
      </c>
      <c r="M403" s="1060"/>
      <c r="N403" s="241"/>
      <c r="O403" s="242" t="s">
        <v>387</v>
      </c>
      <c r="P403" s="243"/>
      <c r="Q403" s="243"/>
      <c r="R403" s="243"/>
      <c r="S403" s="243"/>
      <c r="T403" s="243"/>
      <c r="U403" s="243"/>
      <c r="V403" s="243"/>
      <c r="W403" s="243"/>
      <c r="X403" s="243"/>
      <c r="Y403" s="243"/>
      <c r="Z403" s="243"/>
      <c r="AA403" s="243"/>
      <c r="AB403" s="243"/>
      <c r="AC403" s="243"/>
      <c r="AD403" s="243"/>
      <c r="AE403" s="243"/>
      <c r="AF403" s="1331">
        <v>6</v>
      </c>
      <c r="AG403" s="1332" t="s">
        <v>1055</v>
      </c>
      <c r="AH403" s="1332" t="s">
        <v>1102</v>
      </c>
      <c r="AI403" s="1331">
        <v>6</v>
      </c>
      <c r="AJ403" s="1332" t="s">
        <v>1055</v>
      </c>
      <c r="AK403" s="1332" t="s">
        <v>1102</v>
      </c>
      <c r="AL403" s="771"/>
    </row>
    <row r="404" spans="1:38" ht="11.25" customHeight="1">
      <c r="A404" t="s">
        <v>1021</v>
      </c>
      <c r="E404" s="556"/>
      <c r="F404" s="1354"/>
      <c r="G404" s="1326"/>
      <c r="H404" s="1327" t="s">
        <v>114</v>
      </c>
      <c r="I404" s="1328"/>
      <c r="J404" s="1329"/>
      <c r="K404" s="1330"/>
      <c r="L404" s="1058"/>
      <c r="M404" s="1060"/>
      <c r="N404" s="1333"/>
      <c r="O404" s="1334">
        <v>1</v>
      </c>
      <c r="P404" s="1335" t="s">
        <v>61</v>
      </c>
      <c r="Q404" s="1339" t="s">
        <v>1103</v>
      </c>
      <c r="R404" s="1340" t="s">
        <v>1104</v>
      </c>
      <c r="S404" s="1340" t="s">
        <v>99</v>
      </c>
      <c r="T404" s="1340" t="s">
        <v>99</v>
      </c>
      <c r="U404" s="1340" t="s">
        <v>100</v>
      </c>
      <c r="V404" s="1340" t="s">
        <v>1059</v>
      </c>
      <c r="W404" s="1340" t="s">
        <v>1060</v>
      </c>
      <c r="X404" s="1340" t="s">
        <v>1105</v>
      </c>
      <c r="Y404" s="1340" t="s">
        <v>1106</v>
      </c>
      <c r="Z404" s="229"/>
      <c r="AA404" s="230"/>
      <c r="AB404" s="230"/>
      <c r="AC404" s="231"/>
      <c r="AD404" s="231"/>
      <c r="AE404" s="244"/>
      <c r="AF404" s="1331"/>
      <c r="AG404" s="1332"/>
      <c r="AH404" s="1332"/>
      <c r="AI404" s="1331"/>
      <c r="AJ404" s="1332"/>
      <c r="AK404" s="1332"/>
      <c r="AL404" s="771"/>
    </row>
    <row r="405" spans="1:38" ht="11.25" customHeight="1">
      <c r="A405" t="s">
        <v>1021</v>
      </c>
      <c r="E405" s="556"/>
      <c r="F405" s="1354"/>
      <c r="G405" s="1326"/>
      <c r="H405" s="1327" t="s">
        <v>114</v>
      </c>
      <c r="I405" s="1328"/>
      <c r="J405" s="1329"/>
      <c r="K405" s="1330"/>
      <c r="L405" s="1058"/>
      <c r="M405" s="1060"/>
      <c r="N405" s="1333"/>
      <c r="O405" s="1334"/>
      <c r="P405" s="1336"/>
      <c r="Q405" s="1339"/>
      <c r="R405" s="1323"/>
      <c r="S405" s="1338"/>
      <c r="T405" s="1323"/>
      <c r="U405" s="1323"/>
      <c r="V405" s="1323"/>
      <c r="W405" s="1323"/>
      <c r="X405" s="1323"/>
      <c r="Y405" s="1323"/>
      <c r="AA405" s="777">
        <v>1</v>
      </c>
      <c r="AB405" s="778" t="s">
        <v>1128</v>
      </c>
      <c r="AC405" s="236">
        <v>8.4746735469259207</v>
      </c>
      <c r="AD405" s="778" t="str">
        <f>AB405</f>
        <v xml:space="preserve">  Прибыль направляемая на инвестиции</v>
      </c>
      <c r="AE405" s="236">
        <f>AC405</f>
        <v>8.4746735469259207</v>
      </c>
      <c r="AF405" s="1331"/>
      <c r="AG405" s="1332"/>
      <c r="AH405" s="1332"/>
      <c r="AI405" s="1331"/>
      <c r="AJ405" s="1332"/>
      <c r="AK405" s="1332"/>
      <c r="AL405" s="771"/>
    </row>
    <row r="406" spans="1:38" ht="11.25" customHeight="1">
      <c r="A406" t="s">
        <v>1021</v>
      </c>
      <c r="E406" s="556"/>
      <c r="F406" s="1326"/>
      <c r="G406" s="1326"/>
      <c r="H406" s="1326"/>
      <c r="I406" s="1326"/>
      <c r="J406" s="1326"/>
      <c r="K406" s="1326"/>
      <c r="L406" s="1326"/>
      <c r="M406" s="1326"/>
      <c r="N406" s="1326"/>
      <c r="O406" s="1326"/>
      <c r="P406" s="1326"/>
      <c r="Q406" s="1326"/>
      <c r="R406" s="1326"/>
      <c r="S406" s="1326"/>
      <c r="T406" s="1326"/>
      <c r="U406" s="1326"/>
      <c r="V406" s="1326"/>
      <c r="W406" s="1326"/>
      <c r="X406" s="1326"/>
      <c r="Y406" s="1326"/>
      <c r="Z406" s="181" t="s">
        <v>103</v>
      </c>
      <c r="AA406" s="779" t="s">
        <v>102</v>
      </c>
      <c r="AB406" s="778" t="s">
        <v>1129</v>
      </c>
      <c r="AC406" s="236">
        <v>3.5253264530740802</v>
      </c>
      <c r="AD406" s="778" t="str">
        <f>AB406</f>
        <v xml:space="preserve">     Прочие амортизационные отчисления</v>
      </c>
      <c r="AE406" s="236">
        <f>AC406</f>
        <v>3.5253264530740802</v>
      </c>
      <c r="AF406" s="1343"/>
      <c r="AG406" s="1344"/>
      <c r="AH406" s="1344"/>
      <c r="AI406" s="1343"/>
      <c r="AJ406" s="1344"/>
      <c r="AK406" s="1345"/>
      <c r="AL406" s="771"/>
    </row>
    <row r="407" spans="1:38" ht="11.25" customHeight="1">
      <c r="A407" t="s">
        <v>1021</v>
      </c>
      <c r="E407" s="556"/>
      <c r="F407" s="1354"/>
      <c r="G407" s="1326"/>
      <c r="H407" s="1327" t="s">
        <v>114</v>
      </c>
      <c r="I407" s="1328"/>
      <c r="J407" s="1329"/>
      <c r="K407" s="1330"/>
      <c r="L407" s="1058"/>
      <c r="M407" s="1060"/>
      <c r="N407" s="1333"/>
      <c r="O407" s="1334"/>
      <c r="P407" s="1337"/>
      <c r="Q407" s="1339"/>
      <c r="R407" s="1323"/>
      <c r="S407" s="1338"/>
      <c r="T407" s="1323"/>
      <c r="U407" s="1323"/>
      <c r="V407" s="1323"/>
      <c r="W407" s="1323"/>
      <c r="X407" s="1323"/>
      <c r="Y407" s="1323"/>
      <c r="Z407" s="229"/>
      <c r="AA407" s="230"/>
      <c r="AB407" s="44" t="s">
        <v>1064</v>
      </c>
      <c r="AC407" s="231"/>
      <c r="AD407" s="231"/>
      <c r="AE407" s="245"/>
      <c r="AF407" s="1331"/>
      <c r="AG407" s="1332"/>
      <c r="AH407" s="1332"/>
      <c r="AI407" s="1331"/>
      <c r="AJ407" s="1332"/>
      <c r="AK407" s="1332"/>
      <c r="AL407" s="771"/>
    </row>
    <row r="408" spans="1:38" ht="11.25" customHeight="1">
      <c r="A408" t="s">
        <v>1021</v>
      </c>
      <c r="E408" s="556"/>
      <c r="F408" s="1354"/>
      <c r="G408" s="1326"/>
      <c r="H408" s="1327" t="s">
        <v>114</v>
      </c>
      <c r="I408" s="1328"/>
      <c r="J408" s="1329"/>
      <c r="K408" s="1330"/>
      <c r="L408" s="1058"/>
      <c r="M408" s="1060"/>
      <c r="N408" s="229"/>
      <c r="O408" s="230"/>
      <c r="P408" s="44" t="s">
        <v>1065</v>
      </c>
      <c r="Q408" s="230"/>
      <c r="R408" s="230"/>
      <c r="S408" s="230"/>
      <c r="T408" s="230"/>
      <c r="U408" s="230"/>
      <c r="V408" s="230"/>
      <c r="W408" s="230"/>
      <c r="X408" s="230"/>
      <c r="Y408" s="230"/>
      <c r="Z408" s="230"/>
      <c r="AA408" s="230"/>
      <c r="AB408" s="230"/>
      <c r="AC408" s="230"/>
      <c r="AD408" s="230"/>
      <c r="AE408" s="246"/>
      <c r="AF408" s="1331"/>
      <c r="AG408" s="1332"/>
      <c r="AH408" s="1332"/>
      <c r="AI408" s="1331"/>
      <c r="AJ408" s="1332"/>
      <c r="AK408" s="1332"/>
      <c r="AL408" s="771"/>
    </row>
    <row r="409" spans="1:38" ht="11.25" customHeight="1">
      <c r="A409" t="s">
        <v>1021</v>
      </c>
      <c r="B409" t="s">
        <v>22</v>
      </c>
      <c r="E409" s="556"/>
      <c r="F409" s="1354"/>
      <c r="G409" s="1304" t="s">
        <v>103</v>
      </c>
      <c r="H409" s="1327" t="s">
        <v>89</v>
      </c>
      <c r="I409" s="1328" t="s">
        <v>1053</v>
      </c>
      <c r="J409" s="1329" t="s">
        <v>22</v>
      </c>
      <c r="K409" s="1330" t="s">
        <v>1107</v>
      </c>
      <c r="L409" s="1058" t="s">
        <v>19</v>
      </c>
      <c r="M409" s="1060"/>
      <c r="N409" s="241"/>
      <c r="O409" s="242" t="s">
        <v>387</v>
      </c>
      <c r="P409" s="243"/>
      <c r="Q409" s="243"/>
      <c r="R409" s="243"/>
      <c r="S409" s="243"/>
      <c r="T409" s="243"/>
      <c r="U409" s="243"/>
      <c r="V409" s="243"/>
      <c r="W409" s="243"/>
      <c r="X409" s="243"/>
      <c r="Y409" s="243"/>
      <c r="Z409" s="243"/>
      <c r="AA409" s="243"/>
      <c r="AB409" s="243"/>
      <c r="AC409" s="243"/>
      <c r="AD409" s="243"/>
      <c r="AE409" s="243"/>
      <c r="AF409" s="1331">
        <v>1</v>
      </c>
      <c r="AG409" s="1332" t="s">
        <v>1055</v>
      </c>
      <c r="AH409" s="1332" t="s">
        <v>1082</v>
      </c>
      <c r="AI409" s="1331">
        <v>1</v>
      </c>
      <c r="AJ409" s="1332" t="s">
        <v>1055</v>
      </c>
      <c r="AK409" s="1332" t="s">
        <v>1082</v>
      </c>
      <c r="AL409" s="771"/>
    </row>
    <row r="410" spans="1:38" ht="11.25" customHeight="1">
      <c r="A410" t="s">
        <v>1021</v>
      </c>
      <c r="E410" s="556"/>
      <c r="F410" s="1354"/>
      <c r="G410" s="1326"/>
      <c r="H410" s="1327" t="s">
        <v>102</v>
      </c>
      <c r="I410" s="1328"/>
      <c r="J410" s="1329"/>
      <c r="K410" s="1330"/>
      <c r="L410" s="1058"/>
      <c r="M410" s="1060"/>
      <c r="N410" s="1333"/>
      <c r="O410" s="1334">
        <v>1</v>
      </c>
      <c r="P410" s="1335" t="s">
        <v>61</v>
      </c>
      <c r="Q410" s="1339" t="s">
        <v>1069</v>
      </c>
      <c r="R410" s="1340" t="s">
        <v>1058</v>
      </c>
      <c r="S410" s="1340" t="s">
        <v>99</v>
      </c>
      <c r="T410" s="1340" t="s">
        <v>99</v>
      </c>
      <c r="U410" s="1340" t="s">
        <v>100</v>
      </c>
      <c r="V410" s="1340" t="s">
        <v>1059</v>
      </c>
      <c r="W410" s="1340" t="s">
        <v>1060</v>
      </c>
      <c r="X410" s="1340" t="s">
        <v>1070</v>
      </c>
      <c r="Y410" s="1340" t="s">
        <v>1071</v>
      </c>
      <c r="Z410" s="229"/>
      <c r="AA410" s="230"/>
      <c r="AB410" s="230"/>
      <c r="AC410" s="231"/>
      <c r="AD410" s="231"/>
      <c r="AE410" s="244"/>
      <c r="AF410" s="1331"/>
      <c r="AG410" s="1332"/>
      <c r="AH410" s="1332"/>
      <c r="AI410" s="1331"/>
      <c r="AJ410" s="1332"/>
      <c r="AK410" s="1332"/>
      <c r="AL410" s="771"/>
    </row>
    <row r="411" spans="1:38" ht="11.25" customHeight="1">
      <c r="A411" t="s">
        <v>1021</v>
      </c>
      <c r="E411" s="556"/>
      <c r="F411" s="1354"/>
      <c r="G411" s="1326"/>
      <c r="H411" s="1327" t="s">
        <v>102</v>
      </c>
      <c r="I411" s="1328"/>
      <c r="J411" s="1329"/>
      <c r="K411" s="1330"/>
      <c r="L411" s="1058"/>
      <c r="M411" s="1060"/>
      <c r="N411" s="1333"/>
      <c r="O411" s="1334"/>
      <c r="P411" s="1336"/>
      <c r="Q411" s="1339"/>
      <c r="R411" s="1323"/>
      <c r="S411" s="1338"/>
      <c r="T411" s="1323"/>
      <c r="U411" s="1323"/>
      <c r="V411" s="1323"/>
      <c r="W411" s="1323"/>
      <c r="X411" s="1323"/>
      <c r="Y411" s="1323"/>
      <c r="AA411" s="777">
        <v>1</v>
      </c>
      <c r="AB411" s="778" t="s">
        <v>1128</v>
      </c>
      <c r="AC411" s="236">
        <v>747.88994051621296</v>
      </c>
      <c r="AD411" s="778" t="str">
        <f>AB411</f>
        <v xml:space="preserve">  Прибыль направляемая на инвестиции</v>
      </c>
      <c r="AE411" s="236">
        <f>AC411</f>
        <v>747.88994051621296</v>
      </c>
      <c r="AF411" s="1331"/>
      <c r="AG411" s="1332"/>
      <c r="AH411" s="1332"/>
      <c r="AI411" s="1331"/>
      <c r="AJ411" s="1332"/>
      <c r="AK411" s="1332"/>
      <c r="AL411" s="771"/>
    </row>
    <row r="412" spans="1:38" ht="11.25" customHeight="1">
      <c r="A412" t="s">
        <v>1021</v>
      </c>
      <c r="E412" s="556"/>
      <c r="F412" s="1326"/>
      <c r="G412" s="1326"/>
      <c r="H412" s="1326"/>
      <c r="I412" s="1326"/>
      <c r="J412" s="1326"/>
      <c r="K412" s="1326"/>
      <c r="L412" s="1326"/>
      <c r="M412" s="1326"/>
      <c r="N412" s="1326"/>
      <c r="O412" s="1326"/>
      <c r="P412" s="1326"/>
      <c r="Q412" s="1326"/>
      <c r="R412" s="1326"/>
      <c r="S412" s="1326"/>
      <c r="T412" s="1326"/>
      <c r="U412" s="1326"/>
      <c r="V412" s="1326"/>
      <c r="W412" s="1326"/>
      <c r="X412" s="1326"/>
      <c r="Y412" s="1326"/>
      <c r="Z412" s="181" t="s">
        <v>103</v>
      </c>
      <c r="AA412" s="779" t="s">
        <v>102</v>
      </c>
      <c r="AB412" s="778" t="s">
        <v>1129</v>
      </c>
      <c r="AC412" s="236">
        <v>311.11005948378801</v>
      </c>
      <c r="AD412" s="778" t="str">
        <f>AB412</f>
        <v xml:space="preserve">     Прочие амортизационные отчисления</v>
      </c>
      <c r="AE412" s="236">
        <f>AC412</f>
        <v>311.11005948378801</v>
      </c>
      <c r="AF412" s="1343"/>
      <c r="AG412" s="1344"/>
      <c r="AH412" s="1344"/>
      <c r="AI412" s="1343"/>
      <c r="AJ412" s="1344"/>
      <c r="AK412" s="1345"/>
      <c r="AL412" s="771"/>
    </row>
    <row r="413" spans="1:38" ht="11.25" customHeight="1">
      <c r="A413" t="s">
        <v>1021</v>
      </c>
      <c r="E413" s="556"/>
      <c r="F413" s="1354"/>
      <c r="G413" s="1326"/>
      <c r="H413" s="1327" t="s">
        <v>102</v>
      </c>
      <c r="I413" s="1328"/>
      <c r="J413" s="1329"/>
      <c r="K413" s="1330"/>
      <c r="L413" s="1058"/>
      <c r="M413" s="1060"/>
      <c r="N413" s="1333"/>
      <c r="O413" s="1334"/>
      <c r="P413" s="1337"/>
      <c r="Q413" s="1339"/>
      <c r="R413" s="1323"/>
      <c r="S413" s="1338"/>
      <c r="T413" s="1323"/>
      <c r="U413" s="1323"/>
      <c r="V413" s="1323"/>
      <c r="W413" s="1323"/>
      <c r="X413" s="1323"/>
      <c r="Y413" s="1323"/>
      <c r="Z413" s="229"/>
      <c r="AA413" s="230"/>
      <c r="AB413" s="44" t="s">
        <v>1064</v>
      </c>
      <c r="AC413" s="231"/>
      <c r="AD413" s="231"/>
      <c r="AE413" s="245"/>
      <c r="AF413" s="1331"/>
      <c r="AG413" s="1332"/>
      <c r="AH413" s="1332"/>
      <c r="AI413" s="1331"/>
      <c r="AJ413" s="1332"/>
      <c r="AK413" s="1332"/>
      <c r="AL413" s="771"/>
    </row>
    <row r="414" spans="1:38" ht="11.25" customHeight="1">
      <c r="A414" t="s">
        <v>1021</v>
      </c>
      <c r="E414" s="556"/>
      <c r="F414" s="1354"/>
      <c r="G414" s="1326"/>
      <c r="H414" s="1327" t="s">
        <v>102</v>
      </c>
      <c r="I414" s="1328"/>
      <c r="J414" s="1329"/>
      <c r="K414" s="1330"/>
      <c r="L414" s="1058"/>
      <c r="M414" s="1060"/>
      <c r="N414" s="229"/>
      <c r="O414" s="230"/>
      <c r="P414" s="44" t="s">
        <v>1065</v>
      </c>
      <c r="Q414" s="230"/>
      <c r="R414" s="230"/>
      <c r="S414" s="230"/>
      <c r="T414" s="230"/>
      <c r="U414" s="230"/>
      <c r="V414" s="230"/>
      <c r="W414" s="230"/>
      <c r="X414" s="230"/>
      <c r="Y414" s="230"/>
      <c r="Z414" s="230"/>
      <c r="AA414" s="230"/>
      <c r="AB414" s="230"/>
      <c r="AC414" s="230"/>
      <c r="AD414" s="230"/>
      <c r="AE414" s="246"/>
      <c r="AF414" s="1331"/>
      <c r="AG414" s="1332"/>
      <c r="AH414" s="1332"/>
      <c r="AI414" s="1331"/>
      <c r="AJ414" s="1332"/>
      <c r="AK414" s="1332"/>
      <c r="AL414" s="771"/>
    </row>
    <row r="415" spans="1:38" ht="11.25" customHeight="1">
      <c r="A415" t="s">
        <v>1021</v>
      </c>
      <c r="B415" t="s">
        <v>1076</v>
      </c>
      <c r="E415" s="556"/>
      <c r="F415" s="1354"/>
      <c r="G415" s="1304" t="s">
        <v>103</v>
      </c>
      <c r="H415" s="1327" t="s">
        <v>90</v>
      </c>
      <c r="I415" s="1328" t="s">
        <v>1077</v>
      </c>
      <c r="J415" s="1341" t="s">
        <v>1078</v>
      </c>
      <c r="K415" s="1330" t="s">
        <v>1084</v>
      </c>
      <c r="L415" s="1058" t="s">
        <v>61</v>
      </c>
      <c r="M415" s="1342" t="s">
        <v>1020</v>
      </c>
      <c r="N415" s="241"/>
      <c r="O415" s="242" t="s">
        <v>387</v>
      </c>
      <c r="P415" s="243"/>
      <c r="Q415" s="243"/>
      <c r="R415" s="243"/>
      <c r="S415" s="243"/>
      <c r="T415" s="243"/>
      <c r="U415" s="243"/>
      <c r="V415" s="243"/>
      <c r="W415" s="243"/>
      <c r="X415" s="243"/>
      <c r="Y415" s="243"/>
      <c r="Z415" s="243"/>
      <c r="AA415" s="243"/>
      <c r="AB415" s="243"/>
      <c r="AC415" s="243"/>
      <c r="AD415" s="243"/>
      <c r="AE415" s="243"/>
      <c r="AF415" s="1331">
        <v>8</v>
      </c>
      <c r="AG415" s="1332" t="s">
        <v>1055</v>
      </c>
      <c r="AH415" s="1332" t="s">
        <v>1085</v>
      </c>
      <c r="AI415" s="1331">
        <v>8</v>
      </c>
      <c r="AJ415" s="1332" t="s">
        <v>1055</v>
      </c>
      <c r="AK415" s="1332" t="s">
        <v>1085</v>
      </c>
      <c r="AL415" s="771"/>
    </row>
    <row r="416" spans="1:38" ht="11.25" customHeight="1">
      <c r="A416" t="s">
        <v>1021</v>
      </c>
      <c r="E416" s="556"/>
      <c r="F416" s="1354"/>
      <c r="G416" s="1326"/>
      <c r="H416" s="1327" t="s">
        <v>89</v>
      </c>
      <c r="I416" s="1328"/>
      <c r="J416" s="1341"/>
      <c r="K416" s="1330"/>
      <c r="L416" s="1058"/>
      <c r="M416" s="1342"/>
      <c r="N416" s="1333"/>
      <c r="O416" s="1334">
        <v>1</v>
      </c>
      <c r="P416" s="1335" t="s">
        <v>19</v>
      </c>
      <c r="Q416" s="1323" t="s">
        <v>22</v>
      </c>
      <c r="R416" s="1323" t="s">
        <v>22</v>
      </c>
      <c r="S416" s="1323" t="s">
        <v>22</v>
      </c>
      <c r="T416" s="1323" t="s">
        <v>22</v>
      </c>
      <c r="U416" s="1323" t="s">
        <v>22</v>
      </c>
      <c r="V416" s="1323" t="s">
        <v>22</v>
      </c>
      <c r="W416" s="1323" t="s">
        <v>22</v>
      </c>
      <c r="X416" s="1323" t="s">
        <v>22</v>
      </c>
      <c r="Y416" s="1323"/>
      <c r="Z416" s="229"/>
      <c r="AA416" s="230"/>
      <c r="AB416" s="230"/>
      <c r="AC416" s="231"/>
      <c r="AD416" s="231"/>
      <c r="AE416" s="244"/>
      <c r="AF416" s="1331"/>
      <c r="AG416" s="1332"/>
      <c r="AH416" s="1332"/>
      <c r="AI416" s="1331"/>
      <c r="AJ416" s="1332"/>
      <c r="AK416" s="1332"/>
      <c r="AL416" s="771"/>
    </row>
    <row r="417" spans="1:38" ht="11.25" customHeight="1">
      <c r="A417" t="s">
        <v>1021</v>
      </c>
      <c r="E417" s="556"/>
      <c r="F417" s="1354"/>
      <c r="G417" s="1326"/>
      <c r="H417" s="1327" t="s">
        <v>89</v>
      </c>
      <c r="I417" s="1328"/>
      <c r="J417" s="1341"/>
      <c r="K417" s="1330"/>
      <c r="L417" s="1058"/>
      <c r="M417" s="1342"/>
      <c r="N417" s="1333"/>
      <c r="O417" s="1334"/>
      <c r="P417" s="1336"/>
      <c r="Q417" s="1323"/>
      <c r="R417" s="1323"/>
      <c r="S417" s="1338"/>
      <c r="T417" s="1323"/>
      <c r="U417" s="1323"/>
      <c r="V417" s="1323"/>
      <c r="W417" s="1323"/>
      <c r="X417" s="1323"/>
      <c r="Y417" s="1323"/>
      <c r="AA417" s="777">
        <v>1</v>
      </c>
      <c r="AB417" s="778" t="s">
        <v>1128</v>
      </c>
      <c r="AC417" s="236">
        <v>22914.881670371698</v>
      </c>
      <c r="AD417" s="778" t="str">
        <f>AB417</f>
        <v xml:space="preserve">  Прибыль направляемая на инвестиции</v>
      </c>
      <c r="AE417" s="236">
        <f>AC417</f>
        <v>22914.881670371698</v>
      </c>
      <c r="AF417" s="1331"/>
      <c r="AG417" s="1332"/>
      <c r="AH417" s="1332"/>
      <c r="AI417" s="1331"/>
      <c r="AJ417" s="1332"/>
      <c r="AK417" s="1332"/>
      <c r="AL417" s="771"/>
    </row>
    <row r="418" spans="1:38" ht="11.25" customHeight="1">
      <c r="A418" t="s">
        <v>1021</v>
      </c>
      <c r="E418" s="556"/>
      <c r="F418" s="1326"/>
      <c r="G418" s="1326"/>
      <c r="H418" s="1326"/>
      <c r="I418" s="1326"/>
      <c r="J418" s="1326"/>
      <c r="K418" s="1326"/>
      <c r="L418" s="1326"/>
      <c r="M418" s="1346"/>
      <c r="N418" s="1326"/>
      <c r="O418" s="1326"/>
      <c r="P418" s="1326"/>
      <c r="Q418" s="1326"/>
      <c r="R418" s="1326"/>
      <c r="S418" s="1326"/>
      <c r="T418" s="1326"/>
      <c r="U418" s="1326"/>
      <c r="V418" s="1326"/>
      <c r="W418" s="1326"/>
      <c r="X418" s="1326"/>
      <c r="Y418" s="1326"/>
      <c r="Z418" s="181" t="s">
        <v>103</v>
      </c>
      <c r="AA418" s="779" t="s">
        <v>102</v>
      </c>
      <c r="AB418" s="778" t="s">
        <v>1129</v>
      </c>
      <c r="AC418" s="236">
        <v>9532.2183296283401</v>
      </c>
      <c r="AD418" s="778" t="str">
        <f>AB418</f>
        <v xml:space="preserve">     Прочие амортизационные отчисления</v>
      </c>
      <c r="AE418" s="236">
        <f>AC418</f>
        <v>9532.2183296283401</v>
      </c>
      <c r="AF418" s="1343"/>
      <c r="AG418" s="1344"/>
      <c r="AH418" s="1344"/>
      <c r="AI418" s="1343"/>
      <c r="AJ418" s="1344"/>
      <c r="AK418" s="1345"/>
      <c r="AL418" s="771"/>
    </row>
    <row r="419" spans="1:38" ht="11.25" customHeight="1">
      <c r="A419" t="s">
        <v>1021</v>
      </c>
      <c r="E419" s="556"/>
      <c r="F419" s="1354"/>
      <c r="G419" s="1326"/>
      <c r="H419" s="1327" t="s">
        <v>89</v>
      </c>
      <c r="I419" s="1328"/>
      <c r="J419" s="1341"/>
      <c r="K419" s="1330"/>
      <c r="L419" s="1058"/>
      <c r="M419" s="1342"/>
      <c r="N419" s="1333"/>
      <c r="O419" s="1334"/>
      <c r="P419" s="1337"/>
      <c r="Q419" s="1323"/>
      <c r="R419" s="1323"/>
      <c r="S419" s="1338"/>
      <c r="T419" s="1323"/>
      <c r="U419" s="1323"/>
      <c r="V419" s="1323"/>
      <c r="W419" s="1323"/>
      <c r="X419" s="1323"/>
      <c r="Y419" s="1323"/>
      <c r="Z419" s="229"/>
      <c r="AA419" s="230"/>
      <c r="AB419" s="44" t="s">
        <v>1064</v>
      </c>
      <c r="AC419" s="231"/>
      <c r="AD419" s="231"/>
      <c r="AE419" s="245"/>
      <c r="AF419" s="1331"/>
      <c r="AG419" s="1332"/>
      <c r="AH419" s="1332"/>
      <c r="AI419" s="1331"/>
      <c r="AJ419" s="1332"/>
      <c r="AK419" s="1332"/>
      <c r="AL419" s="771"/>
    </row>
    <row r="420" spans="1:38" ht="11.25" customHeight="1">
      <c r="A420" t="s">
        <v>1021</v>
      </c>
      <c r="E420" s="556"/>
      <c r="F420" s="1354"/>
      <c r="G420" s="1326"/>
      <c r="H420" s="1327" t="s">
        <v>89</v>
      </c>
      <c r="I420" s="1328"/>
      <c r="J420" s="1341"/>
      <c r="K420" s="1330"/>
      <c r="L420" s="1058"/>
      <c r="M420" s="1342"/>
      <c r="N420" s="229"/>
      <c r="O420" s="230"/>
      <c r="P420" s="44" t="s">
        <v>1065</v>
      </c>
      <c r="Q420" s="230"/>
      <c r="R420" s="230"/>
      <c r="S420" s="230"/>
      <c r="T420" s="230"/>
      <c r="U420" s="230"/>
      <c r="V420" s="230"/>
      <c r="W420" s="230"/>
      <c r="X420" s="230"/>
      <c r="Y420" s="230"/>
      <c r="Z420" s="230"/>
      <c r="AA420" s="230"/>
      <c r="AB420" s="230"/>
      <c r="AC420" s="230"/>
      <c r="AD420" s="230"/>
      <c r="AE420" s="246"/>
      <c r="AF420" s="1331"/>
      <c r="AG420" s="1332"/>
      <c r="AH420" s="1332"/>
      <c r="AI420" s="1331"/>
      <c r="AJ420" s="1332"/>
      <c r="AK420" s="1332"/>
      <c r="AL420" s="771"/>
    </row>
    <row r="421" spans="1:38" ht="11.25" customHeight="1">
      <c r="A421" t="s">
        <v>1021</v>
      </c>
      <c r="B421" t="s">
        <v>1076</v>
      </c>
      <c r="E421" s="556"/>
      <c r="F421" s="1354"/>
      <c r="G421" s="1304" t="s">
        <v>103</v>
      </c>
      <c r="H421" s="1327" t="s">
        <v>115</v>
      </c>
      <c r="I421" s="1328" t="s">
        <v>1077</v>
      </c>
      <c r="J421" s="1341" t="s">
        <v>1130</v>
      </c>
      <c r="K421" s="1330" t="s">
        <v>1131</v>
      </c>
      <c r="L421" s="1058" t="s">
        <v>19</v>
      </c>
      <c r="M421" s="1060"/>
      <c r="N421" s="241"/>
      <c r="O421" s="242" t="s">
        <v>387</v>
      </c>
      <c r="P421" s="243"/>
      <c r="Q421" s="243"/>
      <c r="R421" s="243"/>
      <c r="S421" s="243"/>
      <c r="T421" s="243"/>
      <c r="U421" s="243"/>
      <c r="V421" s="243"/>
      <c r="W421" s="243"/>
      <c r="X421" s="243"/>
      <c r="Y421" s="243"/>
      <c r="Z421" s="243"/>
      <c r="AA421" s="243"/>
      <c r="AB421" s="243"/>
      <c r="AC421" s="243"/>
      <c r="AD421" s="243"/>
      <c r="AE421" s="243"/>
      <c r="AF421" s="1331">
        <v>10</v>
      </c>
      <c r="AG421" s="1332" t="s">
        <v>1055</v>
      </c>
      <c r="AH421" s="1332" t="s">
        <v>1132</v>
      </c>
      <c r="AI421" s="1331">
        <v>10</v>
      </c>
      <c r="AJ421" s="1332" t="s">
        <v>1055</v>
      </c>
      <c r="AK421" s="1332" t="s">
        <v>1132</v>
      </c>
      <c r="AL421" s="771"/>
    </row>
    <row r="422" spans="1:38" ht="11.25" customHeight="1">
      <c r="A422" t="s">
        <v>1021</v>
      </c>
      <c r="E422" s="556"/>
      <c r="F422" s="1354"/>
      <c r="G422" s="1326"/>
      <c r="H422" s="1327" t="s">
        <v>90</v>
      </c>
      <c r="I422" s="1328"/>
      <c r="J422" s="1341"/>
      <c r="K422" s="1330"/>
      <c r="L422" s="1058"/>
      <c r="M422" s="1060"/>
      <c r="N422" s="1333"/>
      <c r="O422" s="1334">
        <v>1</v>
      </c>
      <c r="P422" s="1335" t="s">
        <v>19</v>
      </c>
      <c r="Q422" s="1323" t="s">
        <v>22</v>
      </c>
      <c r="R422" s="1323" t="s">
        <v>22</v>
      </c>
      <c r="S422" s="1323" t="s">
        <v>22</v>
      </c>
      <c r="T422" s="1323" t="s">
        <v>22</v>
      </c>
      <c r="U422" s="1323" t="s">
        <v>22</v>
      </c>
      <c r="V422" s="1323" t="s">
        <v>22</v>
      </c>
      <c r="W422" s="1323" t="s">
        <v>22</v>
      </c>
      <c r="X422" s="1323" t="s">
        <v>22</v>
      </c>
      <c r="Y422" s="1323"/>
      <c r="Z422" s="229"/>
      <c r="AA422" s="230"/>
      <c r="AB422" s="230"/>
      <c r="AC422" s="231"/>
      <c r="AD422" s="231"/>
      <c r="AE422" s="244"/>
      <c r="AF422" s="1331"/>
      <c r="AG422" s="1332"/>
      <c r="AH422" s="1332"/>
      <c r="AI422" s="1331"/>
      <c r="AJ422" s="1332"/>
      <c r="AK422" s="1332"/>
      <c r="AL422" s="771"/>
    </row>
    <row r="423" spans="1:38" ht="11.25" customHeight="1">
      <c r="A423" t="s">
        <v>1021</v>
      </c>
      <c r="E423" s="556"/>
      <c r="F423" s="1354"/>
      <c r="G423" s="1326"/>
      <c r="H423" s="1327" t="s">
        <v>90</v>
      </c>
      <c r="I423" s="1328"/>
      <c r="J423" s="1341"/>
      <c r="K423" s="1330"/>
      <c r="L423" s="1058"/>
      <c r="M423" s="1060"/>
      <c r="N423" s="1333"/>
      <c r="O423" s="1334"/>
      <c r="P423" s="1336"/>
      <c r="Q423" s="1323"/>
      <c r="R423" s="1323"/>
      <c r="S423" s="1338"/>
      <c r="T423" s="1323"/>
      <c r="U423" s="1323"/>
      <c r="V423" s="1323"/>
      <c r="W423" s="1323"/>
      <c r="X423" s="1323"/>
      <c r="Y423" s="1323"/>
      <c r="AA423" s="777">
        <v>1</v>
      </c>
      <c r="AB423" s="778" t="s">
        <v>1128</v>
      </c>
      <c r="AC423" s="236">
        <v>812.15621491373395</v>
      </c>
      <c r="AD423" s="778" t="str">
        <f>AB423</f>
        <v xml:space="preserve">  Прибыль направляемая на инвестиции</v>
      </c>
      <c r="AE423" s="236">
        <f>AC423</f>
        <v>812.15621491373395</v>
      </c>
      <c r="AF423" s="1331"/>
      <c r="AG423" s="1332"/>
      <c r="AH423" s="1332"/>
      <c r="AI423" s="1331"/>
      <c r="AJ423" s="1332"/>
      <c r="AK423" s="1332"/>
      <c r="AL423" s="771"/>
    </row>
    <row r="424" spans="1:38" ht="11.25" customHeight="1">
      <c r="A424" t="s">
        <v>1021</v>
      </c>
      <c r="E424" s="556"/>
      <c r="F424" s="1326"/>
      <c r="G424" s="1326"/>
      <c r="H424" s="1326"/>
      <c r="I424" s="1326"/>
      <c r="J424" s="1326"/>
      <c r="K424" s="1326"/>
      <c r="L424" s="1326"/>
      <c r="M424" s="1326"/>
      <c r="N424" s="1326"/>
      <c r="O424" s="1326"/>
      <c r="P424" s="1326"/>
      <c r="Q424" s="1326"/>
      <c r="R424" s="1326"/>
      <c r="S424" s="1326"/>
      <c r="T424" s="1326"/>
      <c r="U424" s="1326"/>
      <c r="V424" s="1326"/>
      <c r="W424" s="1326"/>
      <c r="X424" s="1326"/>
      <c r="Y424" s="1326"/>
      <c r="Z424" s="181" t="s">
        <v>103</v>
      </c>
      <c r="AA424" s="779" t="s">
        <v>102</v>
      </c>
      <c r="AB424" s="778" t="s">
        <v>1129</v>
      </c>
      <c r="AC424" s="236">
        <v>337.843785086266</v>
      </c>
      <c r="AD424" s="778" t="str">
        <f>AB424</f>
        <v xml:space="preserve">     Прочие амортизационные отчисления</v>
      </c>
      <c r="AE424" s="236">
        <f>AC424</f>
        <v>337.843785086266</v>
      </c>
      <c r="AF424" s="1343"/>
      <c r="AG424" s="1344"/>
      <c r="AH424" s="1344"/>
      <c r="AI424" s="1343"/>
      <c r="AJ424" s="1344"/>
      <c r="AK424" s="1345"/>
      <c r="AL424" s="771"/>
    </row>
    <row r="425" spans="1:38" ht="11.25" customHeight="1">
      <c r="A425" t="s">
        <v>1021</v>
      </c>
      <c r="E425" s="556"/>
      <c r="F425" s="1354"/>
      <c r="G425" s="1326"/>
      <c r="H425" s="1327" t="s">
        <v>90</v>
      </c>
      <c r="I425" s="1328"/>
      <c r="J425" s="1341"/>
      <c r="K425" s="1330"/>
      <c r="L425" s="1058"/>
      <c r="M425" s="1060"/>
      <c r="N425" s="1333"/>
      <c r="O425" s="1334"/>
      <c r="P425" s="1337"/>
      <c r="Q425" s="1323"/>
      <c r="R425" s="1323"/>
      <c r="S425" s="1338"/>
      <c r="T425" s="1323"/>
      <c r="U425" s="1323"/>
      <c r="V425" s="1323"/>
      <c r="W425" s="1323"/>
      <c r="X425" s="1323"/>
      <c r="Y425" s="1323"/>
      <c r="Z425" s="229"/>
      <c r="AA425" s="230"/>
      <c r="AB425" s="44" t="s">
        <v>1064</v>
      </c>
      <c r="AC425" s="231"/>
      <c r="AD425" s="231"/>
      <c r="AE425" s="245"/>
      <c r="AF425" s="1331"/>
      <c r="AG425" s="1332"/>
      <c r="AH425" s="1332"/>
      <c r="AI425" s="1331"/>
      <c r="AJ425" s="1332"/>
      <c r="AK425" s="1332"/>
      <c r="AL425" s="771"/>
    </row>
    <row r="426" spans="1:38" ht="11.25" customHeight="1">
      <c r="A426" t="s">
        <v>1021</v>
      </c>
      <c r="E426" s="556"/>
      <c r="F426" s="1354"/>
      <c r="G426" s="1326"/>
      <c r="H426" s="1327" t="s">
        <v>90</v>
      </c>
      <c r="I426" s="1328"/>
      <c r="J426" s="1341"/>
      <c r="K426" s="1330"/>
      <c r="L426" s="1058"/>
      <c r="M426" s="1060"/>
      <c r="N426" s="229"/>
      <c r="O426" s="230"/>
      <c r="P426" s="44" t="s">
        <v>1065</v>
      </c>
      <c r="Q426" s="230"/>
      <c r="R426" s="230"/>
      <c r="S426" s="230"/>
      <c r="T426" s="230"/>
      <c r="U426" s="230"/>
      <c r="V426" s="230"/>
      <c r="W426" s="230"/>
      <c r="X426" s="230"/>
      <c r="Y426" s="230"/>
      <c r="Z426" s="230"/>
      <c r="AA426" s="230"/>
      <c r="AB426" s="230"/>
      <c r="AC426" s="230"/>
      <c r="AD426" s="230"/>
      <c r="AE426" s="246"/>
      <c r="AF426" s="1331"/>
      <c r="AG426" s="1332"/>
      <c r="AH426" s="1332"/>
      <c r="AI426" s="1331"/>
      <c r="AJ426" s="1332"/>
      <c r="AK426" s="1332"/>
      <c r="AL426" s="771"/>
    </row>
    <row r="427" spans="1:38" ht="11.25" customHeight="1">
      <c r="A427" t="s">
        <v>1021</v>
      </c>
      <c r="B427" t="s">
        <v>1076</v>
      </c>
      <c r="E427" s="556"/>
      <c r="F427" s="1354"/>
      <c r="G427" s="1304" t="s">
        <v>103</v>
      </c>
      <c r="H427" s="1327" t="s">
        <v>91</v>
      </c>
      <c r="I427" s="1328" t="s">
        <v>1077</v>
      </c>
      <c r="J427" s="1341" t="s">
        <v>1130</v>
      </c>
      <c r="K427" s="1330" t="s">
        <v>1133</v>
      </c>
      <c r="L427" s="1058" t="s">
        <v>61</v>
      </c>
      <c r="M427" s="1342" t="s">
        <v>1020</v>
      </c>
      <c r="N427" s="241"/>
      <c r="O427" s="242" t="s">
        <v>387</v>
      </c>
      <c r="P427" s="243"/>
      <c r="Q427" s="243"/>
      <c r="R427" s="243"/>
      <c r="S427" s="243"/>
      <c r="T427" s="243"/>
      <c r="U427" s="243"/>
      <c r="V427" s="243"/>
      <c r="W427" s="243"/>
      <c r="X427" s="243"/>
      <c r="Y427" s="243"/>
      <c r="Z427" s="243"/>
      <c r="AA427" s="243"/>
      <c r="AB427" s="243"/>
      <c r="AC427" s="243"/>
      <c r="AD427" s="243"/>
      <c r="AE427" s="243"/>
      <c r="AF427" s="1331">
        <v>3</v>
      </c>
      <c r="AG427" s="1332" t="s">
        <v>1055</v>
      </c>
      <c r="AH427" s="1332" t="s">
        <v>1126</v>
      </c>
      <c r="AI427" s="1331">
        <v>3</v>
      </c>
      <c r="AJ427" s="1332" t="s">
        <v>1055</v>
      </c>
      <c r="AK427" s="1332" t="s">
        <v>1126</v>
      </c>
      <c r="AL427" s="771"/>
    </row>
    <row r="428" spans="1:38" ht="11.25" customHeight="1">
      <c r="A428" t="s">
        <v>1021</v>
      </c>
      <c r="E428" s="556"/>
      <c r="F428" s="1354"/>
      <c r="G428" s="1326"/>
      <c r="H428" s="1327" t="s">
        <v>115</v>
      </c>
      <c r="I428" s="1328"/>
      <c r="J428" s="1341"/>
      <c r="K428" s="1330"/>
      <c r="L428" s="1058"/>
      <c r="M428" s="1342"/>
      <c r="N428" s="1333"/>
      <c r="O428" s="1334">
        <v>1</v>
      </c>
      <c r="P428" s="1335" t="s">
        <v>19</v>
      </c>
      <c r="Q428" s="1323" t="s">
        <v>22</v>
      </c>
      <c r="R428" s="1323" t="s">
        <v>22</v>
      </c>
      <c r="S428" s="1323" t="s">
        <v>22</v>
      </c>
      <c r="T428" s="1323" t="s">
        <v>22</v>
      </c>
      <c r="U428" s="1323" t="s">
        <v>22</v>
      </c>
      <c r="V428" s="1323" t="s">
        <v>22</v>
      </c>
      <c r="W428" s="1323" t="s">
        <v>22</v>
      </c>
      <c r="X428" s="1323" t="s">
        <v>22</v>
      </c>
      <c r="Y428" s="1323"/>
      <c r="Z428" s="229"/>
      <c r="AA428" s="230"/>
      <c r="AB428" s="230"/>
      <c r="AC428" s="231"/>
      <c r="AD428" s="231"/>
      <c r="AE428" s="244"/>
      <c r="AF428" s="1331"/>
      <c r="AG428" s="1332"/>
      <c r="AH428" s="1332"/>
      <c r="AI428" s="1331"/>
      <c r="AJ428" s="1332"/>
      <c r="AK428" s="1332"/>
      <c r="AL428" s="771"/>
    </row>
    <row r="429" spans="1:38" ht="11.25" customHeight="1">
      <c r="A429" t="s">
        <v>1021</v>
      </c>
      <c r="E429" s="556"/>
      <c r="F429" s="1354"/>
      <c r="G429" s="1326"/>
      <c r="H429" s="1327" t="s">
        <v>115</v>
      </c>
      <c r="I429" s="1328"/>
      <c r="J429" s="1341"/>
      <c r="K429" s="1330"/>
      <c r="L429" s="1058"/>
      <c r="M429" s="1342"/>
      <c r="N429" s="1333"/>
      <c r="O429" s="1334"/>
      <c r="P429" s="1336"/>
      <c r="Q429" s="1323"/>
      <c r="R429" s="1323"/>
      <c r="S429" s="1338"/>
      <c r="T429" s="1323"/>
      <c r="U429" s="1323"/>
      <c r="V429" s="1323"/>
      <c r="W429" s="1323"/>
      <c r="X429" s="1323"/>
      <c r="Y429" s="1323"/>
      <c r="AA429" s="777">
        <v>1</v>
      </c>
      <c r="AB429" s="778" t="s">
        <v>1128</v>
      </c>
      <c r="AC429" s="236">
        <v>302.26335650702498</v>
      </c>
      <c r="AD429" s="778" t="str">
        <f>AB429</f>
        <v xml:space="preserve">  Прибыль направляемая на инвестиции</v>
      </c>
      <c r="AE429" s="236">
        <f>AC429</f>
        <v>302.26335650702498</v>
      </c>
      <c r="AF429" s="1331"/>
      <c r="AG429" s="1332"/>
      <c r="AH429" s="1332"/>
      <c r="AI429" s="1331"/>
      <c r="AJ429" s="1332"/>
      <c r="AK429" s="1332"/>
      <c r="AL429" s="771"/>
    </row>
    <row r="430" spans="1:38" ht="11.25" customHeight="1">
      <c r="A430" t="s">
        <v>1021</v>
      </c>
      <c r="E430" s="556"/>
      <c r="F430" s="1326"/>
      <c r="G430" s="1326"/>
      <c r="H430" s="1326"/>
      <c r="I430" s="1326"/>
      <c r="J430" s="1326"/>
      <c r="K430" s="1326"/>
      <c r="L430" s="1326"/>
      <c r="M430" s="1346"/>
      <c r="N430" s="1326"/>
      <c r="O430" s="1326"/>
      <c r="P430" s="1326"/>
      <c r="Q430" s="1326"/>
      <c r="R430" s="1326"/>
      <c r="S430" s="1326"/>
      <c r="T430" s="1326"/>
      <c r="U430" s="1326"/>
      <c r="V430" s="1326"/>
      <c r="W430" s="1326"/>
      <c r="X430" s="1326"/>
      <c r="Y430" s="1326"/>
      <c r="Z430" s="181" t="s">
        <v>103</v>
      </c>
      <c r="AA430" s="779" t="s">
        <v>102</v>
      </c>
      <c r="AB430" s="778" t="s">
        <v>1129</v>
      </c>
      <c r="AC430" s="236">
        <v>125.736643492976</v>
      </c>
      <c r="AD430" s="778" t="str">
        <f>AB430</f>
        <v xml:space="preserve">     Прочие амортизационные отчисления</v>
      </c>
      <c r="AE430" s="236">
        <f>AC430</f>
        <v>125.736643492976</v>
      </c>
      <c r="AF430" s="1343"/>
      <c r="AG430" s="1344"/>
      <c r="AH430" s="1344"/>
      <c r="AI430" s="1343"/>
      <c r="AJ430" s="1344"/>
      <c r="AK430" s="1345"/>
      <c r="AL430" s="771"/>
    </row>
    <row r="431" spans="1:38" ht="11.25" customHeight="1">
      <c r="A431" t="s">
        <v>1021</v>
      </c>
      <c r="E431" s="556"/>
      <c r="F431" s="1354"/>
      <c r="G431" s="1326"/>
      <c r="H431" s="1327" t="s">
        <v>115</v>
      </c>
      <c r="I431" s="1328"/>
      <c r="J431" s="1341"/>
      <c r="K431" s="1330"/>
      <c r="L431" s="1058"/>
      <c r="M431" s="1342"/>
      <c r="N431" s="1333"/>
      <c r="O431" s="1334"/>
      <c r="P431" s="1337"/>
      <c r="Q431" s="1323"/>
      <c r="R431" s="1323"/>
      <c r="S431" s="1338"/>
      <c r="T431" s="1323"/>
      <c r="U431" s="1323"/>
      <c r="V431" s="1323"/>
      <c r="W431" s="1323"/>
      <c r="X431" s="1323"/>
      <c r="Y431" s="1323"/>
      <c r="Z431" s="229"/>
      <c r="AA431" s="230"/>
      <c r="AB431" s="44" t="s">
        <v>1064</v>
      </c>
      <c r="AC431" s="231"/>
      <c r="AD431" s="231"/>
      <c r="AE431" s="245"/>
      <c r="AF431" s="1331"/>
      <c r="AG431" s="1332"/>
      <c r="AH431" s="1332"/>
      <c r="AI431" s="1331"/>
      <c r="AJ431" s="1332"/>
      <c r="AK431" s="1332"/>
      <c r="AL431" s="771"/>
    </row>
    <row r="432" spans="1:38" ht="11.25" customHeight="1">
      <c r="A432" t="s">
        <v>1021</v>
      </c>
      <c r="E432" s="556"/>
      <c r="F432" s="1354"/>
      <c r="G432" s="1326"/>
      <c r="H432" s="1327" t="s">
        <v>115</v>
      </c>
      <c r="I432" s="1328"/>
      <c r="J432" s="1341"/>
      <c r="K432" s="1330"/>
      <c r="L432" s="1058"/>
      <c r="M432" s="1342"/>
      <c r="N432" s="229"/>
      <c r="O432" s="230"/>
      <c r="P432" s="44" t="s">
        <v>1065</v>
      </c>
      <c r="Q432" s="230"/>
      <c r="R432" s="230"/>
      <c r="S432" s="230"/>
      <c r="T432" s="230"/>
      <c r="U432" s="230"/>
      <c r="V432" s="230"/>
      <c r="W432" s="230"/>
      <c r="X432" s="230"/>
      <c r="Y432" s="230"/>
      <c r="Z432" s="230"/>
      <c r="AA432" s="230"/>
      <c r="AB432" s="230"/>
      <c r="AC432" s="230"/>
      <c r="AD432" s="230"/>
      <c r="AE432" s="246"/>
      <c r="AF432" s="1331"/>
      <c r="AG432" s="1332"/>
      <c r="AH432" s="1332"/>
      <c r="AI432" s="1331"/>
      <c r="AJ432" s="1332"/>
      <c r="AK432" s="1332"/>
      <c r="AL432" s="771"/>
    </row>
    <row r="433" spans="1:38" ht="11.25" customHeight="1">
      <c r="A433" t="s">
        <v>1021</v>
      </c>
      <c r="B433" t="s">
        <v>1076</v>
      </c>
      <c r="E433" s="556"/>
      <c r="F433" s="1354"/>
      <c r="G433" s="1304" t="s">
        <v>103</v>
      </c>
      <c r="H433" s="1327" t="s">
        <v>92</v>
      </c>
      <c r="I433" s="1328" t="s">
        <v>1077</v>
      </c>
      <c r="J433" s="1341" t="s">
        <v>1130</v>
      </c>
      <c r="K433" s="1330" t="s">
        <v>1134</v>
      </c>
      <c r="L433" s="1058" t="s">
        <v>61</v>
      </c>
      <c r="M433" s="1342" t="s">
        <v>1020</v>
      </c>
      <c r="N433" s="241"/>
      <c r="O433" s="242" t="s">
        <v>387</v>
      </c>
      <c r="P433" s="243"/>
      <c r="Q433" s="243"/>
      <c r="R433" s="243"/>
      <c r="S433" s="243"/>
      <c r="T433" s="243"/>
      <c r="U433" s="243"/>
      <c r="V433" s="243"/>
      <c r="W433" s="243"/>
      <c r="X433" s="243"/>
      <c r="Y433" s="243"/>
      <c r="Z433" s="243"/>
      <c r="AA433" s="243"/>
      <c r="AB433" s="243"/>
      <c r="AC433" s="243"/>
      <c r="AD433" s="243"/>
      <c r="AE433" s="243"/>
      <c r="AF433" s="1331">
        <v>4</v>
      </c>
      <c r="AG433" s="1332" t="s">
        <v>1055</v>
      </c>
      <c r="AH433" s="1332" t="s">
        <v>1135</v>
      </c>
      <c r="AI433" s="1331">
        <v>4</v>
      </c>
      <c r="AJ433" s="1332" t="s">
        <v>1055</v>
      </c>
      <c r="AK433" s="1332" t="s">
        <v>1135</v>
      </c>
      <c r="AL433" s="771"/>
    </row>
    <row r="434" spans="1:38" ht="11.25" customHeight="1">
      <c r="A434" t="s">
        <v>1021</v>
      </c>
      <c r="E434" s="556"/>
      <c r="F434" s="1354"/>
      <c r="G434" s="1326"/>
      <c r="H434" s="1327" t="s">
        <v>91</v>
      </c>
      <c r="I434" s="1328"/>
      <c r="J434" s="1341"/>
      <c r="K434" s="1330"/>
      <c r="L434" s="1058"/>
      <c r="M434" s="1342"/>
      <c r="N434" s="1333"/>
      <c r="O434" s="1334">
        <v>1</v>
      </c>
      <c r="P434" s="1335" t="s">
        <v>19</v>
      </c>
      <c r="Q434" s="1323" t="s">
        <v>22</v>
      </c>
      <c r="R434" s="1323" t="s">
        <v>22</v>
      </c>
      <c r="S434" s="1323" t="s">
        <v>22</v>
      </c>
      <c r="T434" s="1323" t="s">
        <v>22</v>
      </c>
      <c r="U434" s="1323" t="s">
        <v>22</v>
      </c>
      <c r="V434" s="1323" t="s">
        <v>22</v>
      </c>
      <c r="W434" s="1323" t="s">
        <v>22</v>
      </c>
      <c r="X434" s="1323" t="s">
        <v>22</v>
      </c>
      <c r="Y434" s="1323"/>
      <c r="Z434" s="229"/>
      <c r="AA434" s="230"/>
      <c r="AB434" s="230"/>
      <c r="AC434" s="231"/>
      <c r="AD434" s="231"/>
      <c r="AE434" s="244"/>
      <c r="AF434" s="1331"/>
      <c r="AG434" s="1332"/>
      <c r="AH434" s="1332"/>
      <c r="AI434" s="1331"/>
      <c r="AJ434" s="1332"/>
      <c r="AK434" s="1332"/>
      <c r="AL434" s="771"/>
    </row>
    <row r="435" spans="1:38" ht="11.25" customHeight="1">
      <c r="A435" t="s">
        <v>1021</v>
      </c>
      <c r="E435" s="556"/>
      <c r="F435" s="1354"/>
      <c r="G435" s="1326"/>
      <c r="H435" s="1327" t="s">
        <v>91</v>
      </c>
      <c r="I435" s="1328"/>
      <c r="J435" s="1341"/>
      <c r="K435" s="1330"/>
      <c r="L435" s="1058"/>
      <c r="M435" s="1342"/>
      <c r="N435" s="1333"/>
      <c r="O435" s="1334"/>
      <c r="P435" s="1336"/>
      <c r="Q435" s="1323"/>
      <c r="R435" s="1323"/>
      <c r="S435" s="1338"/>
      <c r="T435" s="1323"/>
      <c r="U435" s="1323"/>
      <c r="V435" s="1323"/>
      <c r="W435" s="1323"/>
      <c r="X435" s="1323"/>
      <c r="Y435" s="1323"/>
      <c r="AA435" s="777">
        <v>1</v>
      </c>
      <c r="AB435" s="778" t="s">
        <v>1128</v>
      </c>
      <c r="AC435" s="236">
        <v>195.623714374873</v>
      </c>
      <c r="AD435" s="778" t="str">
        <f>AB435</f>
        <v xml:space="preserve">  Прибыль направляемая на инвестиции</v>
      </c>
      <c r="AE435" s="236">
        <f>AC435</f>
        <v>195.623714374873</v>
      </c>
      <c r="AF435" s="1331"/>
      <c r="AG435" s="1332"/>
      <c r="AH435" s="1332"/>
      <c r="AI435" s="1331"/>
      <c r="AJ435" s="1332"/>
      <c r="AK435" s="1332"/>
      <c r="AL435" s="771"/>
    </row>
    <row r="436" spans="1:38" ht="11.25" customHeight="1">
      <c r="A436" t="s">
        <v>1021</v>
      </c>
      <c r="E436" s="556"/>
      <c r="F436" s="1326"/>
      <c r="G436" s="1326"/>
      <c r="H436" s="1326"/>
      <c r="I436" s="1326"/>
      <c r="J436" s="1326"/>
      <c r="K436" s="1326"/>
      <c r="L436" s="1326"/>
      <c r="M436" s="1346"/>
      <c r="N436" s="1326"/>
      <c r="O436" s="1326"/>
      <c r="P436" s="1326"/>
      <c r="Q436" s="1326"/>
      <c r="R436" s="1326"/>
      <c r="S436" s="1326"/>
      <c r="T436" s="1326"/>
      <c r="U436" s="1326"/>
      <c r="V436" s="1326"/>
      <c r="W436" s="1326"/>
      <c r="X436" s="1326"/>
      <c r="Y436" s="1326"/>
      <c r="Z436" s="181" t="s">
        <v>103</v>
      </c>
      <c r="AA436" s="779" t="s">
        <v>102</v>
      </c>
      <c r="AB436" s="778" t="s">
        <v>1129</v>
      </c>
      <c r="AC436" s="236">
        <v>81.376285625126698</v>
      </c>
      <c r="AD436" s="778" t="str">
        <f>AB436</f>
        <v xml:space="preserve">     Прочие амортизационные отчисления</v>
      </c>
      <c r="AE436" s="236">
        <f>AC436</f>
        <v>81.376285625126698</v>
      </c>
      <c r="AF436" s="1343"/>
      <c r="AG436" s="1344"/>
      <c r="AH436" s="1344"/>
      <c r="AI436" s="1343"/>
      <c r="AJ436" s="1344"/>
      <c r="AK436" s="1345"/>
      <c r="AL436" s="771"/>
    </row>
    <row r="437" spans="1:38" ht="11.25" customHeight="1">
      <c r="A437" t="s">
        <v>1021</v>
      </c>
      <c r="E437" s="556"/>
      <c r="F437" s="1354"/>
      <c r="G437" s="1326"/>
      <c r="H437" s="1327" t="s">
        <v>91</v>
      </c>
      <c r="I437" s="1328"/>
      <c r="J437" s="1341"/>
      <c r="K437" s="1330"/>
      <c r="L437" s="1058"/>
      <c r="M437" s="1342"/>
      <c r="N437" s="1333"/>
      <c r="O437" s="1334"/>
      <c r="P437" s="1337"/>
      <c r="Q437" s="1323"/>
      <c r="R437" s="1323"/>
      <c r="S437" s="1338"/>
      <c r="T437" s="1323"/>
      <c r="U437" s="1323"/>
      <c r="V437" s="1323"/>
      <c r="W437" s="1323"/>
      <c r="X437" s="1323"/>
      <c r="Y437" s="1323"/>
      <c r="Z437" s="229"/>
      <c r="AA437" s="230"/>
      <c r="AB437" s="44" t="s">
        <v>1064</v>
      </c>
      <c r="AC437" s="231"/>
      <c r="AD437" s="231"/>
      <c r="AE437" s="245"/>
      <c r="AF437" s="1331"/>
      <c r="AG437" s="1332"/>
      <c r="AH437" s="1332"/>
      <c r="AI437" s="1331"/>
      <c r="AJ437" s="1332"/>
      <c r="AK437" s="1332"/>
      <c r="AL437" s="771"/>
    </row>
    <row r="438" spans="1:38" ht="11.25" customHeight="1">
      <c r="A438" t="s">
        <v>1021</v>
      </c>
      <c r="E438" s="556"/>
      <c r="F438" s="1354"/>
      <c r="G438" s="1326"/>
      <c r="H438" s="1327" t="s">
        <v>91</v>
      </c>
      <c r="I438" s="1328"/>
      <c r="J438" s="1341"/>
      <c r="K438" s="1330"/>
      <c r="L438" s="1058"/>
      <c r="M438" s="1342"/>
      <c r="N438" s="229"/>
      <c r="O438" s="230"/>
      <c r="P438" s="44" t="s">
        <v>1065</v>
      </c>
      <c r="Q438" s="230"/>
      <c r="R438" s="230"/>
      <c r="S438" s="230"/>
      <c r="T438" s="230"/>
      <c r="U438" s="230"/>
      <c r="V438" s="230"/>
      <c r="W438" s="230"/>
      <c r="X438" s="230"/>
      <c r="Y438" s="230"/>
      <c r="Z438" s="230"/>
      <c r="AA438" s="230"/>
      <c r="AB438" s="230"/>
      <c r="AC438" s="230"/>
      <c r="AD438" s="230"/>
      <c r="AE438" s="246"/>
      <c r="AF438" s="1331"/>
      <c r="AG438" s="1332"/>
      <c r="AH438" s="1332"/>
      <c r="AI438" s="1331"/>
      <c r="AJ438" s="1332"/>
      <c r="AK438" s="1332"/>
      <c r="AL438" s="771"/>
    </row>
    <row r="439" spans="1:38" ht="11.25" customHeight="1">
      <c r="A439" t="s">
        <v>1021</v>
      </c>
      <c r="B439" t="s">
        <v>1076</v>
      </c>
      <c r="E439" s="556"/>
      <c r="F439" s="1354"/>
      <c r="G439" s="1304" t="s">
        <v>103</v>
      </c>
      <c r="H439" s="1327" t="s">
        <v>116</v>
      </c>
      <c r="I439" s="1328" t="s">
        <v>1077</v>
      </c>
      <c r="J439" s="1341" t="s">
        <v>1078</v>
      </c>
      <c r="K439" s="1330" t="s">
        <v>1108</v>
      </c>
      <c r="L439" s="1058" t="s">
        <v>61</v>
      </c>
      <c r="M439" s="1342" t="s">
        <v>1020</v>
      </c>
      <c r="N439" s="241"/>
      <c r="O439" s="242" t="s">
        <v>387</v>
      </c>
      <c r="P439" s="243"/>
      <c r="Q439" s="243"/>
      <c r="R439" s="243"/>
      <c r="S439" s="243"/>
      <c r="T439" s="243"/>
      <c r="U439" s="243"/>
      <c r="V439" s="243"/>
      <c r="W439" s="243"/>
      <c r="X439" s="243"/>
      <c r="Y439" s="243"/>
      <c r="Z439" s="243"/>
      <c r="AA439" s="243"/>
      <c r="AB439" s="243"/>
      <c r="AC439" s="243"/>
      <c r="AD439" s="243"/>
      <c r="AE439" s="243"/>
      <c r="AF439" s="1331">
        <v>7</v>
      </c>
      <c r="AG439" s="1332" t="s">
        <v>1055</v>
      </c>
      <c r="AH439" s="1332" t="s">
        <v>1109</v>
      </c>
      <c r="AI439" s="1331">
        <v>7</v>
      </c>
      <c r="AJ439" s="1332" t="s">
        <v>1055</v>
      </c>
      <c r="AK439" s="1332" t="s">
        <v>1109</v>
      </c>
      <c r="AL439" s="771"/>
    </row>
    <row r="440" spans="1:38" ht="11.25" customHeight="1">
      <c r="A440" t="s">
        <v>1021</v>
      </c>
      <c r="E440" s="556"/>
      <c r="F440" s="1354"/>
      <c r="G440" s="1326"/>
      <c r="H440" s="1327" t="s">
        <v>92</v>
      </c>
      <c r="I440" s="1328"/>
      <c r="J440" s="1341"/>
      <c r="K440" s="1330"/>
      <c r="L440" s="1058"/>
      <c r="M440" s="1342"/>
      <c r="N440" s="1333"/>
      <c r="O440" s="1334">
        <v>1</v>
      </c>
      <c r="P440" s="1335" t="s">
        <v>19</v>
      </c>
      <c r="Q440" s="1323" t="s">
        <v>22</v>
      </c>
      <c r="R440" s="1323" t="s">
        <v>22</v>
      </c>
      <c r="S440" s="1323" t="s">
        <v>22</v>
      </c>
      <c r="T440" s="1323" t="s">
        <v>22</v>
      </c>
      <c r="U440" s="1323" t="s">
        <v>22</v>
      </c>
      <c r="V440" s="1323" t="s">
        <v>22</v>
      </c>
      <c r="W440" s="1323" t="s">
        <v>22</v>
      </c>
      <c r="X440" s="1323" t="s">
        <v>22</v>
      </c>
      <c r="Y440" s="1323"/>
      <c r="Z440" s="229"/>
      <c r="AA440" s="230"/>
      <c r="AB440" s="230"/>
      <c r="AC440" s="231"/>
      <c r="AD440" s="231"/>
      <c r="AE440" s="244"/>
      <c r="AF440" s="1331"/>
      <c r="AG440" s="1332"/>
      <c r="AH440" s="1332"/>
      <c r="AI440" s="1331"/>
      <c r="AJ440" s="1332"/>
      <c r="AK440" s="1332"/>
      <c r="AL440" s="771"/>
    </row>
    <row r="441" spans="1:38" ht="11.25" customHeight="1">
      <c r="A441" t="s">
        <v>1021</v>
      </c>
      <c r="E441" s="556"/>
      <c r="F441" s="1354"/>
      <c r="G441" s="1326"/>
      <c r="H441" s="1327" t="s">
        <v>92</v>
      </c>
      <c r="I441" s="1328"/>
      <c r="J441" s="1341"/>
      <c r="K441" s="1330"/>
      <c r="L441" s="1058"/>
      <c r="M441" s="1342"/>
      <c r="N441" s="1333"/>
      <c r="O441" s="1334"/>
      <c r="P441" s="1336"/>
      <c r="Q441" s="1323"/>
      <c r="R441" s="1323"/>
      <c r="S441" s="1338"/>
      <c r="T441" s="1323"/>
      <c r="U441" s="1323"/>
      <c r="V441" s="1323"/>
      <c r="W441" s="1323"/>
      <c r="X441" s="1323"/>
      <c r="Y441" s="1323"/>
      <c r="AA441" s="777">
        <v>1</v>
      </c>
      <c r="AB441" s="778" t="s">
        <v>1128</v>
      </c>
      <c r="AC441" s="236">
        <v>3336.1964863065</v>
      </c>
      <c r="AD441" s="778" t="str">
        <f>AB441</f>
        <v xml:space="preserve">  Прибыль направляемая на инвестиции</v>
      </c>
      <c r="AE441" s="236">
        <f>AC441</f>
        <v>3336.1964863065</v>
      </c>
      <c r="AF441" s="1331"/>
      <c r="AG441" s="1332"/>
      <c r="AH441" s="1332"/>
      <c r="AI441" s="1331"/>
      <c r="AJ441" s="1332"/>
      <c r="AK441" s="1332"/>
      <c r="AL441" s="771"/>
    </row>
    <row r="442" spans="1:38" ht="11.25" customHeight="1">
      <c r="A442" t="s">
        <v>1021</v>
      </c>
      <c r="E442" s="556"/>
      <c r="F442" s="1326"/>
      <c r="G442" s="1326"/>
      <c r="H442" s="1326"/>
      <c r="I442" s="1326"/>
      <c r="J442" s="1326"/>
      <c r="K442" s="1326"/>
      <c r="L442" s="1326"/>
      <c r="M442" s="1346"/>
      <c r="N442" s="1326"/>
      <c r="O442" s="1326"/>
      <c r="P442" s="1326"/>
      <c r="Q442" s="1326"/>
      <c r="R442" s="1326"/>
      <c r="S442" s="1326"/>
      <c r="T442" s="1326"/>
      <c r="U442" s="1326"/>
      <c r="V442" s="1326"/>
      <c r="W442" s="1326"/>
      <c r="X442" s="1326"/>
      <c r="Y442" s="1326"/>
      <c r="Z442" s="181" t="s">
        <v>103</v>
      </c>
      <c r="AA442" s="779" t="s">
        <v>102</v>
      </c>
      <c r="AB442" s="778" t="s">
        <v>1129</v>
      </c>
      <c r="AC442" s="236">
        <v>1387.8035136935</v>
      </c>
      <c r="AD442" s="778" t="str">
        <f>AB442</f>
        <v xml:space="preserve">     Прочие амортизационные отчисления</v>
      </c>
      <c r="AE442" s="236">
        <f>AC442</f>
        <v>1387.8035136935</v>
      </c>
      <c r="AF442" s="1343"/>
      <c r="AG442" s="1344"/>
      <c r="AH442" s="1344"/>
      <c r="AI442" s="1343"/>
      <c r="AJ442" s="1344"/>
      <c r="AK442" s="1345"/>
      <c r="AL442" s="771"/>
    </row>
    <row r="443" spans="1:38" ht="11.25" customHeight="1">
      <c r="A443" t="s">
        <v>1021</v>
      </c>
      <c r="E443" s="556"/>
      <c r="F443" s="1354"/>
      <c r="G443" s="1326"/>
      <c r="H443" s="1327" t="s">
        <v>92</v>
      </c>
      <c r="I443" s="1328"/>
      <c r="J443" s="1341"/>
      <c r="K443" s="1330"/>
      <c r="L443" s="1058"/>
      <c r="M443" s="1342"/>
      <c r="N443" s="1333"/>
      <c r="O443" s="1334"/>
      <c r="P443" s="1337"/>
      <c r="Q443" s="1323"/>
      <c r="R443" s="1323"/>
      <c r="S443" s="1338"/>
      <c r="T443" s="1323"/>
      <c r="U443" s="1323"/>
      <c r="V443" s="1323"/>
      <c r="W443" s="1323"/>
      <c r="X443" s="1323"/>
      <c r="Y443" s="1323"/>
      <c r="Z443" s="229"/>
      <c r="AA443" s="230"/>
      <c r="AB443" s="44" t="s">
        <v>1064</v>
      </c>
      <c r="AC443" s="231"/>
      <c r="AD443" s="231"/>
      <c r="AE443" s="245"/>
      <c r="AF443" s="1331"/>
      <c r="AG443" s="1332"/>
      <c r="AH443" s="1332"/>
      <c r="AI443" s="1331"/>
      <c r="AJ443" s="1332"/>
      <c r="AK443" s="1332"/>
      <c r="AL443" s="771"/>
    </row>
    <row r="444" spans="1:38" ht="11.25" customHeight="1">
      <c r="A444" t="s">
        <v>1021</v>
      </c>
      <c r="E444" s="556"/>
      <c r="F444" s="1354"/>
      <c r="G444" s="1326"/>
      <c r="H444" s="1327" t="s">
        <v>92</v>
      </c>
      <c r="I444" s="1328"/>
      <c r="J444" s="1341"/>
      <c r="K444" s="1330"/>
      <c r="L444" s="1058"/>
      <c r="M444" s="1342"/>
      <c r="N444" s="229"/>
      <c r="O444" s="230"/>
      <c r="P444" s="44" t="s">
        <v>1065</v>
      </c>
      <c r="Q444" s="230"/>
      <c r="R444" s="230"/>
      <c r="S444" s="230"/>
      <c r="T444" s="230"/>
      <c r="U444" s="230"/>
      <c r="V444" s="230"/>
      <c r="W444" s="230"/>
      <c r="X444" s="230"/>
      <c r="Y444" s="230"/>
      <c r="Z444" s="230"/>
      <c r="AA444" s="230"/>
      <c r="AB444" s="230"/>
      <c r="AC444" s="230"/>
      <c r="AD444" s="230"/>
      <c r="AE444" s="246"/>
      <c r="AF444" s="1331"/>
      <c r="AG444" s="1332"/>
      <c r="AH444" s="1332"/>
      <c r="AI444" s="1331"/>
      <c r="AJ444" s="1332"/>
      <c r="AK444" s="1332"/>
      <c r="AL444" s="771"/>
    </row>
    <row r="445" spans="1:38" ht="11.25" customHeight="1">
      <c r="A445" t="s">
        <v>1021</v>
      </c>
      <c r="B445" t="s">
        <v>22</v>
      </c>
      <c r="E445" s="556"/>
      <c r="F445" s="1354"/>
      <c r="G445" s="1304" t="s">
        <v>103</v>
      </c>
      <c r="H445" s="1327" t="s">
        <v>161</v>
      </c>
      <c r="I445" s="1328" t="s">
        <v>1086</v>
      </c>
      <c r="J445" s="1329" t="s">
        <v>22</v>
      </c>
      <c r="K445" s="1330" t="s">
        <v>1099</v>
      </c>
      <c r="L445" s="1058" t="s">
        <v>19</v>
      </c>
      <c r="M445" s="1060"/>
      <c r="N445" s="241"/>
      <c r="O445" s="242" t="s">
        <v>387</v>
      </c>
      <c r="P445" s="243"/>
      <c r="Q445" s="243"/>
      <c r="R445" s="243"/>
      <c r="S445" s="243"/>
      <c r="T445" s="243"/>
      <c r="U445" s="243"/>
      <c r="V445" s="243"/>
      <c r="W445" s="243"/>
      <c r="X445" s="243"/>
      <c r="Y445" s="243"/>
      <c r="Z445" s="243"/>
      <c r="AA445" s="243"/>
      <c r="AB445" s="243"/>
      <c r="AC445" s="243"/>
      <c r="AD445" s="243"/>
      <c r="AE445" s="243"/>
      <c r="AF445" s="1331">
        <v>1</v>
      </c>
      <c r="AG445" s="1332" t="s">
        <v>1055</v>
      </c>
      <c r="AH445" s="1332" t="s">
        <v>1082</v>
      </c>
      <c r="AI445" s="1331">
        <v>1</v>
      </c>
      <c r="AJ445" s="1332" t="s">
        <v>1055</v>
      </c>
      <c r="AK445" s="1332" t="s">
        <v>1082</v>
      </c>
      <c r="AL445" s="771"/>
    </row>
    <row r="446" spans="1:38" ht="11.25" customHeight="1">
      <c r="A446" t="s">
        <v>1021</v>
      </c>
      <c r="E446" s="556"/>
      <c r="F446" s="1354"/>
      <c r="G446" s="1326"/>
      <c r="H446" s="1327" t="s">
        <v>116</v>
      </c>
      <c r="I446" s="1328"/>
      <c r="J446" s="1329"/>
      <c r="K446" s="1330"/>
      <c r="L446" s="1058"/>
      <c r="M446" s="1060"/>
      <c r="N446" s="1333"/>
      <c r="O446" s="1334">
        <v>1</v>
      </c>
      <c r="P446" s="1335" t="s">
        <v>61</v>
      </c>
      <c r="Q446" s="1339" t="s">
        <v>1074</v>
      </c>
      <c r="R446" s="1340" t="s">
        <v>1058</v>
      </c>
      <c r="S446" s="1340" t="s">
        <v>99</v>
      </c>
      <c r="T446" s="1340" t="s">
        <v>99</v>
      </c>
      <c r="U446" s="1340" t="s">
        <v>100</v>
      </c>
      <c r="V446" s="1340" t="s">
        <v>1059</v>
      </c>
      <c r="W446" s="1340" t="s">
        <v>1060</v>
      </c>
      <c r="X446" s="1340" t="s">
        <v>1070</v>
      </c>
      <c r="Y446" s="1340" t="s">
        <v>1075</v>
      </c>
      <c r="Z446" s="229"/>
      <c r="AA446" s="230"/>
      <c r="AB446" s="230"/>
      <c r="AC446" s="231"/>
      <c r="AD446" s="231"/>
      <c r="AE446" s="244"/>
      <c r="AF446" s="1331"/>
      <c r="AG446" s="1332"/>
      <c r="AH446" s="1332"/>
      <c r="AI446" s="1331"/>
      <c r="AJ446" s="1332"/>
      <c r="AK446" s="1332"/>
      <c r="AL446" s="771"/>
    </row>
    <row r="447" spans="1:38" ht="11.25" customHeight="1">
      <c r="A447" t="s">
        <v>1021</v>
      </c>
      <c r="E447" s="556"/>
      <c r="F447" s="1354"/>
      <c r="G447" s="1326"/>
      <c r="H447" s="1327" t="s">
        <v>116</v>
      </c>
      <c r="I447" s="1328"/>
      <c r="J447" s="1329"/>
      <c r="K447" s="1330"/>
      <c r="L447" s="1058"/>
      <c r="M447" s="1060"/>
      <c r="N447" s="1333"/>
      <c r="O447" s="1334"/>
      <c r="P447" s="1336"/>
      <c r="Q447" s="1339"/>
      <c r="R447" s="1323"/>
      <c r="S447" s="1338"/>
      <c r="T447" s="1323"/>
      <c r="U447" s="1323"/>
      <c r="V447" s="1323"/>
      <c r="W447" s="1323"/>
      <c r="X447" s="1323"/>
      <c r="Y447" s="1323"/>
      <c r="AA447" s="777">
        <v>1</v>
      </c>
      <c r="AB447" s="778" t="s">
        <v>1128</v>
      </c>
      <c r="AC447" s="236">
        <v>1295.91882988409</v>
      </c>
      <c r="AD447" s="778" t="str">
        <f>AB447</f>
        <v xml:space="preserve">  Прибыль направляемая на инвестиции</v>
      </c>
      <c r="AE447" s="236">
        <f>AC447</f>
        <v>1295.91882988409</v>
      </c>
      <c r="AF447" s="1331"/>
      <c r="AG447" s="1332"/>
      <c r="AH447" s="1332"/>
      <c r="AI447" s="1331"/>
      <c r="AJ447" s="1332"/>
      <c r="AK447" s="1332"/>
      <c r="AL447" s="771"/>
    </row>
    <row r="448" spans="1:38" ht="11.25" customHeight="1">
      <c r="A448" t="s">
        <v>1021</v>
      </c>
      <c r="E448" s="556"/>
      <c r="F448" s="1326"/>
      <c r="G448" s="1326"/>
      <c r="H448" s="1326"/>
      <c r="I448" s="1326"/>
      <c r="J448" s="1326"/>
      <c r="K448" s="1326"/>
      <c r="L448" s="1326"/>
      <c r="M448" s="1326"/>
      <c r="N448" s="1326"/>
      <c r="O448" s="1326"/>
      <c r="P448" s="1326"/>
      <c r="Q448" s="1326"/>
      <c r="R448" s="1326"/>
      <c r="S448" s="1326"/>
      <c r="T448" s="1326"/>
      <c r="U448" s="1326"/>
      <c r="V448" s="1326"/>
      <c r="W448" s="1326"/>
      <c r="X448" s="1326"/>
      <c r="Y448" s="1326"/>
      <c r="Z448" s="181" t="s">
        <v>103</v>
      </c>
      <c r="AA448" s="779" t="s">
        <v>102</v>
      </c>
      <c r="AB448" s="778" t="s">
        <v>1129</v>
      </c>
      <c r="AC448" s="236">
        <v>539.08117011591105</v>
      </c>
      <c r="AD448" s="778" t="str">
        <f>AB448</f>
        <v xml:space="preserve">     Прочие амортизационные отчисления</v>
      </c>
      <c r="AE448" s="236">
        <f>AC448</f>
        <v>539.08117011591105</v>
      </c>
      <c r="AF448" s="1343"/>
      <c r="AG448" s="1344"/>
      <c r="AH448" s="1344"/>
      <c r="AI448" s="1343"/>
      <c r="AJ448" s="1344"/>
      <c r="AK448" s="1345"/>
      <c r="AL448" s="771"/>
    </row>
    <row r="449" spans="1:38" ht="11.25" customHeight="1">
      <c r="A449" t="s">
        <v>1021</v>
      </c>
      <c r="E449" s="556"/>
      <c r="F449" s="1354"/>
      <c r="G449" s="1326"/>
      <c r="H449" s="1327" t="s">
        <v>116</v>
      </c>
      <c r="I449" s="1328"/>
      <c r="J449" s="1329"/>
      <c r="K449" s="1330"/>
      <c r="L449" s="1058"/>
      <c r="M449" s="1060"/>
      <c r="N449" s="1333"/>
      <c r="O449" s="1334"/>
      <c r="P449" s="1337"/>
      <c r="Q449" s="1339"/>
      <c r="R449" s="1323"/>
      <c r="S449" s="1338"/>
      <c r="T449" s="1323"/>
      <c r="U449" s="1323"/>
      <c r="V449" s="1323"/>
      <c r="W449" s="1323"/>
      <c r="X449" s="1323"/>
      <c r="Y449" s="1323"/>
      <c r="Z449" s="229"/>
      <c r="AA449" s="230"/>
      <c r="AB449" s="44" t="s">
        <v>1064</v>
      </c>
      <c r="AC449" s="231"/>
      <c r="AD449" s="231"/>
      <c r="AE449" s="245"/>
      <c r="AF449" s="1331"/>
      <c r="AG449" s="1332"/>
      <c r="AH449" s="1332"/>
      <c r="AI449" s="1331"/>
      <c r="AJ449" s="1332"/>
      <c r="AK449" s="1332"/>
      <c r="AL449" s="771"/>
    </row>
    <row r="450" spans="1:38" ht="11.25" customHeight="1">
      <c r="A450" t="s">
        <v>1021</v>
      </c>
      <c r="E450" s="556"/>
      <c r="F450" s="1354"/>
      <c r="G450" s="1326"/>
      <c r="H450" s="1327" t="s">
        <v>116</v>
      </c>
      <c r="I450" s="1328"/>
      <c r="J450" s="1329"/>
      <c r="K450" s="1330"/>
      <c r="L450" s="1058"/>
      <c r="M450" s="1060"/>
      <c r="N450" s="229"/>
      <c r="O450" s="230"/>
      <c r="P450" s="44" t="s">
        <v>1065</v>
      </c>
      <c r="Q450" s="230"/>
      <c r="R450" s="230"/>
      <c r="S450" s="230"/>
      <c r="T450" s="230"/>
      <c r="U450" s="230"/>
      <c r="V450" s="230"/>
      <c r="W450" s="230"/>
      <c r="X450" s="230"/>
      <c r="Y450" s="230"/>
      <c r="Z450" s="230"/>
      <c r="AA450" s="230"/>
      <c r="AB450" s="230"/>
      <c r="AC450" s="230"/>
      <c r="AD450" s="230"/>
      <c r="AE450" s="246"/>
      <c r="AF450" s="1331"/>
      <c r="AG450" s="1332"/>
      <c r="AH450" s="1332"/>
      <c r="AI450" s="1331"/>
      <c r="AJ450" s="1332"/>
      <c r="AK450" s="1332"/>
      <c r="AL450" s="771"/>
    </row>
    <row r="451" spans="1:38" ht="11.25" customHeight="1">
      <c r="A451" t="s">
        <v>1021</v>
      </c>
      <c r="B451" t="s">
        <v>1122</v>
      </c>
      <c r="E451" s="556"/>
      <c r="F451" s="1354"/>
      <c r="G451" s="1304" t="s">
        <v>103</v>
      </c>
      <c r="H451" s="1327" t="s">
        <v>162</v>
      </c>
      <c r="I451" s="1328" t="s">
        <v>1123</v>
      </c>
      <c r="J451" s="1341" t="s">
        <v>1124</v>
      </c>
      <c r="K451" s="1330" t="s">
        <v>1125</v>
      </c>
      <c r="L451" s="1058" t="s">
        <v>19</v>
      </c>
      <c r="M451" s="1060"/>
      <c r="N451" s="241"/>
      <c r="O451" s="242" t="s">
        <v>387</v>
      </c>
      <c r="P451" s="243"/>
      <c r="Q451" s="243"/>
      <c r="R451" s="243"/>
      <c r="S451" s="243"/>
      <c r="T451" s="243"/>
      <c r="U451" s="243"/>
      <c r="V451" s="243"/>
      <c r="W451" s="243"/>
      <c r="X451" s="243"/>
      <c r="Y451" s="243"/>
      <c r="Z451" s="243"/>
      <c r="AA451" s="243"/>
      <c r="AB451" s="243"/>
      <c r="AC451" s="243"/>
      <c r="AD451" s="243"/>
      <c r="AE451" s="243"/>
      <c r="AF451" s="1331">
        <v>3</v>
      </c>
      <c r="AG451" s="1332" t="s">
        <v>1055</v>
      </c>
      <c r="AH451" s="1332" t="s">
        <v>1126</v>
      </c>
      <c r="AI451" s="1331">
        <v>3</v>
      </c>
      <c r="AJ451" s="1332" t="s">
        <v>1055</v>
      </c>
      <c r="AK451" s="1332" t="s">
        <v>1126</v>
      </c>
      <c r="AL451" s="771"/>
    </row>
    <row r="452" spans="1:38" ht="11.25" customHeight="1">
      <c r="A452" t="s">
        <v>1021</v>
      </c>
      <c r="E452" s="556"/>
      <c r="F452" s="1354"/>
      <c r="G452" s="1326"/>
      <c r="H452" s="1327" t="s">
        <v>161</v>
      </c>
      <c r="I452" s="1328"/>
      <c r="J452" s="1341"/>
      <c r="K452" s="1330"/>
      <c r="L452" s="1058"/>
      <c r="M452" s="1060"/>
      <c r="N452" s="1333"/>
      <c r="O452" s="1334">
        <v>1</v>
      </c>
      <c r="P452" s="1335" t="s">
        <v>19</v>
      </c>
      <c r="Q452" s="1323" t="s">
        <v>22</v>
      </c>
      <c r="R452" s="1323" t="s">
        <v>22</v>
      </c>
      <c r="S452" s="1323" t="s">
        <v>22</v>
      </c>
      <c r="T452" s="1323" t="s">
        <v>22</v>
      </c>
      <c r="U452" s="1323" t="s">
        <v>22</v>
      </c>
      <c r="V452" s="1323" t="s">
        <v>22</v>
      </c>
      <c r="W452" s="1323" t="s">
        <v>22</v>
      </c>
      <c r="X452" s="1323" t="s">
        <v>22</v>
      </c>
      <c r="Y452" s="1323"/>
      <c r="Z452" s="229"/>
      <c r="AA452" s="230"/>
      <c r="AB452" s="230"/>
      <c r="AC452" s="231"/>
      <c r="AD452" s="231"/>
      <c r="AE452" s="244"/>
      <c r="AF452" s="1331"/>
      <c r="AG452" s="1332"/>
      <c r="AH452" s="1332"/>
      <c r="AI452" s="1331"/>
      <c r="AJ452" s="1332"/>
      <c r="AK452" s="1332"/>
      <c r="AL452" s="771"/>
    </row>
    <row r="453" spans="1:38" ht="11.25" customHeight="1">
      <c r="A453" t="s">
        <v>1021</v>
      </c>
      <c r="E453" s="556"/>
      <c r="F453" s="1354"/>
      <c r="G453" s="1326"/>
      <c r="H453" s="1327" t="s">
        <v>161</v>
      </c>
      <c r="I453" s="1328"/>
      <c r="J453" s="1341"/>
      <c r="K453" s="1330"/>
      <c r="L453" s="1058"/>
      <c r="M453" s="1060"/>
      <c r="N453" s="1333"/>
      <c r="O453" s="1334"/>
      <c r="P453" s="1336"/>
      <c r="Q453" s="1323"/>
      <c r="R453" s="1323"/>
      <c r="S453" s="1338"/>
      <c r="T453" s="1323"/>
      <c r="U453" s="1323"/>
      <c r="V453" s="1323"/>
      <c r="W453" s="1323"/>
      <c r="X453" s="1323"/>
      <c r="Y453" s="1323"/>
      <c r="AA453" s="777">
        <v>1</v>
      </c>
      <c r="AB453" s="778" t="s">
        <v>1127</v>
      </c>
      <c r="AC453" s="236">
        <v>29.673010000000001</v>
      </c>
      <c r="AD453" s="778" t="str">
        <f>AB453</f>
        <v xml:space="preserve">  Средства, полученные за счет платы за подключение (технологическое присоединение)</v>
      </c>
      <c r="AE453" s="236">
        <f>AC453</f>
        <v>29.673010000000001</v>
      </c>
      <c r="AF453" s="1331"/>
      <c r="AG453" s="1332"/>
      <c r="AH453" s="1332"/>
      <c r="AI453" s="1331"/>
      <c r="AJ453" s="1332"/>
      <c r="AK453" s="1332"/>
      <c r="AL453" s="771"/>
    </row>
    <row r="454" spans="1:38" ht="11.25" customHeight="1">
      <c r="A454" t="s">
        <v>1021</v>
      </c>
      <c r="E454" s="556"/>
      <c r="F454" s="1354"/>
      <c r="G454" s="1326"/>
      <c r="H454" s="1327" t="s">
        <v>161</v>
      </c>
      <c r="I454" s="1328"/>
      <c r="J454" s="1341"/>
      <c r="K454" s="1330"/>
      <c r="L454" s="1058"/>
      <c r="M454" s="1060"/>
      <c r="N454" s="1333"/>
      <c r="O454" s="1334"/>
      <c r="P454" s="1337"/>
      <c r="Q454" s="1323"/>
      <c r="R454" s="1323"/>
      <c r="S454" s="1338"/>
      <c r="T454" s="1323"/>
      <c r="U454" s="1323"/>
      <c r="V454" s="1323"/>
      <c r="W454" s="1323"/>
      <c r="X454" s="1323"/>
      <c r="Y454" s="1323"/>
      <c r="Z454" s="229"/>
      <c r="AA454" s="230"/>
      <c r="AB454" s="44" t="s">
        <v>1064</v>
      </c>
      <c r="AC454" s="231"/>
      <c r="AD454" s="231"/>
      <c r="AE454" s="245"/>
      <c r="AF454" s="1331"/>
      <c r="AG454" s="1332"/>
      <c r="AH454" s="1332"/>
      <c r="AI454" s="1331"/>
      <c r="AJ454" s="1332"/>
      <c r="AK454" s="1332"/>
      <c r="AL454" s="771"/>
    </row>
    <row r="455" spans="1:38" ht="11.25" customHeight="1">
      <c r="A455" t="s">
        <v>1021</v>
      </c>
      <c r="E455" s="556"/>
      <c r="F455" s="1354"/>
      <c r="G455" s="1326"/>
      <c r="H455" s="1327" t="s">
        <v>161</v>
      </c>
      <c r="I455" s="1328"/>
      <c r="J455" s="1341"/>
      <c r="K455" s="1330"/>
      <c r="L455" s="1058"/>
      <c r="M455" s="1060"/>
      <c r="N455" s="229"/>
      <c r="O455" s="230"/>
      <c r="P455" s="44" t="s">
        <v>1065</v>
      </c>
      <c r="Q455" s="230"/>
      <c r="R455" s="230"/>
      <c r="S455" s="230"/>
      <c r="T455" s="230"/>
      <c r="U455" s="230"/>
      <c r="V455" s="230"/>
      <c r="W455" s="230"/>
      <c r="X455" s="230"/>
      <c r="Y455" s="230"/>
      <c r="Z455" s="230"/>
      <c r="AA455" s="230"/>
      <c r="AB455" s="230"/>
      <c r="AC455" s="230"/>
      <c r="AD455" s="230"/>
      <c r="AE455" s="246"/>
      <c r="AF455" s="1331"/>
      <c r="AG455" s="1332"/>
      <c r="AH455" s="1332"/>
      <c r="AI455" s="1331"/>
      <c r="AJ455" s="1332"/>
      <c r="AK455" s="1332"/>
      <c r="AL455" s="771"/>
    </row>
    <row r="456" spans="1:38" ht="11.25" customHeight="1">
      <c r="A456" t="s">
        <v>1021</v>
      </c>
      <c r="B456" t="s">
        <v>22</v>
      </c>
      <c r="E456" s="556"/>
      <c r="F456" s="1354"/>
      <c r="G456" s="1304" t="s">
        <v>103</v>
      </c>
      <c r="H456" s="1327" t="s">
        <v>163</v>
      </c>
      <c r="I456" s="1328" t="s">
        <v>1080</v>
      </c>
      <c r="J456" s="1329" t="s">
        <v>22</v>
      </c>
      <c r="K456" s="1330" t="s">
        <v>1081</v>
      </c>
      <c r="L456" s="1058" t="s">
        <v>19</v>
      </c>
      <c r="M456" s="1060"/>
      <c r="N456" s="241"/>
      <c r="O456" s="242" t="s">
        <v>387</v>
      </c>
      <c r="P456" s="243"/>
      <c r="Q456" s="243"/>
      <c r="R456" s="243"/>
      <c r="S456" s="243"/>
      <c r="T456" s="243"/>
      <c r="U456" s="243"/>
      <c r="V456" s="243"/>
      <c r="W456" s="243"/>
      <c r="X456" s="243"/>
      <c r="Y456" s="243"/>
      <c r="Z456" s="243"/>
      <c r="AA456" s="243"/>
      <c r="AB456" s="243"/>
      <c r="AC456" s="243"/>
      <c r="AD456" s="243"/>
      <c r="AE456" s="243"/>
      <c r="AF456" s="1331">
        <v>1</v>
      </c>
      <c r="AG456" s="1332" t="s">
        <v>1055</v>
      </c>
      <c r="AH456" s="1332" t="s">
        <v>1082</v>
      </c>
      <c r="AI456" s="1331">
        <v>1</v>
      </c>
      <c r="AJ456" s="1332" t="s">
        <v>1055</v>
      </c>
      <c r="AK456" s="1332" t="s">
        <v>1082</v>
      </c>
      <c r="AL456" s="771"/>
    </row>
    <row r="457" spans="1:38" ht="11.25" customHeight="1">
      <c r="A457" t="s">
        <v>1021</v>
      </c>
      <c r="E457" s="556"/>
      <c r="F457" s="1354"/>
      <c r="G457" s="1326"/>
      <c r="H457" s="1327" t="s">
        <v>162</v>
      </c>
      <c r="I457" s="1328"/>
      <c r="J457" s="1329"/>
      <c r="K457" s="1330"/>
      <c r="L457" s="1058"/>
      <c r="M457" s="1060"/>
      <c r="N457" s="1333"/>
      <c r="O457" s="1334">
        <v>1</v>
      </c>
      <c r="P457" s="1335" t="s">
        <v>19</v>
      </c>
      <c r="Q457" s="1323" t="s">
        <v>22</v>
      </c>
      <c r="R457" s="1323" t="s">
        <v>22</v>
      </c>
      <c r="S457" s="1323" t="s">
        <v>22</v>
      </c>
      <c r="T457" s="1323" t="s">
        <v>22</v>
      </c>
      <c r="U457" s="1323" t="s">
        <v>22</v>
      </c>
      <c r="V457" s="1323" t="s">
        <v>22</v>
      </c>
      <c r="W457" s="1323" t="s">
        <v>22</v>
      </c>
      <c r="X457" s="1323" t="s">
        <v>22</v>
      </c>
      <c r="Y457" s="1323"/>
      <c r="Z457" s="229"/>
      <c r="AA457" s="230"/>
      <c r="AB457" s="230"/>
      <c r="AC457" s="231"/>
      <c r="AD457" s="231"/>
      <c r="AE457" s="244"/>
      <c r="AF457" s="1331"/>
      <c r="AG457" s="1332"/>
      <c r="AH457" s="1332"/>
      <c r="AI457" s="1331"/>
      <c r="AJ457" s="1332"/>
      <c r="AK457" s="1332"/>
      <c r="AL457" s="771"/>
    </row>
    <row r="458" spans="1:38" ht="11.25" customHeight="1">
      <c r="A458" t="s">
        <v>1021</v>
      </c>
      <c r="E458" s="556"/>
      <c r="F458" s="1354"/>
      <c r="G458" s="1326"/>
      <c r="H458" s="1327" t="s">
        <v>162</v>
      </c>
      <c r="I458" s="1328"/>
      <c r="J458" s="1329"/>
      <c r="K458" s="1330"/>
      <c r="L458" s="1058"/>
      <c r="M458" s="1060"/>
      <c r="N458" s="1333"/>
      <c r="O458" s="1334"/>
      <c r="P458" s="1336"/>
      <c r="Q458" s="1323"/>
      <c r="R458" s="1323"/>
      <c r="S458" s="1338"/>
      <c r="T458" s="1323"/>
      <c r="U458" s="1323"/>
      <c r="V458" s="1323"/>
      <c r="W458" s="1323"/>
      <c r="X458" s="1323"/>
      <c r="Y458" s="1323"/>
      <c r="AA458" s="777">
        <v>1</v>
      </c>
      <c r="AB458" s="778" t="s">
        <v>1128</v>
      </c>
      <c r="AC458" s="236">
        <v>484.46883776593199</v>
      </c>
      <c r="AD458" s="778" t="str">
        <f>AB458</f>
        <v xml:space="preserve">  Прибыль направляемая на инвестиции</v>
      </c>
      <c r="AE458" s="236">
        <f>AC458</f>
        <v>484.46883776593199</v>
      </c>
      <c r="AF458" s="1331"/>
      <c r="AG458" s="1332"/>
      <c r="AH458" s="1332"/>
      <c r="AI458" s="1331"/>
      <c r="AJ458" s="1332"/>
      <c r="AK458" s="1332"/>
      <c r="AL458" s="771"/>
    </row>
    <row r="459" spans="1:38" ht="11.25" customHeight="1">
      <c r="A459" t="s">
        <v>1021</v>
      </c>
      <c r="E459" s="556"/>
      <c r="F459" s="1326"/>
      <c r="G459" s="1326"/>
      <c r="H459" s="1326"/>
      <c r="I459" s="1326"/>
      <c r="J459" s="1326"/>
      <c r="K459" s="1326"/>
      <c r="L459" s="1326"/>
      <c r="M459" s="1326"/>
      <c r="N459" s="1326"/>
      <c r="O459" s="1326"/>
      <c r="P459" s="1326"/>
      <c r="Q459" s="1326"/>
      <c r="R459" s="1326"/>
      <c r="S459" s="1326"/>
      <c r="T459" s="1326"/>
      <c r="U459" s="1326"/>
      <c r="V459" s="1326"/>
      <c r="W459" s="1326"/>
      <c r="X459" s="1326"/>
      <c r="Y459" s="1326"/>
      <c r="Z459" s="181" t="s">
        <v>103</v>
      </c>
      <c r="AA459" s="779" t="s">
        <v>102</v>
      </c>
      <c r="AB459" s="778" t="s">
        <v>1129</v>
      </c>
      <c r="AC459" s="236">
        <v>201.53116223406801</v>
      </c>
      <c r="AD459" s="778" t="str">
        <f>AB459</f>
        <v xml:space="preserve">     Прочие амортизационные отчисления</v>
      </c>
      <c r="AE459" s="236">
        <f>AC459</f>
        <v>201.53116223406801</v>
      </c>
      <c r="AF459" s="1343"/>
      <c r="AG459" s="1344"/>
      <c r="AH459" s="1344"/>
      <c r="AI459" s="1343"/>
      <c r="AJ459" s="1344"/>
      <c r="AK459" s="1345"/>
      <c r="AL459" s="771"/>
    </row>
    <row r="460" spans="1:38" ht="11.25" customHeight="1">
      <c r="A460" t="s">
        <v>1021</v>
      </c>
      <c r="E460" s="556"/>
      <c r="F460" s="1354"/>
      <c r="G460" s="1326"/>
      <c r="H460" s="1327" t="s">
        <v>162</v>
      </c>
      <c r="I460" s="1328"/>
      <c r="J460" s="1329"/>
      <c r="K460" s="1330"/>
      <c r="L460" s="1058"/>
      <c r="M460" s="1060"/>
      <c r="N460" s="1333"/>
      <c r="O460" s="1334"/>
      <c r="P460" s="1337"/>
      <c r="Q460" s="1323"/>
      <c r="R460" s="1323"/>
      <c r="S460" s="1338"/>
      <c r="T460" s="1323"/>
      <c r="U460" s="1323"/>
      <c r="V460" s="1323"/>
      <c r="W460" s="1323"/>
      <c r="X460" s="1323"/>
      <c r="Y460" s="1323"/>
      <c r="Z460" s="229"/>
      <c r="AA460" s="230"/>
      <c r="AB460" s="44" t="s">
        <v>1064</v>
      </c>
      <c r="AC460" s="231"/>
      <c r="AD460" s="231"/>
      <c r="AE460" s="245"/>
      <c r="AF460" s="1331"/>
      <c r="AG460" s="1332"/>
      <c r="AH460" s="1332"/>
      <c r="AI460" s="1331"/>
      <c r="AJ460" s="1332"/>
      <c r="AK460" s="1332"/>
      <c r="AL460" s="771"/>
    </row>
    <row r="461" spans="1:38" ht="11.25" customHeight="1">
      <c r="A461" t="s">
        <v>1021</v>
      </c>
      <c r="E461" s="556"/>
      <c r="F461" s="1354"/>
      <c r="G461" s="1326"/>
      <c r="H461" s="1327" t="s">
        <v>162</v>
      </c>
      <c r="I461" s="1328"/>
      <c r="J461" s="1329"/>
      <c r="K461" s="1330"/>
      <c r="L461" s="1058"/>
      <c r="M461" s="1060"/>
      <c r="N461" s="229"/>
      <c r="O461" s="230"/>
      <c r="P461" s="44" t="s">
        <v>1065</v>
      </c>
      <c r="Q461" s="230"/>
      <c r="R461" s="230"/>
      <c r="S461" s="230"/>
      <c r="T461" s="230"/>
      <c r="U461" s="230"/>
      <c r="V461" s="230"/>
      <c r="W461" s="230"/>
      <c r="X461" s="230"/>
      <c r="Y461" s="230"/>
      <c r="Z461" s="230"/>
      <c r="AA461" s="230"/>
      <c r="AB461" s="230"/>
      <c r="AC461" s="230"/>
      <c r="AD461" s="230"/>
      <c r="AE461" s="246"/>
      <c r="AF461" s="1331"/>
      <c r="AG461" s="1332"/>
      <c r="AH461" s="1332"/>
      <c r="AI461" s="1331"/>
      <c r="AJ461" s="1332"/>
      <c r="AK461" s="1332"/>
      <c r="AL461" s="771"/>
    </row>
    <row r="462" spans="1:38" ht="11.25" customHeight="1">
      <c r="A462" t="s">
        <v>1021</v>
      </c>
      <c r="B462" t="s">
        <v>22</v>
      </c>
      <c r="E462" s="556"/>
      <c r="F462" s="1354"/>
      <c r="G462" s="1304" t="s">
        <v>103</v>
      </c>
      <c r="H462" s="1327" t="s">
        <v>164</v>
      </c>
      <c r="I462" s="1328" t="s">
        <v>1080</v>
      </c>
      <c r="J462" s="1329" t="s">
        <v>22</v>
      </c>
      <c r="K462" s="1330" t="s">
        <v>1111</v>
      </c>
      <c r="L462" s="1058" t="s">
        <v>61</v>
      </c>
      <c r="M462" s="1342" t="s">
        <v>1020</v>
      </c>
      <c r="N462" s="241"/>
      <c r="O462" s="242" t="s">
        <v>387</v>
      </c>
      <c r="P462" s="243"/>
      <c r="Q462" s="243"/>
      <c r="R462" s="243"/>
      <c r="S462" s="243"/>
      <c r="T462" s="243"/>
      <c r="U462" s="243"/>
      <c r="V462" s="243"/>
      <c r="W462" s="243"/>
      <c r="X462" s="243"/>
      <c r="Y462" s="243"/>
      <c r="Z462" s="243"/>
      <c r="AA462" s="243"/>
      <c r="AB462" s="243"/>
      <c r="AC462" s="243"/>
      <c r="AD462" s="243"/>
      <c r="AE462" s="243"/>
      <c r="AF462" s="1331">
        <v>7</v>
      </c>
      <c r="AG462" s="1332" t="s">
        <v>1055</v>
      </c>
      <c r="AH462" s="1332" t="s">
        <v>1109</v>
      </c>
      <c r="AI462" s="1331">
        <v>7</v>
      </c>
      <c r="AJ462" s="1332" t="s">
        <v>1055</v>
      </c>
      <c r="AK462" s="1332" t="s">
        <v>1109</v>
      </c>
      <c r="AL462" s="771"/>
    </row>
    <row r="463" spans="1:38" ht="11.25" customHeight="1">
      <c r="A463" t="s">
        <v>1021</v>
      </c>
      <c r="E463" s="556"/>
      <c r="F463" s="1354"/>
      <c r="G463" s="1326"/>
      <c r="H463" s="1327" t="s">
        <v>163</v>
      </c>
      <c r="I463" s="1328"/>
      <c r="J463" s="1329"/>
      <c r="K463" s="1330"/>
      <c r="L463" s="1058"/>
      <c r="M463" s="1342"/>
      <c r="N463" s="1333"/>
      <c r="O463" s="1334">
        <v>1</v>
      </c>
      <c r="P463" s="1335" t="s">
        <v>19</v>
      </c>
      <c r="Q463" s="1323" t="s">
        <v>22</v>
      </c>
      <c r="R463" s="1323" t="s">
        <v>22</v>
      </c>
      <c r="S463" s="1323" t="s">
        <v>22</v>
      </c>
      <c r="T463" s="1323" t="s">
        <v>22</v>
      </c>
      <c r="U463" s="1323" t="s">
        <v>22</v>
      </c>
      <c r="V463" s="1323" t="s">
        <v>22</v>
      </c>
      <c r="W463" s="1323" t="s">
        <v>22</v>
      </c>
      <c r="X463" s="1323" t="s">
        <v>22</v>
      </c>
      <c r="Y463" s="1323"/>
      <c r="Z463" s="229"/>
      <c r="AA463" s="230"/>
      <c r="AB463" s="230"/>
      <c r="AC463" s="231"/>
      <c r="AD463" s="231"/>
      <c r="AE463" s="244"/>
      <c r="AF463" s="1331"/>
      <c r="AG463" s="1332"/>
      <c r="AH463" s="1332"/>
      <c r="AI463" s="1331"/>
      <c r="AJ463" s="1332"/>
      <c r="AK463" s="1332"/>
      <c r="AL463" s="771"/>
    </row>
    <row r="464" spans="1:38" ht="11.25" customHeight="1">
      <c r="A464" t="s">
        <v>1021</v>
      </c>
      <c r="E464" s="556"/>
      <c r="F464" s="1354"/>
      <c r="G464" s="1326"/>
      <c r="H464" s="1327" t="s">
        <v>163</v>
      </c>
      <c r="I464" s="1328"/>
      <c r="J464" s="1329"/>
      <c r="K464" s="1330"/>
      <c r="L464" s="1058"/>
      <c r="M464" s="1342"/>
      <c r="N464" s="1333"/>
      <c r="O464" s="1334"/>
      <c r="P464" s="1336"/>
      <c r="Q464" s="1323"/>
      <c r="R464" s="1323"/>
      <c r="S464" s="1338"/>
      <c r="T464" s="1323"/>
      <c r="U464" s="1323"/>
      <c r="V464" s="1323"/>
      <c r="W464" s="1323"/>
      <c r="X464" s="1323"/>
      <c r="Y464" s="1323"/>
      <c r="AA464" s="777">
        <v>1</v>
      </c>
      <c r="AB464" s="778" t="s">
        <v>1128</v>
      </c>
      <c r="AC464" s="236">
        <v>570.62801882634506</v>
      </c>
      <c r="AD464" s="778" t="str">
        <f>AB464</f>
        <v xml:space="preserve">  Прибыль направляемая на инвестиции</v>
      </c>
      <c r="AE464" s="236">
        <f>AC464</f>
        <v>570.62801882634506</v>
      </c>
      <c r="AF464" s="1331"/>
      <c r="AG464" s="1332"/>
      <c r="AH464" s="1332"/>
      <c r="AI464" s="1331"/>
      <c r="AJ464" s="1332"/>
      <c r="AK464" s="1332"/>
      <c r="AL464" s="771"/>
    </row>
    <row r="465" spans="1:38" ht="11.25" customHeight="1">
      <c r="A465" t="s">
        <v>1021</v>
      </c>
      <c r="E465" s="556"/>
      <c r="F465" s="1326"/>
      <c r="G465" s="1326"/>
      <c r="H465" s="1326"/>
      <c r="I465" s="1326"/>
      <c r="J465" s="1326"/>
      <c r="K465" s="1326"/>
      <c r="L465" s="1326"/>
      <c r="M465" s="1346"/>
      <c r="N465" s="1326"/>
      <c r="O465" s="1326"/>
      <c r="P465" s="1326"/>
      <c r="Q465" s="1326"/>
      <c r="R465" s="1326"/>
      <c r="S465" s="1326"/>
      <c r="T465" s="1326"/>
      <c r="U465" s="1326"/>
      <c r="V465" s="1326"/>
      <c r="W465" s="1326"/>
      <c r="X465" s="1326"/>
      <c r="Y465" s="1326"/>
      <c r="Z465" s="181" t="s">
        <v>103</v>
      </c>
      <c r="AA465" s="779" t="s">
        <v>102</v>
      </c>
      <c r="AB465" s="778" t="s">
        <v>1129</v>
      </c>
      <c r="AC465" s="236">
        <v>237.371981173655</v>
      </c>
      <c r="AD465" s="778" t="str">
        <f>AB465</f>
        <v xml:space="preserve">     Прочие амортизационные отчисления</v>
      </c>
      <c r="AE465" s="236">
        <f>AC465</f>
        <v>237.371981173655</v>
      </c>
      <c r="AF465" s="1343"/>
      <c r="AG465" s="1344"/>
      <c r="AH465" s="1344"/>
      <c r="AI465" s="1343"/>
      <c r="AJ465" s="1344"/>
      <c r="AK465" s="1345"/>
      <c r="AL465" s="771"/>
    </row>
    <row r="466" spans="1:38" ht="11.25" customHeight="1">
      <c r="A466" t="s">
        <v>1021</v>
      </c>
      <c r="E466" s="556"/>
      <c r="F466" s="1354"/>
      <c r="G466" s="1326"/>
      <c r="H466" s="1327" t="s">
        <v>163</v>
      </c>
      <c r="I466" s="1328"/>
      <c r="J466" s="1329"/>
      <c r="K466" s="1330"/>
      <c r="L466" s="1058"/>
      <c r="M466" s="1342"/>
      <c r="N466" s="1333"/>
      <c r="O466" s="1334"/>
      <c r="P466" s="1337"/>
      <c r="Q466" s="1323"/>
      <c r="R466" s="1323"/>
      <c r="S466" s="1338"/>
      <c r="T466" s="1323"/>
      <c r="U466" s="1323"/>
      <c r="V466" s="1323"/>
      <c r="W466" s="1323"/>
      <c r="X466" s="1323"/>
      <c r="Y466" s="1323"/>
      <c r="Z466" s="229"/>
      <c r="AA466" s="230"/>
      <c r="AB466" s="44" t="s">
        <v>1064</v>
      </c>
      <c r="AC466" s="231"/>
      <c r="AD466" s="231"/>
      <c r="AE466" s="245"/>
      <c r="AF466" s="1331"/>
      <c r="AG466" s="1332"/>
      <c r="AH466" s="1332"/>
      <c r="AI466" s="1331"/>
      <c r="AJ466" s="1332"/>
      <c r="AK466" s="1332"/>
      <c r="AL466" s="771"/>
    </row>
    <row r="467" spans="1:38" ht="11.25" customHeight="1">
      <c r="A467" t="s">
        <v>1021</v>
      </c>
      <c r="E467" s="556"/>
      <c r="F467" s="1354"/>
      <c r="G467" s="1326"/>
      <c r="H467" s="1327" t="s">
        <v>163</v>
      </c>
      <c r="I467" s="1328"/>
      <c r="J467" s="1329"/>
      <c r="K467" s="1330"/>
      <c r="L467" s="1058"/>
      <c r="M467" s="1342"/>
      <c r="N467" s="229"/>
      <c r="O467" s="230"/>
      <c r="P467" s="44" t="s">
        <v>1065</v>
      </c>
      <c r="Q467" s="230"/>
      <c r="R467" s="230"/>
      <c r="S467" s="230"/>
      <c r="T467" s="230"/>
      <c r="U467" s="230"/>
      <c r="V467" s="230"/>
      <c r="W467" s="230"/>
      <c r="X467" s="230"/>
      <c r="Y467" s="230"/>
      <c r="Z467" s="230"/>
      <c r="AA467" s="230"/>
      <c r="AB467" s="230"/>
      <c r="AC467" s="230"/>
      <c r="AD467" s="230"/>
      <c r="AE467" s="246"/>
      <c r="AF467" s="1331"/>
      <c r="AG467" s="1332"/>
      <c r="AH467" s="1332"/>
      <c r="AI467" s="1331"/>
      <c r="AJ467" s="1332"/>
      <c r="AK467" s="1332"/>
      <c r="AL467" s="771"/>
    </row>
    <row r="468" spans="1:38" ht="11.25" customHeight="1">
      <c r="A468" t="s">
        <v>1021</v>
      </c>
      <c r="B468" t="s">
        <v>22</v>
      </c>
      <c r="E468" s="556"/>
      <c r="F468" s="1354"/>
      <c r="G468" s="1304" t="s">
        <v>103</v>
      </c>
      <c r="H468" s="1327" t="s">
        <v>165</v>
      </c>
      <c r="I468" s="1328" t="s">
        <v>1080</v>
      </c>
      <c r="J468" s="1329" t="s">
        <v>22</v>
      </c>
      <c r="K468" s="1330" t="s">
        <v>1136</v>
      </c>
      <c r="L468" s="1058" t="s">
        <v>19</v>
      </c>
      <c r="M468" s="1060"/>
      <c r="N468" s="241"/>
      <c r="O468" s="242" t="s">
        <v>387</v>
      </c>
      <c r="P468" s="243"/>
      <c r="Q468" s="243"/>
      <c r="R468" s="243"/>
      <c r="S468" s="243"/>
      <c r="T468" s="243"/>
      <c r="U468" s="243"/>
      <c r="V468" s="243"/>
      <c r="W468" s="243"/>
      <c r="X468" s="243"/>
      <c r="Y468" s="243"/>
      <c r="Z468" s="243"/>
      <c r="AA468" s="243"/>
      <c r="AB468" s="243"/>
      <c r="AC468" s="243"/>
      <c r="AD468" s="243"/>
      <c r="AE468" s="243"/>
      <c r="AF468" s="1331">
        <v>4</v>
      </c>
      <c r="AG468" s="1332" t="s">
        <v>1055</v>
      </c>
      <c r="AH468" s="1332" t="s">
        <v>1135</v>
      </c>
      <c r="AI468" s="1331">
        <v>4</v>
      </c>
      <c r="AJ468" s="1332" t="s">
        <v>1055</v>
      </c>
      <c r="AK468" s="1332" t="s">
        <v>1135</v>
      </c>
      <c r="AL468" s="771"/>
    </row>
    <row r="469" spans="1:38" ht="11.25" customHeight="1">
      <c r="A469" t="s">
        <v>1021</v>
      </c>
      <c r="E469" s="556"/>
      <c r="F469" s="1354"/>
      <c r="G469" s="1326"/>
      <c r="H469" s="1327" t="s">
        <v>164</v>
      </c>
      <c r="I469" s="1328"/>
      <c r="J469" s="1329"/>
      <c r="K469" s="1330"/>
      <c r="L469" s="1058"/>
      <c r="M469" s="1060"/>
      <c r="N469" s="1333"/>
      <c r="O469" s="1334">
        <v>1</v>
      </c>
      <c r="P469" s="1335" t="s">
        <v>19</v>
      </c>
      <c r="Q469" s="1323" t="s">
        <v>22</v>
      </c>
      <c r="R469" s="1323" t="s">
        <v>22</v>
      </c>
      <c r="S469" s="1323" t="s">
        <v>22</v>
      </c>
      <c r="T469" s="1323" t="s">
        <v>22</v>
      </c>
      <c r="U469" s="1323" t="s">
        <v>22</v>
      </c>
      <c r="V469" s="1323" t="s">
        <v>22</v>
      </c>
      <c r="W469" s="1323" t="s">
        <v>22</v>
      </c>
      <c r="X469" s="1323" t="s">
        <v>22</v>
      </c>
      <c r="Y469" s="1323"/>
      <c r="Z469" s="229"/>
      <c r="AA469" s="230"/>
      <c r="AB469" s="230"/>
      <c r="AC469" s="231"/>
      <c r="AD469" s="231"/>
      <c r="AE469" s="244"/>
      <c r="AF469" s="1331"/>
      <c r="AG469" s="1332"/>
      <c r="AH469" s="1332"/>
      <c r="AI469" s="1331"/>
      <c r="AJ469" s="1332"/>
      <c r="AK469" s="1332"/>
      <c r="AL469" s="771"/>
    </row>
    <row r="470" spans="1:38" ht="11.25" customHeight="1">
      <c r="A470" t="s">
        <v>1021</v>
      </c>
      <c r="E470" s="556"/>
      <c r="F470" s="1354"/>
      <c r="G470" s="1326"/>
      <c r="H470" s="1327" t="s">
        <v>164</v>
      </c>
      <c r="I470" s="1328"/>
      <c r="J470" s="1329"/>
      <c r="K470" s="1330"/>
      <c r="L470" s="1058"/>
      <c r="M470" s="1060"/>
      <c r="N470" s="1333"/>
      <c r="O470" s="1334"/>
      <c r="P470" s="1336"/>
      <c r="Q470" s="1323"/>
      <c r="R470" s="1323"/>
      <c r="S470" s="1338"/>
      <c r="T470" s="1323"/>
      <c r="U470" s="1323"/>
      <c r="V470" s="1323"/>
      <c r="W470" s="1323"/>
      <c r="X470" s="1323"/>
      <c r="Y470" s="1323"/>
      <c r="AA470" s="777">
        <v>1</v>
      </c>
      <c r="AB470" s="778" t="s">
        <v>1128</v>
      </c>
      <c r="AC470" s="236">
        <v>2381.3832666861799</v>
      </c>
      <c r="AD470" s="778" t="str">
        <f>AB470</f>
        <v xml:space="preserve">  Прибыль направляемая на инвестиции</v>
      </c>
      <c r="AE470" s="236">
        <f>AC470</f>
        <v>2381.3832666861799</v>
      </c>
      <c r="AF470" s="1331"/>
      <c r="AG470" s="1332"/>
      <c r="AH470" s="1332"/>
      <c r="AI470" s="1331"/>
      <c r="AJ470" s="1332"/>
      <c r="AK470" s="1332"/>
      <c r="AL470" s="771"/>
    </row>
    <row r="471" spans="1:38" ht="11.25" customHeight="1">
      <c r="A471" t="s">
        <v>1021</v>
      </c>
      <c r="E471" s="556"/>
      <c r="F471" s="1326"/>
      <c r="G471" s="1326"/>
      <c r="H471" s="1326"/>
      <c r="I471" s="1326"/>
      <c r="J471" s="1326"/>
      <c r="K471" s="1326"/>
      <c r="L471" s="1326"/>
      <c r="M471" s="1326"/>
      <c r="N471" s="1326"/>
      <c r="O471" s="1326"/>
      <c r="P471" s="1326"/>
      <c r="Q471" s="1326"/>
      <c r="R471" s="1326"/>
      <c r="S471" s="1326"/>
      <c r="T471" s="1326"/>
      <c r="U471" s="1326"/>
      <c r="V471" s="1326"/>
      <c r="W471" s="1326"/>
      <c r="X471" s="1326"/>
      <c r="Y471" s="1326"/>
      <c r="Z471" s="181" t="s">
        <v>103</v>
      </c>
      <c r="AA471" s="779" t="s">
        <v>102</v>
      </c>
      <c r="AB471" s="778" t="s">
        <v>1129</v>
      </c>
      <c r="AC471" s="236">
        <v>990.61673331381598</v>
      </c>
      <c r="AD471" s="778" t="str">
        <f>AB471</f>
        <v xml:space="preserve">     Прочие амортизационные отчисления</v>
      </c>
      <c r="AE471" s="236">
        <f>AC471</f>
        <v>990.61673331381598</v>
      </c>
      <c r="AF471" s="1343"/>
      <c r="AG471" s="1344"/>
      <c r="AH471" s="1344"/>
      <c r="AI471" s="1343"/>
      <c r="AJ471" s="1344"/>
      <c r="AK471" s="1345"/>
      <c r="AL471" s="771"/>
    </row>
    <row r="472" spans="1:38" ht="11.25" customHeight="1">
      <c r="A472" t="s">
        <v>1021</v>
      </c>
      <c r="E472" s="556"/>
      <c r="F472" s="1354"/>
      <c r="G472" s="1326"/>
      <c r="H472" s="1327" t="s">
        <v>164</v>
      </c>
      <c r="I472" s="1328"/>
      <c r="J472" s="1329"/>
      <c r="K472" s="1330"/>
      <c r="L472" s="1058"/>
      <c r="M472" s="1060"/>
      <c r="N472" s="1333"/>
      <c r="O472" s="1334"/>
      <c r="P472" s="1337"/>
      <c r="Q472" s="1323"/>
      <c r="R472" s="1323"/>
      <c r="S472" s="1338"/>
      <c r="T472" s="1323"/>
      <c r="U472" s="1323"/>
      <c r="V472" s="1323"/>
      <c r="W472" s="1323"/>
      <c r="X472" s="1323"/>
      <c r="Y472" s="1323"/>
      <c r="Z472" s="229"/>
      <c r="AA472" s="230"/>
      <c r="AB472" s="44" t="s">
        <v>1064</v>
      </c>
      <c r="AC472" s="231"/>
      <c r="AD472" s="231"/>
      <c r="AE472" s="245"/>
      <c r="AF472" s="1331"/>
      <c r="AG472" s="1332"/>
      <c r="AH472" s="1332"/>
      <c r="AI472" s="1331"/>
      <c r="AJ472" s="1332"/>
      <c r="AK472" s="1332"/>
      <c r="AL472" s="771"/>
    </row>
    <row r="473" spans="1:38" ht="11.25" customHeight="1">
      <c r="A473" t="s">
        <v>1021</v>
      </c>
      <c r="E473" s="556"/>
      <c r="F473" s="1354"/>
      <c r="G473" s="1326"/>
      <c r="H473" s="1327" t="s">
        <v>164</v>
      </c>
      <c r="I473" s="1328"/>
      <c r="J473" s="1329"/>
      <c r="K473" s="1330"/>
      <c r="L473" s="1058"/>
      <c r="M473" s="1060"/>
      <c r="N473" s="229"/>
      <c r="O473" s="230"/>
      <c r="P473" s="44" t="s">
        <v>1065</v>
      </c>
      <c r="Q473" s="230"/>
      <c r="R473" s="230"/>
      <c r="S473" s="230"/>
      <c r="T473" s="230"/>
      <c r="U473" s="230"/>
      <c r="V473" s="230"/>
      <c r="W473" s="230"/>
      <c r="X473" s="230"/>
      <c r="Y473" s="230"/>
      <c r="Z473" s="230"/>
      <c r="AA473" s="230"/>
      <c r="AB473" s="230"/>
      <c r="AC473" s="230"/>
      <c r="AD473" s="230"/>
      <c r="AE473" s="246"/>
      <c r="AF473" s="1331"/>
      <c r="AG473" s="1332"/>
      <c r="AH473" s="1332"/>
      <c r="AI473" s="1331"/>
      <c r="AJ473" s="1332"/>
      <c r="AK473" s="1332"/>
      <c r="AL473" s="771"/>
    </row>
    <row r="474" spans="1:38" ht="11.25" customHeight="1">
      <c r="A474" t="s">
        <v>1021</v>
      </c>
      <c r="B474" t="s">
        <v>22</v>
      </c>
      <c r="E474" s="556"/>
      <c r="F474" s="1354"/>
      <c r="G474" s="1304" t="s">
        <v>103</v>
      </c>
      <c r="H474" s="1327" t="s">
        <v>166</v>
      </c>
      <c r="I474" s="1328" t="s">
        <v>1053</v>
      </c>
      <c r="J474" s="1329" t="s">
        <v>22</v>
      </c>
      <c r="K474" s="1330" t="s">
        <v>1117</v>
      </c>
      <c r="L474" s="1058" t="s">
        <v>19</v>
      </c>
      <c r="M474" s="1060"/>
      <c r="N474" s="241"/>
      <c r="O474" s="242" t="s">
        <v>387</v>
      </c>
      <c r="P474" s="243"/>
      <c r="Q474" s="243"/>
      <c r="R474" s="243"/>
      <c r="S474" s="243"/>
      <c r="T474" s="243"/>
      <c r="U474" s="243"/>
      <c r="V474" s="243"/>
      <c r="W474" s="243"/>
      <c r="X474" s="243"/>
      <c r="Y474" s="243"/>
      <c r="Z474" s="243"/>
      <c r="AA474" s="243"/>
      <c r="AB474" s="243"/>
      <c r="AC474" s="243"/>
      <c r="AD474" s="243"/>
      <c r="AE474" s="243"/>
      <c r="AF474" s="1331">
        <v>2</v>
      </c>
      <c r="AG474" s="1332" t="s">
        <v>1055</v>
      </c>
      <c r="AH474" s="1332" t="s">
        <v>1093</v>
      </c>
      <c r="AI474" s="1331">
        <v>2</v>
      </c>
      <c r="AJ474" s="1332" t="s">
        <v>1055</v>
      </c>
      <c r="AK474" s="1332" t="s">
        <v>1093</v>
      </c>
      <c r="AL474" s="771"/>
    </row>
    <row r="475" spans="1:38" ht="11.25" customHeight="1">
      <c r="A475" t="s">
        <v>1021</v>
      </c>
      <c r="E475" s="556"/>
      <c r="F475" s="1354"/>
      <c r="G475" s="1326"/>
      <c r="H475" s="1327" t="s">
        <v>165</v>
      </c>
      <c r="I475" s="1328"/>
      <c r="J475" s="1329"/>
      <c r="K475" s="1330"/>
      <c r="L475" s="1058"/>
      <c r="M475" s="1060"/>
      <c r="N475" s="1333"/>
      <c r="O475" s="1334">
        <v>1</v>
      </c>
      <c r="P475" s="1335" t="s">
        <v>61</v>
      </c>
      <c r="Q475" s="1339" t="s">
        <v>1057</v>
      </c>
      <c r="R475" s="1340" t="s">
        <v>1058</v>
      </c>
      <c r="S475" s="1340" t="s">
        <v>99</v>
      </c>
      <c r="T475" s="1340" t="s">
        <v>99</v>
      </c>
      <c r="U475" s="1340" t="s">
        <v>100</v>
      </c>
      <c r="V475" s="1340" t="s">
        <v>1059</v>
      </c>
      <c r="W475" s="1340" t="s">
        <v>1060</v>
      </c>
      <c r="X475" s="1340" t="s">
        <v>1061</v>
      </c>
      <c r="Y475" s="1340" t="s">
        <v>1062</v>
      </c>
      <c r="Z475" s="229"/>
      <c r="AA475" s="230"/>
      <c r="AB475" s="230"/>
      <c r="AC475" s="231"/>
      <c r="AD475" s="231"/>
      <c r="AE475" s="244"/>
      <c r="AF475" s="1331"/>
      <c r="AG475" s="1332"/>
      <c r="AH475" s="1332"/>
      <c r="AI475" s="1331"/>
      <c r="AJ475" s="1332"/>
      <c r="AK475" s="1332"/>
      <c r="AL475" s="771"/>
    </row>
    <row r="476" spans="1:38" ht="11.25" customHeight="1">
      <c r="A476" t="s">
        <v>1021</v>
      </c>
      <c r="E476" s="556"/>
      <c r="F476" s="1354"/>
      <c r="G476" s="1326"/>
      <c r="H476" s="1327" t="s">
        <v>165</v>
      </c>
      <c r="I476" s="1328"/>
      <c r="J476" s="1329"/>
      <c r="K476" s="1330"/>
      <c r="L476" s="1058"/>
      <c r="M476" s="1060"/>
      <c r="N476" s="1333"/>
      <c r="O476" s="1334"/>
      <c r="P476" s="1336"/>
      <c r="Q476" s="1339"/>
      <c r="R476" s="1323"/>
      <c r="S476" s="1338"/>
      <c r="T476" s="1323"/>
      <c r="U476" s="1323"/>
      <c r="V476" s="1323"/>
      <c r="W476" s="1323"/>
      <c r="X476" s="1323"/>
      <c r="Y476" s="1323"/>
      <c r="AA476" s="777">
        <v>1</v>
      </c>
      <c r="AB476" s="778" t="s">
        <v>1128</v>
      </c>
      <c r="AC476" s="236">
        <v>15160.4847526549</v>
      </c>
      <c r="AD476" s="778" t="str">
        <f>AB476</f>
        <v xml:space="preserve">  Прибыль направляемая на инвестиции</v>
      </c>
      <c r="AE476" s="236">
        <f>AC476</f>
        <v>15160.4847526549</v>
      </c>
      <c r="AF476" s="1331"/>
      <c r="AG476" s="1332"/>
      <c r="AH476" s="1332"/>
      <c r="AI476" s="1331"/>
      <c r="AJ476" s="1332"/>
      <c r="AK476" s="1332"/>
      <c r="AL476" s="771"/>
    </row>
    <row r="477" spans="1:38" ht="11.25" customHeight="1">
      <c r="A477" t="s">
        <v>1021</v>
      </c>
      <c r="E477" s="556"/>
      <c r="F477" s="1326"/>
      <c r="G477" s="1326"/>
      <c r="H477" s="1326"/>
      <c r="I477" s="1326"/>
      <c r="J477" s="1326"/>
      <c r="K477" s="1326"/>
      <c r="L477" s="1326"/>
      <c r="M477" s="1326"/>
      <c r="N477" s="1326"/>
      <c r="O477" s="1326"/>
      <c r="P477" s="1326"/>
      <c r="Q477" s="1326"/>
      <c r="R477" s="1326"/>
      <c r="S477" s="1326"/>
      <c r="T477" s="1326"/>
      <c r="U477" s="1326"/>
      <c r="V477" s="1326"/>
      <c r="W477" s="1326"/>
      <c r="X477" s="1326"/>
      <c r="Y477" s="1326"/>
      <c r="Z477" s="181" t="s">
        <v>103</v>
      </c>
      <c r="AA477" s="779" t="s">
        <v>102</v>
      </c>
      <c r="AB477" s="778" t="s">
        <v>1129</v>
      </c>
      <c r="AC477" s="236">
        <v>6306.5152473451099</v>
      </c>
      <c r="AD477" s="778" t="str">
        <f>AB477</f>
        <v xml:space="preserve">     Прочие амортизационные отчисления</v>
      </c>
      <c r="AE477" s="236">
        <f>AC477</f>
        <v>6306.5152473451099</v>
      </c>
      <c r="AF477" s="1343"/>
      <c r="AG477" s="1344"/>
      <c r="AH477" s="1344"/>
      <c r="AI477" s="1343"/>
      <c r="AJ477" s="1344"/>
      <c r="AK477" s="1345"/>
      <c r="AL477" s="771"/>
    </row>
    <row r="478" spans="1:38" ht="11.25" customHeight="1">
      <c r="A478" t="s">
        <v>1021</v>
      </c>
      <c r="E478" s="556"/>
      <c r="F478" s="1354"/>
      <c r="G478" s="1326"/>
      <c r="H478" s="1327" t="s">
        <v>165</v>
      </c>
      <c r="I478" s="1328"/>
      <c r="J478" s="1329"/>
      <c r="K478" s="1330"/>
      <c r="L478" s="1058"/>
      <c r="M478" s="1060"/>
      <c r="N478" s="1333"/>
      <c r="O478" s="1334"/>
      <c r="P478" s="1337"/>
      <c r="Q478" s="1339"/>
      <c r="R478" s="1323"/>
      <c r="S478" s="1338"/>
      <c r="T478" s="1323"/>
      <c r="U478" s="1323"/>
      <c r="V478" s="1323"/>
      <c r="W478" s="1323"/>
      <c r="X478" s="1323"/>
      <c r="Y478" s="1323"/>
      <c r="Z478" s="229"/>
      <c r="AA478" s="230"/>
      <c r="AB478" s="44" t="s">
        <v>1064</v>
      </c>
      <c r="AC478" s="231"/>
      <c r="AD478" s="231"/>
      <c r="AE478" s="245"/>
      <c r="AF478" s="1331"/>
      <c r="AG478" s="1332"/>
      <c r="AH478" s="1332"/>
      <c r="AI478" s="1331"/>
      <c r="AJ478" s="1332"/>
      <c r="AK478" s="1332"/>
      <c r="AL478" s="771"/>
    </row>
    <row r="479" spans="1:38" ht="11.25" customHeight="1">
      <c r="A479" t="s">
        <v>1021</v>
      </c>
      <c r="E479" s="556"/>
      <c r="F479" s="1354"/>
      <c r="G479" s="1326"/>
      <c r="H479" s="1327" t="s">
        <v>165</v>
      </c>
      <c r="I479" s="1328"/>
      <c r="J479" s="1329"/>
      <c r="K479" s="1330"/>
      <c r="L479" s="1058"/>
      <c r="M479" s="1060"/>
      <c r="N479" s="229"/>
      <c r="O479" s="230"/>
      <c r="P479" s="44" t="s">
        <v>1065</v>
      </c>
      <c r="Q479" s="230"/>
      <c r="R479" s="230"/>
      <c r="S479" s="230"/>
      <c r="T479" s="230"/>
      <c r="U479" s="230"/>
      <c r="V479" s="230"/>
      <c r="W479" s="230"/>
      <c r="X479" s="230"/>
      <c r="Y479" s="230"/>
      <c r="Z479" s="230"/>
      <c r="AA479" s="230"/>
      <c r="AB479" s="230"/>
      <c r="AC479" s="230"/>
      <c r="AD479" s="230"/>
      <c r="AE479" s="246"/>
      <c r="AF479" s="1331"/>
      <c r="AG479" s="1332"/>
      <c r="AH479" s="1332"/>
      <c r="AI479" s="1331"/>
      <c r="AJ479" s="1332"/>
      <c r="AK479" s="1332"/>
      <c r="AL479" s="771"/>
    </row>
    <row r="480" spans="1:38" ht="12" customHeight="1">
      <c r="A480" t="s">
        <v>1021</v>
      </c>
      <c r="E480" s="556"/>
      <c r="F480" s="1355"/>
      <c r="G480" s="774"/>
      <c r="H480" s="774"/>
      <c r="I480" s="1352" t="s">
        <v>1083</v>
      </c>
      <c r="J480" s="1352"/>
      <c r="K480" s="1352"/>
      <c r="L480" s="775"/>
      <c r="M480" s="775"/>
      <c r="N480" s="776"/>
      <c r="O480" s="776"/>
      <c r="P480" s="776"/>
      <c r="Q480" s="776"/>
      <c r="R480" s="776"/>
      <c r="S480" s="776"/>
      <c r="T480" s="776"/>
      <c r="U480" s="776"/>
      <c r="V480" s="776"/>
      <c r="W480" s="776"/>
      <c r="X480" s="776"/>
      <c r="Y480" s="776"/>
      <c r="Z480" s="776"/>
      <c r="AA480" s="776"/>
      <c r="AB480" s="776"/>
      <c r="AC480" s="776"/>
      <c r="AD480" s="776"/>
      <c r="AE480" s="776"/>
      <c r="AF480" s="776"/>
      <c r="AG480" s="775"/>
      <c r="AH480" s="775"/>
      <c r="AI480" s="776"/>
      <c r="AJ480" s="775"/>
      <c r="AK480" s="776"/>
      <c r="AL480" s="771"/>
    </row>
    <row r="481" spans="1:38" ht="0.75" customHeight="1">
      <c r="A481" t="s">
        <v>1021</v>
      </c>
      <c r="E481" s="556"/>
      <c r="F481" s="1353">
        <v>2022</v>
      </c>
      <c r="G481" s="1327"/>
      <c r="H481" s="1357" t="s">
        <v>387</v>
      </c>
      <c r="I481" s="1358"/>
      <c r="J481" s="1350"/>
      <c r="K481" s="1350"/>
      <c r="L481" s="1351"/>
      <c r="M481" s="1200"/>
      <c r="N481" s="214"/>
      <c r="O481" s="215"/>
      <c r="P481" s="214"/>
      <c r="Q481" s="214"/>
      <c r="R481" s="214"/>
      <c r="S481" s="214"/>
      <c r="T481" s="214"/>
      <c r="U481" s="214"/>
      <c r="V481" s="214"/>
      <c r="W481" s="214"/>
      <c r="X481" s="214"/>
      <c r="Y481" s="214"/>
      <c r="Z481" s="214"/>
      <c r="AA481" s="214"/>
      <c r="AB481" s="214"/>
      <c r="AC481" s="214"/>
      <c r="AD481" s="214"/>
      <c r="AE481" s="214"/>
      <c r="AF481" s="1356"/>
      <c r="AG481" s="1351"/>
      <c r="AH481" s="1351"/>
      <c r="AI481" s="1356"/>
      <c r="AJ481" s="1351"/>
      <c r="AK481" s="1351"/>
      <c r="AL481" s="771"/>
    </row>
    <row r="482" spans="1:38" ht="0.75" customHeight="1">
      <c r="A482" t="s">
        <v>1021</v>
      </c>
      <c r="E482" s="556"/>
      <c r="F482" s="1353"/>
      <c r="G482" s="1327"/>
      <c r="H482" s="1357"/>
      <c r="I482" s="1358"/>
      <c r="J482" s="1350"/>
      <c r="K482" s="1350"/>
      <c r="L482" s="1351"/>
      <c r="M482" s="1200"/>
      <c r="N482" s="1359"/>
      <c r="O482" s="1360"/>
      <c r="P482" s="1347"/>
      <c r="Q482" s="1350"/>
      <c r="R482" s="1350"/>
      <c r="S482" s="1350"/>
      <c r="T482" s="1350"/>
      <c r="U482" s="1350"/>
      <c r="V482" s="1350"/>
      <c r="W482" s="1350"/>
      <c r="X482" s="1350"/>
      <c r="Y482" s="1350"/>
      <c r="Z482" s="216"/>
      <c r="AA482" s="217"/>
      <c r="AB482" s="217"/>
      <c r="AC482" s="218"/>
      <c r="AD482" s="218"/>
      <c r="AE482" s="219"/>
      <c r="AF482" s="1356"/>
      <c r="AG482" s="1351"/>
      <c r="AH482" s="1351"/>
      <c r="AI482" s="1356"/>
      <c r="AJ482" s="1351"/>
      <c r="AK482" s="1351"/>
      <c r="AL482" s="771"/>
    </row>
    <row r="483" spans="1:38" ht="0.75" customHeight="1">
      <c r="A483" t="s">
        <v>1021</v>
      </c>
      <c r="E483" s="556"/>
      <c r="F483" s="1353"/>
      <c r="G483" s="1327"/>
      <c r="H483" s="1357"/>
      <c r="I483" s="1358"/>
      <c r="J483" s="1350"/>
      <c r="K483" s="1350"/>
      <c r="L483" s="1351"/>
      <c r="M483" s="1200"/>
      <c r="N483" s="1359"/>
      <c r="O483" s="1360"/>
      <c r="P483" s="1348"/>
      <c r="Q483" s="1350"/>
      <c r="R483" s="1350"/>
      <c r="S483" s="1350"/>
      <c r="T483" s="1350"/>
      <c r="U483" s="1350"/>
      <c r="V483" s="1350"/>
      <c r="W483" s="1350"/>
      <c r="X483" s="1350"/>
      <c r="Y483" s="1350"/>
      <c r="AA483" s="772"/>
      <c r="AB483" s="773"/>
      <c r="AC483" s="220"/>
      <c r="AD483" s="773"/>
      <c r="AE483" s="220"/>
      <c r="AF483" s="1356"/>
      <c r="AG483" s="1351"/>
      <c r="AH483" s="1351"/>
      <c r="AI483" s="1356"/>
      <c r="AJ483" s="1351"/>
      <c r="AK483" s="1351"/>
      <c r="AL483" s="771"/>
    </row>
    <row r="484" spans="1:38" ht="0.75" customHeight="1">
      <c r="A484" t="s">
        <v>1021</v>
      </c>
      <c r="E484" s="556"/>
      <c r="F484" s="1353"/>
      <c r="G484" s="1327"/>
      <c r="H484" s="1357"/>
      <c r="I484" s="1358"/>
      <c r="J484" s="1350"/>
      <c r="K484" s="1350"/>
      <c r="L484" s="1351"/>
      <c r="M484" s="1200"/>
      <c r="N484" s="1359"/>
      <c r="O484" s="1360"/>
      <c r="P484" s="1349"/>
      <c r="Q484" s="1350"/>
      <c r="R484" s="1350"/>
      <c r="S484" s="1350"/>
      <c r="T484" s="1350"/>
      <c r="U484" s="1350"/>
      <c r="V484" s="1350"/>
      <c r="W484" s="1350"/>
      <c r="X484" s="1350"/>
      <c r="Y484" s="1350"/>
      <c r="Z484" s="216"/>
      <c r="AA484" s="217"/>
      <c r="AB484" s="221"/>
      <c r="AC484" s="218"/>
      <c r="AD484" s="218"/>
      <c r="AE484" s="222"/>
      <c r="AF484" s="1356"/>
      <c r="AG484" s="1351"/>
      <c r="AH484" s="1351"/>
      <c r="AI484" s="1356"/>
      <c r="AJ484" s="1351"/>
      <c r="AK484" s="1351"/>
      <c r="AL484" s="771"/>
    </row>
    <row r="485" spans="1:38" ht="0.75" customHeight="1">
      <c r="A485" t="s">
        <v>1021</v>
      </c>
      <c r="E485" s="556"/>
      <c r="F485" s="1353"/>
      <c r="G485" s="1327"/>
      <c r="H485" s="1357"/>
      <c r="I485" s="1358"/>
      <c r="J485" s="1350"/>
      <c r="K485" s="1350"/>
      <c r="L485" s="1351"/>
      <c r="M485" s="1200"/>
      <c r="N485" s="217"/>
      <c r="O485" s="217"/>
      <c r="P485" s="221"/>
      <c r="Q485" s="217"/>
      <c r="R485" s="217"/>
      <c r="S485" s="217"/>
      <c r="T485" s="217"/>
      <c r="U485" s="217"/>
      <c r="V485" s="217"/>
      <c r="W485" s="217"/>
      <c r="X485" s="217"/>
      <c r="Y485" s="217"/>
      <c r="Z485" s="217"/>
      <c r="AA485" s="217"/>
      <c r="AB485" s="217"/>
      <c r="AC485" s="217"/>
      <c r="AD485" s="217"/>
      <c r="AE485" s="223"/>
      <c r="AF485" s="1356"/>
      <c r="AG485" s="1351"/>
      <c r="AH485" s="1351"/>
      <c r="AI485" s="1356"/>
      <c r="AJ485" s="1351"/>
      <c r="AK485" s="1351"/>
      <c r="AL485" s="771"/>
    </row>
    <row r="486" spans="1:38" ht="11.25" customHeight="1">
      <c r="A486" t="s">
        <v>1021</v>
      </c>
      <c r="B486" t="s">
        <v>22</v>
      </c>
      <c r="E486" s="556"/>
      <c r="F486" s="1354"/>
      <c r="G486" s="1304" t="s">
        <v>103</v>
      </c>
      <c r="H486" s="1327" t="s">
        <v>114</v>
      </c>
      <c r="I486" s="1328" t="s">
        <v>1053</v>
      </c>
      <c r="J486" s="1329" t="s">
        <v>22</v>
      </c>
      <c r="K486" s="1330" t="s">
        <v>1092</v>
      </c>
      <c r="L486" s="1058" t="s">
        <v>19</v>
      </c>
      <c r="M486" s="1060"/>
      <c r="N486" s="241"/>
      <c r="O486" s="242" t="s">
        <v>387</v>
      </c>
      <c r="P486" s="243"/>
      <c r="Q486" s="243"/>
      <c r="R486" s="243"/>
      <c r="S486" s="243"/>
      <c r="T486" s="243"/>
      <c r="U486" s="243"/>
      <c r="V486" s="243"/>
      <c r="W486" s="243"/>
      <c r="X486" s="243"/>
      <c r="Y486" s="243"/>
      <c r="Z486" s="243"/>
      <c r="AA486" s="243"/>
      <c r="AB486" s="243"/>
      <c r="AC486" s="243"/>
      <c r="AD486" s="243"/>
      <c r="AE486" s="243"/>
      <c r="AF486" s="1331">
        <v>1</v>
      </c>
      <c r="AG486" s="1332" t="s">
        <v>1055</v>
      </c>
      <c r="AH486" s="1332" t="s">
        <v>1093</v>
      </c>
      <c r="AI486" s="1331">
        <v>1</v>
      </c>
      <c r="AJ486" s="1332" t="s">
        <v>1055</v>
      </c>
      <c r="AK486" s="1332" t="s">
        <v>1093</v>
      </c>
      <c r="AL486" s="771"/>
    </row>
    <row r="487" spans="1:38" ht="11.25" customHeight="1">
      <c r="A487" t="s">
        <v>1021</v>
      </c>
      <c r="E487" s="556"/>
      <c r="F487" s="1354"/>
      <c r="G487" s="1326"/>
      <c r="H487" s="1327" t="s">
        <v>387</v>
      </c>
      <c r="I487" s="1328"/>
      <c r="J487" s="1329"/>
      <c r="K487" s="1330"/>
      <c r="L487" s="1058"/>
      <c r="M487" s="1060"/>
      <c r="N487" s="1333"/>
      <c r="O487" s="1334">
        <v>1</v>
      </c>
      <c r="P487" s="1335" t="s">
        <v>61</v>
      </c>
      <c r="Q487" s="1339" t="s">
        <v>1057</v>
      </c>
      <c r="R487" s="1340" t="s">
        <v>1058</v>
      </c>
      <c r="S487" s="1340" t="s">
        <v>99</v>
      </c>
      <c r="T487" s="1340" t="s">
        <v>99</v>
      </c>
      <c r="U487" s="1340" t="s">
        <v>100</v>
      </c>
      <c r="V487" s="1340" t="s">
        <v>1059</v>
      </c>
      <c r="W487" s="1340" t="s">
        <v>1060</v>
      </c>
      <c r="X487" s="1340" t="s">
        <v>1061</v>
      </c>
      <c r="Y487" s="1340" t="s">
        <v>1062</v>
      </c>
      <c r="Z487" s="229"/>
      <c r="AA487" s="230"/>
      <c r="AB487" s="230"/>
      <c r="AC487" s="231"/>
      <c r="AD487" s="231"/>
      <c r="AE487" s="244"/>
      <c r="AF487" s="1331"/>
      <c r="AG487" s="1332"/>
      <c r="AH487" s="1332"/>
      <c r="AI487" s="1331"/>
      <c r="AJ487" s="1332"/>
      <c r="AK487" s="1332"/>
      <c r="AL487" s="771"/>
    </row>
    <row r="488" spans="1:38" ht="11.25" customHeight="1">
      <c r="A488" t="s">
        <v>1021</v>
      </c>
      <c r="E488" s="556"/>
      <c r="F488" s="1354"/>
      <c r="G488" s="1326"/>
      <c r="H488" s="1327" t="s">
        <v>387</v>
      </c>
      <c r="I488" s="1328"/>
      <c r="J488" s="1329"/>
      <c r="K488" s="1330"/>
      <c r="L488" s="1058"/>
      <c r="M488" s="1060"/>
      <c r="N488" s="1333"/>
      <c r="O488" s="1334"/>
      <c r="P488" s="1336"/>
      <c r="Q488" s="1339"/>
      <c r="R488" s="1323"/>
      <c r="S488" s="1338"/>
      <c r="T488" s="1323"/>
      <c r="U488" s="1323"/>
      <c r="V488" s="1323"/>
      <c r="W488" s="1323"/>
      <c r="X488" s="1323"/>
      <c r="Y488" s="1323"/>
      <c r="AA488" s="777">
        <v>1</v>
      </c>
      <c r="AB488" s="778" t="s">
        <v>1129</v>
      </c>
      <c r="AC488" s="236">
        <v>11777.969499999999</v>
      </c>
      <c r="AD488" s="778" t="str">
        <f>AB488</f>
        <v xml:space="preserve">     Прочие амортизационные отчисления</v>
      </c>
      <c r="AE488" s="236">
        <f>AC488</f>
        <v>11777.969499999999</v>
      </c>
      <c r="AF488" s="1331"/>
      <c r="AG488" s="1332"/>
      <c r="AH488" s="1332"/>
      <c r="AI488" s="1331"/>
      <c r="AJ488" s="1332"/>
      <c r="AK488" s="1332"/>
      <c r="AL488" s="771"/>
    </row>
    <row r="489" spans="1:38" ht="11.25" customHeight="1">
      <c r="A489" t="s">
        <v>1021</v>
      </c>
      <c r="E489" s="556"/>
      <c r="F489" s="1354"/>
      <c r="G489" s="1326"/>
      <c r="H489" s="1327" t="s">
        <v>387</v>
      </c>
      <c r="I489" s="1328"/>
      <c r="J489" s="1329"/>
      <c r="K489" s="1330"/>
      <c r="L489" s="1058"/>
      <c r="M489" s="1060"/>
      <c r="N489" s="1333"/>
      <c r="O489" s="1334"/>
      <c r="P489" s="1337"/>
      <c r="Q489" s="1339"/>
      <c r="R489" s="1323"/>
      <c r="S489" s="1338"/>
      <c r="T489" s="1323"/>
      <c r="U489" s="1323"/>
      <c r="V489" s="1323"/>
      <c r="W489" s="1323"/>
      <c r="X489" s="1323"/>
      <c r="Y489" s="1323"/>
      <c r="Z489" s="229"/>
      <c r="AA489" s="230"/>
      <c r="AB489" s="44" t="s">
        <v>1064</v>
      </c>
      <c r="AC489" s="231"/>
      <c r="AD489" s="231"/>
      <c r="AE489" s="245"/>
      <c r="AF489" s="1331"/>
      <c r="AG489" s="1332"/>
      <c r="AH489" s="1332"/>
      <c r="AI489" s="1331"/>
      <c r="AJ489" s="1332"/>
      <c r="AK489" s="1332"/>
      <c r="AL489" s="771"/>
    </row>
    <row r="490" spans="1:38" ht="11.25" customHeight="1">
      <c r="A490" t="s">
        <v>1021</v>
      </c>
      <c r="E490" s="556"/>
      <c r="F490" s="1354"/>
      <c r="G490" s="1326"/>
      <c r="H490" s="1327" t="s">
        <v>387</v>
      </c>
      <c r="I490" s="1328"/>
      <c r="J490" s="1329"/>
      <c r="K490" s="1330"/>
      <c r="L490" s="1058"/>
      <c r="M490" s="1060"/>
      <c r="N490" s="229"/>
      <c r="O490" s="230"/>
      <c r="P490" s="44" t="s">
        <v>1065</v>
      </c>
      <c r="Q490" s="230"/>
      <c r="R490" s="230"/>
      <c r="S490" s="230"/>
      <c r="T490" s="230"/>
      <c r="U490" s="230"/>
      <c r="V490" s="230"/>
      <c r="W490" s="230"/>
      <c r="X490" s="230"/>
      <c r="Y490" s="230"/>
      <c r="Z490" s="230"/>
      <c r="AA490" s="230"/>
      <c r="AB490" s="230"/>
      <c r="AC490" s="230"/>
      <c r="AD490" s="230"/>
      <c r="AE490" s="246"/>
      <c r="AF490" s="1331"/>
      <c r="AG490" s="1332"/>
      <c r="AH490" s="1332"/>
      <c r="AI490" s="1331"/>
      <c r="AJ490" s="1332"/>
      <c r="AK490" s="1332"/>
      <c r="AL490" s="771"/>
    </row>
    <row r="491" spans="1:38" ht="11.25" customHeight="1">
      <c r="A491" t="s">
        <v>1021</v>
      </c>
      <c r="B491" t="s">
        <v>22</v>
      </c>
      <c r="E491" s="556"/>
      <c r="F491" s="1354"/>
      <c r="G491" s="1304" t="s">
        <v>103</v>
      </c>
      <c r="H491" s="1327" t="s">
        <v>102</v>
      </c>
      <c r="I491" s="1328" t="s">
        <v>1053</v>
      </c>
      <c r="J491" s="1329" t="s">
        <v>22</v>
      </c>
      <c r="K491" s="1330" t="s">
        <v>1101</v>
      </c>
      <c r="L491" s="1058" t="s">
        <v>19</v>
      </c>
      <c r="M491" s="1060"/>
      <c r="N491" s="241"/>
      <c r="O491" s="242" t="s">
        <v>387</v>
      </c>
      <c r="P491" s="243"/>
      <c r="Q491" s="243"/>
      <c r="R491" s="243"/>
      <c r="S491" s="243"/>
      <c r="T491" s="243"/>
      <c r="U491" s="243"/>
      <c r="V491" s="243"/>
      <c r="W491" s="243"/>
      <c r="X491" s="243"/>
      <c r="Y491" s="243"/>
      <c r="Z491" s="243"/>
      <c r="AA491" s="243"/>
      <c r="AB491" s="243"/>
      <c r="AC491" s="243"/>
      <c r="AD491" s="243"/>
      <c r="AE491" s="243"/>
      <c r="AF491" s="1331">
        <v>5</v>
      </c>
      <c r="AG491" s="1332" t="s">
        <v>1055</v>
      </c>
      <c r="AH491" s="1332" t="s">
        <v>1102</v>
      </c>
      <c r="AI491" s="1331">
        <v>5</v>
      </c>
      <c r="AJ491" s="1332" t="s">
        <v>1055</v>
      </c>
      <c r="AK491" s="1332" t="s">
        <v>1102</v>
      </c>
      <c r="AL491" s="771"/>
    </row>
    <row r="492" spans="1:38" ht="11.25" customHeight="1">
      <c r="A492" t="s">
        <v>1021</v>
      </c>
      <c r="E492" s="556"/>
      <c r="F492" s="1354"/>
      <c r="G492" s="1326"/>
      <c r="H492" s="1327" t="s">
        <v>114</v>
      </c>
      <c r="I492" s="1328"/>
      <c r="J492" s="1329"/>
      <c r="K492" s="1330"/>
      <c r="L492" s="1058"/>
      <c r="M492" s="1060"/>
      <c r="N492" s="1333"/>
      <c r="O492" s="1334">
        <v>1</v>
      </c>
      <c r="P492" s="1335" t="s">
        <v>61</v>
      </c>
      <c r="Q492" s="1339" t="s">
        <v>1103</v>
      </c>
      <c r="R492" s="1340" t="s">
        <v>1104</v>
      </c>
      <c r="S492" s="1340" t="s">
        <v>99</v>
      </c>
      <c r="T492" s="1340" t="s">
        <v>99</v>
      </c>
      <c r="U492" s="1340" t="s">
        <v>100</v>
      </c>
      <c r="V492" s="1340" t="s">
        <v>1059</v>
      </c>
      <c r="W492" s="1340" t="s">
        <v>1060</v>
      </c>
      <c r="X492" s="1340" t="s">
        <v>1105</v>
      </c>
      <c r="Y492" s="1340" t="s">
        <v>1106</v>
      </c>
      <c r="Z492" s="229"/>
      <c r="AA492" s="230"/>
      <c r="AB492" s="230"/>
      <c r="AC492" s="231"/>
      <c r="AD492" s="231"/>
      <c r="AE492" s="244"/>
      <c r="AF492" s="1331"/>
      <c r="AG492" s="1332"/>
      <c r="AH492" s="1332"/>
      <c r="AI492" s="1331"/>
      <c r="AJ492" s="1332"/>
      <c r="AK492" s="1332"/>
      <c r="AL492" s="771"/>
    </row>
    <row r="493" spans="1:38" ht="11.25" customHeight="1">
      <c r="A493" t="s">
        <v>1021</v>
      </c>
      <c r="E493" s="556"/>
      <c r="F493" s="1354"/>
      <c r="G493" s="1326"/>
      <c r="H493" s="1327" t="s">
        <v>114</v>
      </c>
      <c r="I493" s="1328"/>
      <c r="J493" s="1329"/>
      <c r="K493" s="1330"/>
      <c r="L493" s="1058"/>
      <c r="M493" s="1060"/>
      <c r="N493" s="1333"/>
      <c r="O493" s="1334"/>
      <c r="P493" s="1336"/>
      <c r="Q493" s="1339"/>
      <c r="R493" s="1323"/>
      <c r="S493" s="1338"/>
      <c r="T493" s="1323"/>
      <c r="U493" s="1323"/>
      <c r="V493" s="1323"/>
      <c r="W493" s="1323"/>
      <c r="X493" s="1323"/>
      <c r="Y493" s="1323"/>
      <c r="AA493" s="777">
        <v>1</v>
      </c>
      <c r="AB493" s="778" t="s">
        <v>1129</v>
      </c>
      <c r="AC493" s="236">
        <v>609.97123999999997</v>
      </c>
      <c r="AD493" s="778" t="str">
        <f>AB493</f>
        <v xml:space="preserve">     Прочие амортизационные отчисления</v>
      </c>
      <c r="AE493" s="236">
        <f>AC493</f>
        <v>609.97123999999997</v>
      </c>
      <c r="AF493" s="1331"/>
      <c r="AG493" s="1332"/>
      <c r="AH493" s="1332"/>
      <c r="AI493" s="1331"/>
      <c r="AJ493" s="1332"/>
      <c r="AK493" s="1332"/>
      <c r="AL493" s="771"/>
    </row>
    <row r="494" spans="1:38" ht="11.25" customHeight="1">
      <c r="A494" t="s">
        <v>1021</v>
      </c>
      <c r="E494" s="556"/>
      <c r="F494" s="1354"/>
      <c r="G494" s="1326"/>
      <c r="H494" s="1327" t="s">
        <v>114</v>
      </c>
      <c r="I494" s="1328"/>
      <c r="J494" s="1329"/>
      <c r="K494" s="1330"/>
      <c r="L494" s="1058"/>
      <c r="M494" s="1060"/>
      <c r="N494" s="1333"/>
      <c r="O494" s="1334"/>
      <c r="P494" s="1337"/>
      <c r="Q494" s="1339"/>
      <c r="R494" s="1323"/>
      <c r="S494" s="1338"/>
      <c r="T494" s="1323"/>
      <c r="U494" s="1323"/>
      <c r="V494" s="1323"/>
      <c r="W494" s="1323"/>
      <c r="X494" s="1323"/>
      <c r="Y494" s="1323"/>
      <c r="Z494" s="229"/>
      <c r="AA494" s="230"/>
      <c r="AB494" s="44" t="s">
        <v>1064</v>
      </c>
      <c r="AC494" s="231"/>
      <c r="AD494" s="231"/>
      <c r="AE494" s="245"/>
      <c r="AF494" s="1331"/>
      <c r="AG494" s="1332"/>
      <c r="AH494" s="1332"/>
      <c r="AI494" s="1331"/>
      <c r="AJ494" s="1332"/>
      <c r="AK494" s="1332"/>
      <c r="AL494" s="771"/>
    </row>
    <row r="495" spans="1:38" ht="11.25" customHeight="1">
      <c r="A495" t="s">
        <v>1021</v>
      </c>
      <c r="E495" s="556"/>
      <c r="F495" s="1354"/>
      <c r="G495" s="1326"/>
      <c r="H495" s="1327" t="s">
        <v>114</v>
      </c>
      <c r="I495" s="1328"/>
      <c r="J495" s="1329"/>
      <c r="K495" s="1330"/>
      <c r="L495" s="1058"/>
      <c r="M495" s="1060"/>
      <c r="N495" s="229"/>
      <c r="O495" s="230"/>
      <c r="P495" s="44" t="s">
        <v>1065</v>
      </c>
      <c r="Q495" s="230"/>
      <c r="R495" s="230"/>
      <c r="S495" s="230"/>
      <c r="T495" s="230"/>
      <c r="U495" s="230"/>
      <c r="V495" s="230"/>
      <c r="W495" s="230"/>
      <c r="X495" s="230"/>
      <c r="Y495" s="230"/>
      <c r="Z495" s="230"/>
      <c r="AA495" s="230"/>
      <c r="AB495" s="230"/>
      <c r="AC495" s="230"/>
      <c r="AD495" s="230"/>
      <c r="AE495" s="246"/>
      <c r="AF495" s="1331"/>
      <c r="AG495" s="1332"/>
      <c r="AH495" s="1332"/>
      <c r="AI495" s="1331"/>
      <c r="AJ495" s="1332"/>
      <c r="AK495" s="1332"/>
      <c r="AL495" s="771"/>
    </row>
    <row r="496" spans="1:38" ht="11.25" customHeight="1">
      <c r="A496" t="s">
        <v>1021</v>
      </c>
      <c r="B496" t="s">
        <v>22</v>
      </c>
      <c r="E496" s="556"/>
      <c r="F496" s="1354"/>
      <c r="G496" s="1304" t="s">
        <v>103</v>
      </c>
      <c r="H496" s="1327" t="s">
        <v>89</v>
      </c>
      <c r="I496" s="1328" t="s">
        <v>1053</v>
      </c>
      <c r="J496" s="1329" t="s">
        <v>22</v>
      </c>
      <c r="K496" s="1330" t="s">
        <v>1137</v>
      </c>
      <c r="L496" s="1058" t="s">
        <v>61</v>
      </c>
      <c r="M496" s="1342" t="s">
        <v>1020</v>
      </c>
      <c r="N496" s="241"/>
      <c r="O496" s="242" t="s">
        <v>387</v>
      </c>
      <c r="P496" s="243"/>
      <c r="Q496" s="243"/>
      <c r="R496" s="243"/>
      <c r="S496" s="243"/>
      <c r="T496" s="243"/>
      <c r="U496" s="243"/>
      <c r="V496" s="243"/>
      <c r="W496" s="243"/>
      <c r="X496" s="243"/>
      <c r="Y496" s="243"/>
      <c r="Z496" s="243"/>
      <c r="AA496" s="243"/>
      <c r="AB496" s="243"/>
      <c r="AC496" s="243"/>
      <c r="AD496" s="243"/>
      <c r="AE496" s="243"/>
      <c r="AF496" s="1331">
        <v>3</v>
      </c>
      <c r="AG496" s="1332" t="s">
        <v>1055</v>
      </c>
      <c r="AH496" s="1332" t="s">
        <v>1135</v>
      </c>
      <c r="AI496" s="1331">
        <v>3</v>
      </c>
      <c r="AJ496" s="1332" t="s">
        <v>1055</v>
      </c>
      <c r="AK496" s="1332" t="s">
        <v>1135</v>
      </c>
      <c r="AL496" s="771"/>
    </row>
    <row r="497" spans="1:38" ht="11.25" customHeight="1">
      <c r="A497" t="s">
        <v>1021</v>
      </c>
      <c r="E497" s="556"/>
      <c r="F497" s="1354"/>
      <c r="G497" s="1326"/>
      <c r="H497" s="1327" t="s">
        <v>102</v>
      </c>
      <c r="I497" s="1328"/>
      <c r="J497" s="1329"/>
      <c r="K497" s="1330"/>
      <c r="L497" s="1058"/>
      <c r="M497" s="1342"/>
      <c r="N497" s="1333"/>
      <c r="O497" s="1334">
        <v>1</v>
      </c>
      <c r="P497" s="1335" t="s">
        <v>61</v>
      </c>
      <c r="Q497" s="1339" t="s">
        <v>1069</v>
      </c>
      <c r="R497" s="1340" t="s">
        <v>1058</v>
      </c>
      <c r="S497" s="1340" t="s">
        <v>99</v>
      </c>
      <c r="T497" s="1340" t="s">
        <v>99</v>
      </c>
      <c r="U497" s="1340" t="s">
        <v>100</v>
      </c>
      <c r="V497" s="1340" t="s">
        <v>1059</v>
      </c>
      <c r="W497" s="1340" t="s">
        <v>1060</v>
      </c>
      <c r="X497" s="1340" t="s">
        <v>1070</v>
      </c>
      <c r="Y497" s="1340" t="s">
        <v>1071</v>
      </c>
      <c r="Z497" s="229"/>
      <c r="AA497" s="230"/>
      <c r="AB497" s="230"/>
      <c r="AC497" s="231"/>
      <c r="AD497" s="231"/>
      <c r="AE497" s="244"/>
      <c r="AF497" s="1331"/>
      <c r="AG497" s="1332"/>
      <c r="AH497" s="1332"/>
      <c r="AI497" s="1331"/>
      <c r="AJ497" s="1332"/>
      <c r="AK497" s="1332"/>
      <c r="AL497" s="771"/>
    </row>
    <row r="498" spans="1:38" ht="11.25" customHeight="1">
      <c r="A498" t="s">
        <v>1021</v>
      </c>
      <c r="E498" s="556"/>
      <c r="F498" s="1354"/>
      <c r="G498" s="1326"/>
      <c r="H498" s="1327" t="s">
        <v>102</v>
      </c>
      <c r="I498" s="1328"/>
      <c r="J498" s="1329"/>
      <c r="K498" s="1330"/>
      <c r="L498" s="1058"/>
      <c r="M498" s="1342"/>
      <c r="N498" s="1333"/>
      <c r="O498" s="1334"/>
      <c r="P498" s="1336"/>
      <c r="Q498" s="1339"/>
      <c r="R498" s="1323"/>
      <c r="S498" s="1338"/>
      <c r="T498" s="1323"/>
      <c r="U498" s="1323"/>
      <c r="V498" s="1323"/>
      <c r="W498" s="1323"/>
      <c r="X498" s="1323"/>
      <c r="Y498" s="1323"/>
      <c r="AA498" s="777">
        <v>1</v>
      </c>
      <c r="AB498" s="778" t="s">
        <v>1138</v>
      </c>
      <c r="AC498" s="236">
        <v>26272.035</v>
      </c>
      <c r="AD498" s="778" t="str">
        <f>AB498</f>
        <v xml:space="preserve">  Бюджет субъекта РФ</v>
      </c>
      <c r="AE498" s="236">
        <f>AC498</f>
        <v>26272.035</v>
      </c>
      <c r="AF498" s="1331"/>
      <c r="AG498" s="1332"/>
      <c r="AH498" s="1332"/>
      <c r="AI498" s="1331"/>
      <c r="AJ498" s="1332"/>
      <c r="AK498" s="1332"/>
      <c r="AL498" s="771"/>
    </row>
    <row r="499" spans="1:38" ht="11.25" customHeight="1">
      <c r="A499" t="s">
        <v>1021</v>
      </c>
      <c r="E499" s="556"/>
      <c r="F499" s="1326"/>
      <c r="G499" s="1326"/>
      <c r="H499" s="1326"/>
      <c r="I499" s="1326"/>
      <c r="J499" s="1326"/>
      <c r="K499" s="1326"/>
      <c r="L499" s="1326"/>
      <c r="M499" s="1346"/>
      <c r="N499" s="1326"/>
      <c r="O499" s="1326"/>
      <c r="P499" s="1326"/>
      <c r="Q499" s="1326"/>
      <c r="R499" s="1326"/>
      <c r="S499" s="1326"/>
      <c r="T499" s="1326"/>
      <c r="U499" s="1326"/>
      <c r="V499" s="1326"/>
      <c r="W499" s="1326"/>
      <c r="X499" s="1326"/>
      <c r="Y499" s="1326"/>
      <c r="Z499" s="181" t="s">
        <v>103</v>
      </c>
      <c r="AA499" s="779" t="s">
        <v>102</v>
      </c>
      <c r="AB499" s="778" t="s">
        <v>1139</v>
      </c>
      <c r="AC499" s="236">
        <v>2.6274700000000002</v>
      </c>
      <c r="AD499" s="778" t="str">
        <f>AB499</f>
        <v xml:space="preserve">  Бюджет муниципального образования</v>
      </c>
      <c r="AE499" s="236">
        <f>AC499</f>
        <v>2.6274700000000002</v>
      </c>
      <c r="AF499" s="1343"/>
      <c r="AG499" s="1344"/>
      <c r="AH499" s="1344"/>
      <c r="AI499" s="1343"/>
      <c r="AJ499" s="1344"/>
      <c r="AK499" s="1345"/>
      <c r="AL499" s="771"/>
    </row>
    <row r="500" spans="1:38" ht="11.25" customHeight="1">
      <c r="A500" t="s">
        <v>1021</v>
      </c>
      <c r="E500" s="556"/>
      <c r="F500" s="1354"/>
      <c r="G500" s="1326"/>
      <c r="H500" s="1327" t="s">
        <v>102</v>
      </c>
      <c r="I500" s="1328"/>
      <c r="J500" s="1329"/>
      <c r="K500" s="1330"/>
      <c r="L500" s="1058"/>
      <c r="M500" s="1342"/>
      <c r="N500" s="1333"/>
      <c r="O500" s="1334"/>
      <c r="P500" s="1337"/>
      <c r="Q500" s="1339"/>
      <c r="R500" s="1323"/>
      <c r="S500" s="1338"/>
      <c r="T500" s="1323"/>
      <c r="U500" s="1323"/>
      <c r="V500" s="1323"/>
      <c r="W500" s="1323"/>
      <c r="X500" s="1323"/>
      <c r="Y500" s="1323"/>
      <c r="Z500" s="229"/>
      <c r="AA500" s="230"/>
      <c r="AB500" s="44" t="s">
        <v>1064</v>
      </c>
      <c r="AC500" s="231"/>
      <c r="AD500" s="231"/>
      <c r="AE500" s="245"/>
      <c r="AF500" s="1331"/>
      <c r="AG500" s="1332"/>
      <c r="AH500" s="1332"/>
      <c r="AI500" s="1331"/>
      <c r="AJ500" s="1332"/>
      <c r="AK500" s="1332"/>
      <c r="AL500" s="771"/>
    </row>
    <row r="501" spans="1:38" ht="11.25" customHeight="1">
      <c r="A501" t="s">
        <v>1021</v>
      </c>
      <c r="E501" s="556"/>
      <c r="F501" s="1354"/>
      <c r="G501" s="1326"/>
      <c r="H501" s="1327" t="s">
        <v>102</v>
      </c>
      <c r="I501" s="1328"/>
      <c r="J501" s="1329"/>
      <c r="K501" s="1330"/>
      <c r="L501" s="1058"/>
      <c r="M501" s="1342"/>
      <c r="N501" s="229"/>
      <c r="O501" s="230"/>
      <c r="P501" s="44" t="s">
        <v>1065</v>
      </c>
      <c r="Q501" s="230"/>
      <c r="R501" s="230"/>
      <c r="S501" s="230"/>
      <c r="T501" s="230"/>
      <c r="U501" s="230"/>
      <c r="V501" s="230"/>
      <c r="W501" s="230"/>
      <c r="X501" s="230"/>
      <c r="Y501" s="230"/>
      <c r="Z501" s="230"/>
      <c r="AA501" s="230"/>
      <c r="AB501" s="230"/>
      <c r="AC501" s="230"/>
      <c r="AD501" s="230"/>
      <c r="AE501" s="246"/>
      <c r="AF501" s="1331"/>
      <c r="AG501" s="1332"/>
      <c r="AH501" s="1332"/>
      <c r="AI501" s="1331"/>
      <c r="AJ501" s="1332"/>
      <c r="AK501" s="1332"/>
      <c r="AL501" s="771"/>
    </row>
    <row r="502" spans="1:38" ht="11.25" customHeight="1">
      <c r="A502" t="s">
        <v>1021</v>
      </c>
      <c r="B502" t="s">
        <v>1076</v>
      </c>
      <c r="E502" s="556"/>
      <c r="F502" s="1354"/>
      <c r="G502" s="1304" t="s">
        <v>103</v>
      </c>
      <c r="H502" s="1327" t="s">
        <v>90</v>
      </c>
      <c r="I502" s="1328" t="s">
        <v>1077</v>
      </c>
      <c r="J502" s="1341" t="s">
        <v>1078</v>
      </c>
      <c r="K502" s="1330" t="s">
        <v>1084</v>
      </c>
      <c r="L502" s="1058" t="s">
        <v>61</v>
      </c>
      <c r="M502" s="1342" t="s">
        <v>1020</v>
      </c>
      <c r="N502" s="241"/>
      <c r="O502" s="242" t="s">
        <v>387</v>
      </c>
      <c r="P502" s="243"/>
      <c r="Q502" s="243"/>
      <c r="R502" s="243"/>
      <c r="S502" s="243"/>
      <c r="T502" s="243"/>
      <c r="U502" s="243"/>
      <c r="V502" s="243"/>
      <c r="W502" s="243"/>
      <c r="X502" s="243"/>
      <c r="Y502" s="243"/>
      <c r="Z502" s="243"/>
      <c r="AA502" s="243"/>
      <c r="AB502" s="243"/>
      <c r="AC502" s="243"/>
      <c r="AD502" s="243"/>
      <c r="AE502" s="243"/>
      <c r="AF502" s="1331">
        <v>7</v>
      </c>
      <c r="AG502" s="1332" t="s">
        <v>1055</v>
      </c>
      <c r="AH502" s="1332" t="s">
        <v>1085</v>
      </c>
      <c r="AI502" s="1331">
        <v>7</v>
      </c>
      <c r="AJ502" s="1332" t="s">
        <v>1055</v>
      </c>
      <c r="AK502" s="1332" t="s">
        <v>1085</v>
      </c>
      <c r="AL502" s="771"/>
    </row>
    <row r="503" spans="1:38" ht="11.25" customHeight="1">
      <c r="A503" t="s">
        <v>1021</v>
      </c>
      <c r="E503" s="556"/>
      <c r="F503" s="1354"/>
      <c r="G503" s="1326"/>
      <c r="H503" s="1327" t="s">
        <v>89</v>
      </c>
      <c r="I503" s="1328"/>
      <c r="J503" s="1341"/>
      <c r="K503" s="1330"/>
      <c r="L503" s="1058"/>
      <c r="M503" s="1342"/>
      <c r="N503" s="1333"/>
      <c r="O503" s="1334">
        <v>1</v>
      </c>
      <c r="P503" s="1335" t="s">
        <v>19</v>
      </c>
      <c r="Q503" s="1323" t="s">
        <v>22</v>
      </c>
      <c r="R503" s="1323" t="s">
        <v>22</v>
      </c>
      <c r="S503" s="1323" t="s">
        <v>22</v>
      </c>
      <c r="T503" s="1323" t="s">
        <v>22</v>
      </c>
      <c r="U503" s="1323" t="s">
        <v>22</v>
      </c>
      <c r="V503" s="1323" t="s">
        <v>22</v>
      </c>
      <c r="W503" s="1323" t="s">
        <v>22</v>
      </c>
      <c r="X503" s="1323" t="s">
        <v>22</v>
      </c>
      <c r="Y503" s="1323"/>
      <c r="Z503" s="229"/>
      <c r="AA503" s="230"/>
      <c r="AB503" s="230"/>
      <c r="AC503" s="231"/>
      <c r="AD503" s="231"/>
      <c r="AE503" s="244"/>
      <c r="AF503" s="1331"/>
      <c r="AG503" s="1332"/>
      <c r="AH503" s="1332"/>
      <c r="AI503" s="1331"/>
      <c r="AJ503" s="1332"/>
      <c r="AK503" s="1332"/>
      <c r="AL503" s="771"/>
    </row>
    <row r="504" spans="1:38" ht="11.25" customHeight="1">
      <c r="A504" t="s">
        <v>1021</v>
      </c>
      <c r="E504" s="556"/>
      <c r="F504" s="1354"/>
      <c r="G504" s="1326"/>
      <c r="H504" s="1327" t="s">
        <v>89</v>
      </c>
      <c r="I504" s="1328"/>
      <c r="J504" s="1341"/>
      <c r="K504" s="1330"/>
      <c r="L504" s="1058"/>
      <c r="M504" s="1342"/>
      <c r="N504" s="1333"/>
      <c r="O504" s="1334"/>
      <c r="P504" s="1336"/>
      <c r="Q504" s="1323"/>
      <c r="R504" s="1323"/>
      <c r="S504" s="1338"/>
      <c r="T504" s="1323"/>
      <c r="U504" s="1323"/>
      <c r="V504" s="1323"/>
      <c r="W504" s="1323"/>
      <c r="X504" s="1323"/>
      <c r="Y504" s="1323"/>
      <c r="AA504" s="777">
        <v>1</v>
      </c>
      <c r="AB504" s="778" t="s">
        <v>1129</v>
      </c>
      <c r="AC504" s="236">
        <v>27516.85224</v>
      </c>
      <c r="AD504" s="778" t="str">
        <f>AB504</f>
        <v xml:space="preserve">     Прочие амортизационные отчисления</v>
      </c>
      <c r="AE504" s="236">
        <f>AC504</f>
        <v>27516.85224</v>
      </c>
      <c r="AF504" s="1331"/>
      <c r="AG504" s="1332"/>
      <c r="AH504" s="1332"/>
      <c r="AI504" s="1331"/>
      <c r="AJ504" s="1332"/>
      <c r="AK504" s="1332"/>
      <c r="AL504" s="771"/>
    </row>
    <row r="505" spans="1:38" ht="11.25" customHeight="1">
      <c r="A505" t="s">
        <v>1021</v>
      </c>
      <c r="E505" s="556"/>
      <c r="F505" s="1354"/>
      <c r="G505" s="1326"/>
      <c r="H505" s="1327" t="s">
        <v>89</v>
      </c>
      <c r="I505" s="1328"/>
      <c r="J505" s="1341"/>
      <c r="K505" s="1330"/>
      <c r="L505" s="1058"/>
      <c r="M505" s="1342"/>
      <c r="N505" s="1333"/>
      <c r="O505" s="1334"/>
      <c r="P505" s="1337"/>
      <c r="Q505" s="1323"/>
      <c r="R505" s="1323"/>
      <c r="S505" s="1338"/>
      <c r="T505" s="1323"/>
      <c r="U505" s="1323"/>
      <c r="V505" s="1323"/>
      <c r="W505" s="1323"/>
      <c r="X505" s="1323"/>
      <c r="Y505" s="1323"/>
      <c r="Z505" s="229"/>
      <c r="AA505" s="230"/>
      <c r="AB505" s="44" t="s">
        <v>1064</v>
      </c>
      <c r="AC505" s="231"/>
      <c r="AD505" s="231"/>
      <c r="AE505" s="245"/>
      <c r="AF505" s="1331"/>
      <c r="AG505" s="1332"/>
      <c r="AH505" s="1332"/>
      <c r="AI505" s="1331"/>
      <c r="AJ505" s="1332"/>
      <c r="AK505" s="1332"/>
      <c r="AL505" s="771"/>
    </row>
    <row r="506" spans="1:38" ht="11.25" customHeight="1">
      <c r="A506" t="s">
        <v>1021</v>
      </c>
      <c r="E506" s="556"/>
      <c r="F506" s="1354"/>
      <c r="G506" s="1326"/>
      <c r="H506" s="1327" t="s">
        <v>89</v>
      </c>
      <c r="I506" s="1328"/>
      <c r="J506" s="1341"/>
      <c r="K506" s="1330"/>
      <c r="L506" s="1058"/>
      <c r="M506" s="1342"/>
      <c r="N506" s="229"/>
      <c r="O506" s="230"/>
      <c r="P506" s="44" t="s">
        <v>1065</v>
      </c>
      <c r="Q506" s="230"/>
      <c r="R506" s="230"/>
      <c r="S506" s="230"/>
      <c r="T506" s="230"/>
      <c r="U506" s="230"/>
      <c r="V506" s="230"/>
      <c r="W506" s="230"/>
      <c r="X506" s="230"/>
      <c r="Y506" s="230"/>
      <c r="Z506" s="230"/>
      <c r="AA506" s="230"/>
      <c r="AB506" s="230"/>
      <c r="AC506" s="230"/>
      <c r="AD506" s="230"/>
      <c r="AE506" s="246"/>
      <c r="AF506" s="1331"/>
      <c r="AG506" s="1332"/>
      <c r="AH506" s="1332"/>
      <c r="AI506" s="1331"/>
      <c r="AJ506" s="1332"/>
      <c r="AK506" s="1332"/>
      <c r="AL506" s="771"/>
    </row>
    <row r="507" spans="1:38" ht="11.25" customHeight="1">
      <c r="A507" t="s">
        <v>1021</v>
      </c>
      <c r="B507" t="s">
        <v>1076</v>
      </c>
      <c r="E507" s="556"/>
      <c r="F507" s="1354"/>
      <c r="G507" s="1304" t="s">
        <v>103</v>
      </c>
      <c r="H507" s="1327" t="s">
        <v>115</v>
      </c>
      <c r="I507" s="1328" t="s">
        <v>1077</v>
      </c>
      <c r="J507" s="1341" t="s">
        <v>1130</v>
      </c>
      <c r="K507" s="1330" t="s">
        <v>1115</v>
      </c>
      <c r="L507" s="1058" t="s">
        <v>19</v>
      </c>
      <c r="M507" s="1060"/>
      <c r="N507" s="241"/>
      <c r="O507" s="242" t="s">
        <v>387</v>
      </c>
      <c r="P507" s="243"/>
      <c r="Q507" s="243"/>
      <c r="R507" s="243"/>
      <c r="S507" s="243"/>
      <c r="T507" s="243"/>
      <c r="U507" s="243"/>
      <c r="V507" s="243"/>
      <c r="W507" s="243"/>
      <c r="X507" s="243"/>
      <c r="Y507" s="243"/>
      <c r="Z507" s="243"/>
      <c r="AA507" s="243"/>
      <c r="AB507" s="243"/>
      <c r="AC507" s="243"/>
      <c r="AD507" s="243"/>
      <c r="AE507" s="243"/>
      <c r="AF507" s="1331">
        <v>1</v>
      </c>
      <c r="AG507" s="1332" t="s">
        <v>1055</v>
      </c>
      <c r="AH507" s="1332" t="s">
        <v>1093</v>
      </c>
      <c r="AI507" s="1331">
        <v>1</v>
      </c>
      <c r="AJ507" s="1332" t="s">
        <v>1055</v>
      </c>
      <c r="AK507" s="1332" t="s">
        <v>1093</v>
      </c>
      <c r="AL507" s="771"/>
    </row>
    <row r="508" spans="1:38" ht="11.25" customHeight="1">
      <c r="A508" t="s">
        <v>1021</v>
      </c>
      <c r="E508" s="556"/>
      <c r="F508" s="1354"/>
      <c r="G508" s="1326"/>
      <c r="H508" s="1327" t="s">
        <v>90</v>
      </c>
      <c r="I508" s="1328"/>
      <c r="J508" s="1341"/>
      <c r="K508" s="1330"/>
      <c r="L508" s="1058"/>
      <c r="M508" s="1060"/>
      <c r="N508" s="1333"/>
      <c r="O508" s="1334">
        <v>1</v>
      </c>
      <c r="P508" s="1335" t="s">
        <v>19</v>
      </c>
      <c r="Q508" s="1323" t="s">
        <v>22</v>
      </c>
      <c r="R508" s="1323" t="s">
        <v>22</v>
      </c>
      <c r="S508" s="1323" t="s">
        <v>22</v>
      </c>
      <c r="T508" s="1323" t="s">
        <v>22</v>
      </c>
      <c r="U508" s="1323" t="s">
        <v>22</v>
      </c>
      <c r="V508" s="1323" t="s">
        <v>22</v>
      </c>
      <c r="W508" s="1323" t="s">
        <v>22</v>
      </c>
      <c r="X508" s="1323" t="s">
        <v>22</v>
      </c>
      <c r="Y508" s="1323"/>
      <c r="Z508" s="229"/>
      <c r="AA508" s="230"/>
      <c r="AB508" s="230"/>
      <c r="AC508" s="231"/>
      <c r="AD508" s="231"/>
      <c r="AE508" s="244"/>
      <c r="AF508" s="1331"/>
      <c r="AG508" s="1332"/>
      <c r="AH508" s="1332"/>
      <c r="AI508" s="1331"/>
      <c r="AJ508" s="1332"/>
      <c r="AK508" s="1332"/>
      <c r="AL508" s="771"/>
    </row>
    <row r="509" spans="1:38" ht="11.25" customHeight="1">
      <c r="A509" t="s">
        <v>1021</v>
      </c>
      <c r="E509" s="556"/>
      <c r="F509" s="1354"/>
      <c r="G509" s="1326"/>
      <c r="H509" s="1327" t="s">
        <v>90</v>
      </c>
      <c r="I509" s="1328"/>
      <c r="J509" s="1341"/>
      <c r="K509" s="1330"/>
      <c r="L509" s="1058"/>
      <c r="M509" s="1060"/>
      <c r="N509" s="1333"/>
      <c r="O509" s="1334"/>
      <c r="P509" s="1336"/>
      <c r="Q509" s="1323"/>
      <c r="R509" s="1323"/>
      <c r="S509" s="1338"/>
      <c r="T509" s="1323"/>
      <c r="U509" s="1323"/>
      <c r="V509" s="1323"/>
      <c r="W509" s="1323"/>
      <c r="X509" s="1323"/>
      <c r="Y509" s="1323"/>
      <c r="AA509" s="777">
        <v>1</v>
      </c>
      <c r="AB509" s="778" t="s">
        <v>1129</v>
      </c>
      <c r="AC509" s="236">
        <v>281.32292999999999</v>
      </c>
      <c r="AD509" s="778" t="str">
        <f>AB509</f>
        <v xml:space="preserve">     Прочие амортизационные отчисления</v>
      </c>
      <c r="AE509" s="236">
        <f>AC509</f>
        <v>281.32292999999999</v>
      </c>
      <c r="AF509" s="1331"/>
      <c r="AG509" s="1332"/>
      <c r="AH509" s="1332"/>
      <c r="AI509" s="1331"/>
      <c r="AJ509" s="1332"/>
      <c r="AK509" s="1332"/>
      <c r="AL509" s="771"/>
    </row>
    <row r="510" spans="1:38" ht="11.25" customHeight="1">
      <c r="A510" t="s">
        <v>1021</v>
      </c>
      <c r="E510" s="556"/>
      <c r="F510" s="1354"/>
      <c r="G510" s="1326"/>
      <c r="H510" s="1327" t="s">
        <v>90</v>
      </c>
      <c r="I510" s="1328"/>
      <c r="J510" s="1341"/>
      <c r="K510" s="1330"/>
      <c r="L510" s="1058"/>
      <c r="M510" s="1060"/>
      <c r="N510" s="1333"/>
      <c r="O510" s="1334"/>
      <c r="P510" s="1337"/>
      <c r="Q510" s="1323"/>
      <c r="R510" s="1323"/>
      <c r="S510" s="1338"/>
      <c r="T510" s="1323"/>
      <c r="U510" s="1323"/>
      <c r="V510" s="1323"/>
      <c r="W510" s="1323"/>
      <c r="X510" s="1323"/>
      <c r="Y510" s="1323"/>
      <c r="Z510" s="229"/>
      <c r="AA510" s="230"/>
      <c r="AB510" s="44" t="s">
        <v>1064</v>
      </c>
      <c r="AC510" s="231"/>
      <c r="AD510" s="231"/>
      <c r="AE510" s="245"/>
      <c r="AF510" s="1331"/>
      <c r="AG510" s="1332"/>
      <c r="AH510" s="1332"/>
      <c r="AI510" s="1331"/>
      <c r="AJ510" s="1332"/>
      <c r="AK510" s="1332"/>
      <c r="AL510" s="771"/>
    </row>
    <row r="511" spans="1:38" ht="11.25" customHeight="1">
      <c r="A511" t="s">
        <v>1021</v>
      </c>
      <c r="E511" s="556"/>
      <c r="F511" s="1354"/>
      <c r="G511" s="1326"/>
      <c r="H511" s="1327" t="s">
        <v>90</v>
      </c>
      <c r="I511" s="1328"/>
      <c r="J511" s="1341"/>
      <c r="K511" s="1330"/>
      <c r="L511" s="1058"/>
      <c r="M511" s="1060"/>
      <c r="N511" s="229"/>
      <c r="O511" s="230"/>
      <c r="P511" s="44" t="s">
        <v>1065</v>
      </c>
      <c r="Q511" s="230"/>
      <c r="R511" s="230"/>
      <c r="S511" s="230"/>
      <c r="T511" s="230"/>
      <c r="U511" s="230"/>
      <c r="V511" s="230"/>
      <c r="W511" s="230"/>
      <c r="X511" s="230"/>
      <c r="Y511" s="230"/>
      <c r="Z511" s="230"/>
      <c r="AA511" s="230"/>
      <c r="AB511" s="230"/>
      <c r="AC511" s="230"/>
      <c r="AD511" s="230"/>
      <c r="AE511" s="246"/>
      <c r="AF511" s="1331"/>
      <c r="AG511" s="1332"/>
      <c r="AH511" s="1332"/>
      <c r="AI511" s="1331"/>
      <c r="AJ511" s="1332"/>
      <c r="AK511" s="1332"/>
      <c r="AL511" s="771"/>
    </row>
    <row r="512" spans="1:38" ht="11.25" customHeight="1">
      <c r="A512" t="s">
        <v>1021</v>
      </c>
      <c r="B512" t="s">
        <v>1076</v>
      </c>
      <c r="E512" s="556"/>
      <c r="F512" s="1354"/>
      <c r="G512" s="1304" t="s">
        <v>103</v>
      </c>
      <c r="H512" s="1327" t="s">
        <v>91</v>
      </c>
      <c r="I512" s="1328" t="s">
        <v>1077</v>
      </c>
      <c r="J512" s="1341" t="s">
        <v>1130</v>
      </c>
      <c r="K512" s="1330" t="s">
        <v>1133</v>
      </c>
      <c r="L512" s="1058" t="s">
        <v>61</v>
      </c>
      <c r="M512" s="1342" t="s">
        <v>1020</v>
      </c>
      <c r="N512" s="241"/>
      <c r="O512" s="242" t="s">
        <v>387</v>
      </c>
      <c r="P512" s="243"/>
      <c r="Q512" s="243"/>
      <c r="R512" s="243"/>
      <c r="S512" s="243"/>
      <c r="T512" s="243"/>
      <c r="U512" s="243"/>
      <c r="V512" s="243"/>
      <c r="W512" s="243"/>
      <c r="X512" s="243"/>
      <c r="Y512" s="243"/>
      <c r="Z512" s="243"/>
      <c r="AA512" s="243"/>
      <c r="AB512" s="243"/>
      <c r="AC512" s="243"/>
      <c r="AD512" s="243"/>
      <c r="AE512" s="243"/>
      <c r="AF512" s="1331">
        <v>2</v>
      </c>
      <c r="AG512" s="1332" t="s">
        <v>1055</v>
      </c>
      <c r="AH512" s="1332" t="s">
        <v>1126</v>
      </c>
      <c r="AI512" s="1331">
        <v>2</v>
      </c>
      <c r="AJ512" s="1332" t="s">
        <v>1055</v>
      </c>
      <c r="AK512" s="1332" t="s">
        <v>1126</v>
      </c>
      <c r="AL512" s="771"/>
    </row>
    <row r="513" spans="1:38" ht="11.25" customHeight="1">
      <c r="A513" t="s">
        <v>1021</v>
      </c>
      <c r="E513" s="556"/>
      <c r="F513" s="1354"/>
      <c r="G513" s="1326"/>
      <c r="H513" s="1327" t="s">
        <v>115</v>
      </c>
      <c r="I513" s="1328"/>
      <c r="J513" s="1341"/>
      <c r="K513" s="1330"/>
      <c r="L513" s="1058"/>
      <c r="M513" s="1342"/>
      <c r="N513" s="1333"/>
      <c r="O513" s="1334">
        <v>1</v>
      </c>
      <c r="P513" s="1335" t="s">
        <v>19</v>
      </c>
      <c r="Q513" s="1323" t="s">
        <v>22</v>
      </c>
      <c r="R513" s="1323" t="s">
        <v>22</v>
      </c>
      <c r="S513" s="1323" t="s">
        <v>22</v>
      </c>
      <c r="T513" s="1323" t="s">
        <v>22</v>
      </c>
      <c r="U513" s="1323" t="s">
        <v>22</v>
      </c>
      <c r="V513" s="1323" t="s">
        <v>22</v>
      </c>
      <c r="W513" s="1323" t="s">
        <v>22</v>
      </c>
      <c r="X513" s="1323" t="s">
        <v>22</v>
      </c>
      <c r="Y513" s="1323"/>
      <c r="Z513" s="229"/>
      <c r="AA513" s="230"/>
      <c r="AB513" s="230"/>
      <c r="AC513" s="231"/>
      <c r="AD513" s="231"/>
      <c r="AE513" s="244"/>
      <c r="AF513" s="1331"/>
      <c r="AG513" s="1332"/>
      <c r="AH513" s="1332"/>
      <c r="AI513" s="1331"/>
      <c r="AJ513" s="1332"/>
      <c r="AK513" s="1332"/>
      <c r="AL513" s="771"/>
    </row>
    <row r="514" spans="1:38" ht="11.25" customHeight="1">
      <c r="A514" t="s">
        <v>1021</v>
      </c>
      <c r="E514" s="556"/>
      <c r="F514" s="1354"/>
      <c r="G514" s="1326"/>
      <c r="H514" s="1327" t="s">
        <v>115</v>
      </c>
      <c r="I514" s="1328"/>
      <c r="J514" s="1341"/>
      <c r="K514" s="1330"/>
      <c r="L514" s="1058"/>
      <c r="M514" s="1342"/>
      <c r="N514" s="1333"/>
      <c r="O514" s="1334"/>
      <c r="P514" s="1336"/>
      <c r="Q514" s="1323"/>
      <c r="R514" s="1323"/>
      <c r="S514" s="1338"/>
      <c r="T514" s="1323"/>
      <c r="U514" s="1323"/>
      <c r="V514" s="1323"/>
      <c r="W514" s="1323"/>
      <c r="X514" s="1323"/>
      <c r="Y514" s="1323"/>
      <c r="AA514" s="777">
        <v>1</v>
      </c>
      <c r="AB514" s="778" t="s">
        <v>1129</v>
      </c>
      <c r="AC514" s="236">
        <v>272.30556999999999</v>
      </c>
      <c r="AD514" s="778" t="str">
        <f>AB514</f>
        <v xml:space="preserve">     Прочие амортизационные отчисления</v>
      </c>
      <c r="AE514" s="236">
        <f>AC514</f>
        <v>272.30556999999999</v>
      </c>
      <c r="AF514" s="1331"/>
      <c r="AG514" s="1332"/>
      <c r="AH514" s="1332"/>
      <c r="AI514" s="1331"/>
      <c r="AJ514" s="1332"/>
      <c r="AK514" s="1332"/>
      <c r="AL514" s="771"/>
    </row>
    <row r="515" spans="1:38" ht="11.25" customHeight="1">
      <c r="A515" t="s">
        <v>1021</v>
      </c>
      <c r="E515" s="556"/>
      <c r="F515" s="1354"/>
      <c r="G515" s="1326"/>
      <c r="H515" s="1327" t="s">
        <v>115</v>
      </c>
      <c r="I515" s="1328"/>
      <c r="J515" s="1341"/>
      <c r="K515" s="1330"/>
      <c r="L515" s="1058"/>
      <c r="M515" s="1342"/>
      <c r="N515" s="1333"/>
      <c r="O515" s="1334"/>
      <c r="P515" s="1337"/>
      <c r="Q515" s="1323"/>
      <c r="R515" s="1323"/>
      <c r="S515" s="1338"/>
      <c r="T515" s="1323"/>
      <c r="U515" s="1323"/>
      <c r="V515" s="1323"/>
      <c r="W515" s="1323"/>
      <c r="X515" s="1323"/>
      <c r="Y515" s="1323"/>
      <c r="Z515" s="229"/>
      <c r="AA515" s="230"/>
      <c r="AB515" s="44" t="s">
        <v>1064</v>
      </c>
      <c r="AC515" s="231"/>
      <c r="AD515" s="231"/>
      <c r="AE515" s="245"/>
      <c r="AF515" s="1331"/>
      <c r="AG515" s="1332"/>
      <c r="AH515" s="1332"/>
      <c r="AI515" s="1331"/>
      <c r="AJ515" s="1332"/>
      <c r="AK515" s="1332"/>
      <c r="AL515" s="771"/>
    </row>
    <row r="516" spans="1:38" ht="11.25" customHeight="1">
      <c r="A516" t="s">
        <v>1021</v>
      </c>
      <c r="E516" s="556"/>
      <c r="F516" s="1354"/>
      <c r="G516" s="1326"/>
      <c r="H516" s="1327" t="s">
        <v>115</v>
      </c>
      <c r="I516" s="1328"/>
      <c r="J516" s="1341"/>
      <c r="K516" s="1330"/>
      <c r="L516" s="1058"/>
      <c r="M516" s="1342"/>
      <c r="N516" s="229"/>
      <c r="O516" s="230"/>
      <c r="P516" s="44" t="s">
        <v>1065</v>
      </c>
      <c r="Q516" s="230"/>
      <c r="R516" s="230"/>
      <c r="S516" s="230"/>
      <c r="T516" s="230"/>
      <c r="U516" s="230"/>
      <c r="V516" s="230"/>
      <c r="W516" s="230"/>
      <c r="X516" s="230"/>
      <c r="Y516" s="230"/>
      <c r="Z516" s="230"/>
      <c r="AA516" s="230"/>
      <c r="AB516" s="230"/>
      <c r="AC516" s="230"/>
      <c r="AD516" s="230"/>
      <c r="AE516" s="246"/>
      <c r="AF516" s="1331"/>
      <c r="AG516" s="1332"/>
      <c r="AH516" s="1332"/>
      <c r="AI516" s="1331"/>
      <c r="AJ516" s="1332"/>
      <c r="AK516" s="1332"/>
      <c r="AL516" s="771"/>
    </row>
    <row r="517" spans="1:38" ht="11.25" customHeight="1">
      <c r="A517" t="s">
        <v>1021</v>
      </c>
      <c r="B517" t="s">
        <v>1076</v>
      </c>
      <c r="E517" s="556"/>
      <c r="F517" s="1354"/>
      <c r="G517" s="1304" t="s">
        <v>103</v>
      </c>
      <c r="H517" s="1327" t="s">
        <v>92</v>
      </c>
      <c r="I517" s="1328" t="s">
        <v>1077</v>
      </c>
      <c r="J517" s="1341" t="s">
        <v>1130</v>
      </c>
      <c r="K517" s="1330" t="s">
        <v>1134</v>
      </c>
      <c r="L517" s="1058" t="s">
        <v>61</v>
      </c>
      <c r="M517" s="1342" t="s">
        <v>1020</v>
      </c>
      <c r="N517" s="241"/>
      <c r="O517" s="242" t="s">
        <v>387</v>
      </c>
      <c r="P517" s="243"/>
      <c r="Q517" s="243"/>
      <c r="R517" s="243"/>
      <c r="S517" s="243"/>
      <c r="T517" s="243"/>
      <c r="U517" s="243"/>
      <c r="V517" s="243"/>
      <c r="W517" s="243"/>
      <c r="X517" s="243"/>
      <c r="Y517" s="243"/>
      <c r="Z517" s="243"/>
      <c r="AA517" s="243"/>
      <c r="AB517" s="243"/>
      <c r="AC517" s="243"/>
      <c r="AD517" s="243"/>
      <c r="AE517" s="243"/>
      <c r="AF517" s="1331">
        <v>3</v>
      </c>
      <c r="AG517" s="1332" t="s">
        <v>1055</v>
      </c>
      <c r="AH517" s="1332" t="s">
        <v>1135</v>
      </c>
      <c r="AI517" s="1331">
        <v>3</v>
      </c>
      <c r="AJ517" s="1332" t="s">
        <v>1055</v>
      </c>
      <c r="AK517" s="1332" t="s">
        <v>1135</v>
      </c>
      <c r="AL517" s="771"/>
    </row>
    <row r="518" spans="1:38" ht="11.25" customHeight="1">
      <c r="A518" t="s">
        <v>1021</v>
      </c>
      <c r="E518" s="556"/>
      <c r="F518" s="1354"/>
      <c r="G518" s="1326"/>
      <c r="H518" s="1327" t="s">
        <v>91</v>
      </c>
      <c r="I518" s="1328"/>
      <c r="J518" s="1341"/>
      <c r="K518" s="1330"/>
      <c r="L518" s="1058"/>
      <c r="M518" s="1342"/>
      <c r="N518" s="1333"/>
      <c r="O518" s="1334">
        <v>1</v>
      </c>
      <c r="P518" s="1335" t="s">
        <v>19</v>
      </c>
      <c r="Q518" s="1323" t="s">
        <v>22</v>
      </c>
      <c r="R518" s="1323" t="s">
        <v>22</v>
      </c>
      <c r="S518" s="1323" t="s">
        <v>22</v>
      </c>
      <c r="T518" s="1323" t="s">
        <v>22</v>
      </c>
      <c r="U518" s="1323" t="s">
        <v>22</v>
      </c>
      <c r="V518" s="1323" t="s">
        <v>22</v>
      </c>
      <c r="W518" s="1323" t="s">
        <v>22</v>
      </c>
      <c r="X518" s="1323" t="s">
        <v>22</v>
      </c>
      <c r="Y518" s="1323"/>
      <c r="Z518" s="229"/>
      <c r="AA518" s="230"/>
      <c r="AB518" s="230"/>
      <c r="AC518" s="231"/>
      <c r="AD518" s="231"/>
      <c r="AE518" s="244"/>
      <c r="AF518" s="1331"/>
      <c r="AG518" s="1332"/>
      <c r="AH518" s="1332"/>
      <c r="AI518" s="1331"/>
      <c r="AJ518" s="1332"/>
      <c r="AK518" s="1332"/>
      <c r="AL518" s="771"/>
    </row>
    <row r="519" spans="1:38" ht="11.25" customHeight="1">
      <c r="A519" t="s">
        <v>1021</v>
      </c>
      <c r="E519" s="556"/>
      <c r="F519" s="1354"/>
      <c r="G519" s="1326"/>
      <c r="H519" s="1327" t="s">
        <v>91</v>
      </c>
      <c r="I519" s="1328"/>
      <c r="J519" s="1341"/>
      <c r="K519" s="1330"/>
      <c r="L519" s="1058"/>
      <c r="M519" s="1342"/>
      <c r="N519" s="1333"/>
      <c r="O519" s="1334"/>
      <c r="P519" s="1336"/>
      <c r="Q519" s="1323"/>
      <c r="R519" s="1323"/>
      <c r="S519" s="1338"/>
      <c r="T519" s="1323"/>
      <c r="U519" s="1323"/>
      <c r="V519" s="1323"/>
      <c r="W519" s="1323"/>
      <c r="X519" s="1323"/>
      <c r="Y519" s="1323"/>
      <c r="AA519" s="777">
        <v>1</v>
      </c>
      <c r="AB519" s="778" t="s">
        <v>1129</v>
      </c>
      <c r="AC519" s="236">
        <v>462.79912999999999</v>
      </c>
      <c r="AD519" s="778" t="str">
        <f>AB519</f>
        <v xml:space="preserve">     Прочие амортизационные отчисления</v>
      </c>
      <c r="AE519" s="236">
        <f>AC519</f>
        <v>462.79912999999999</v>
      </c>
      <c r="AF519" s="1331"/>
      <c r="AG519" s="1332"/>
      <c r="AH519" s="1332"/>
      <c r="AI519" s="1331"/>
      <c r="AJ519" s="1332"/>
      <c r="AK519" s="1332"/>
      <c r="AL519" s="771"/>
    </row>
    <row r="520" spans="1:38" ht="11.25" customHeight="1">
      <c r="A520" t="s">
        <v>1021</v>
      </c>
      <c r="E520" s="556"/>
      <c r="F520" s="1354"/>
      <c r="G520" s="1326"/>
      <c r="H520" s="1327" t="s">
        <v>91</v>
      </c>
      <c r="I520" s="1328"/>
      <c r="J520" s="1341"/>
      <c r="K520" s="1330"/>
      <c r="L520" s="1058"/>
      <c r="M520" s="1342"/>
      <c r="N520" s="1333"/>
      <c r="O520" s="1334"/>
      <c r="P520" s="1337"/>
      <c r="Q520" s="1323"/>
      <c r="R520" s="1323"/>
      <c r="S520" s="1338"/>
      <c r="T520" s="1323"/>
      <c r="U520" s="1323"/>
      <c r="V520" s="1323"/>
      <c r="W520" s="1323"/>
      <c r="X520" s="1323"/>
      <c r="Y520" s="1323"/>
      <c r="Z520" s="229"/>
      <c r="AA520" s="230"/>
      <c r="AB520" s="44" t="s">
        <v>1064</v>
      </c>
      <c r="AC520" s="231"/>
      <c r="AD520" s="231"/>
      <c r="AE520" s="245"/>
      <c r="AF520" s="1331"/>
      <c r="AG520" s="1332"/>
      <c r="AH520" s="1332"/>
      <c r="AI520" s="1331"/>
      <c r="AJ520" s="1332"/>
      <c r="AK520" s="1332"/>
      <c r="AL520" s="771"/>
    </row>
    <row r="521" spans="1:38" ht="11.25" customHeight="1">
      <c r="A521" t="s">
        <v>1021</v>
      </c>
      <c r="E521" s="556"/>
      <c r="F521" s="1354"/>
      <c r="G521" s="1326"/>
      <c r="H521" s="1327" t="s">
        <v>91</v>
      </c>
      <c r="I521" s="1328"/>
      <c r="J521" s="1341"/>
      <c r="K521" s="1330"/>
      <c r="L521" s="1058"/>
      <c r="M521" s="1342"/>
      <c r="N521" s="229"/>
      <c r="O521" s="230"/>
      <c r="P521" s="44" t="s">
        <v>1065</v>
      </c>
      <c r="Q521" s="230"/>
      <c r="R521" s="230"/>
      <c r="S521" s="230"/>
      <c r="T521" s="230"/>
      <c r="U521" s="230"/>
      <c r="V521" s="230"/>
      <c r="W521" s="230"/>
      <c r="X521" s="230"/>
      <c r="Y521" s="230"/>
      <c r="Z521" s="230"/>
      <c r="AA521" s="230"/>
      <c r="AB521" s="230"/>
      <c r="AC521" s="230"/>
      <c r="AD521" s="230"/>
      <c r="AE521" s="246"/>
      <c r="AF521" s="1331"/>
      <c r="AG521" s="1332"/>
      <c r="AH521" s="1332"/>
      <c r="AI521" s="1331"/>
      <c r="AJ521" s="1332"/>
      <c r="AK521" s="1332"/>
      <c r="AL521" s="771"/>
    </row>
    <row r="522" spans="1:38" ht="11.25" customHeight="1">
      <c r="A522" t="s">
        <v>1021</v>
      </c>
      <c r="B522" t="s">
        <v>1076</v>
      </c>
      <c r="E522" s="556"/>
      <c r="F522" s="1354"/>
      <c r="G522" s="1304" t="s">
        <v>103</v>
      </c>
      <c r="H522" s="1327" t="s">
        <v>116</v>
      </c>
      <c r="I522" s="1328" t="s">
        <v>1077</v>
      </c>
      <c r="J522" s="1341" t="s">
        <v>1078</v>
      </c>
      <c r="K522" s="1330" t="s">
        <v>1108</v>
      </c>
      <c r="L522" s="1058" t="s">
        <v>61</v>
      </c>
      <c r="M522" s="1342" t="s">
        <v>1020</v>
      </c>
      <c r="N522" s="241"/>
      <c r="O522" s="242" t="s">
        <v>387</v>
      </c>
      <c r="P522" s="243"/>
      <c r="Q522" s="243"/>
      <c r="R522" s="243"/>
      <c r="S522" s="243"/>
      <c r="T522" s="243"/>
      <c r="U522" s="243"/>
      <c r="V522" s="243"/>
      <c r="W522" s="243"/>
      <c r="X522" s="243"/>
      <c r="Y522" s="243"/>
      <c r="Z522" s="243"/>
      <c r="AA522" s="243"/>
      <c r="AB522" s="243"/>
      <c r="AC522" s="243"/>
      <c r="AD522" s="243"/>
      <c r="AE522" s="243"/>
      <c r="AF522" s="1331">
        <v>6</v>
      </c>
      <c r="AG522" s="1332" t="s">
        <v>1055</v>
      </c>
      <c r="AH522" s="1332" t="s">
        <v>1109</v>
      </c>
      <c r="AI522" s="1331">
        <v>6</v>
      </c>
      <c r="AJ522" s="1332" t="s">
        <v>1055</v>
      </c>
      <c r="AK522" s="1332" t="s">
        <v>1109</v>
      </c>
      <c r="AL522" s="771"/>
    </row>
    <row r="523" spans="1:38" ht="11.25" customHeight="1">
      <c r="A523" t="s">
        <v>1021</v>
      </c>
      <c r="E523" s="556"/>
      <c r="F523" s="1354"/>
      <c r="G523" s="1326"/>
      <c r="H523" s="1327" t="s">
        <v>92</v>
      </c>
      <c r="I523" s="1328"/>
      <c r="J523" s="1341"/>
      <c r="K523" s="1330"/>
      <c r="L523" s="1058"/>
      <c r="M523" s="1342"/>
      <c r="N523" s="1333"/>
      <c r="O523" s="1334">
        <v>1</v>
      </c>
      <c r="P523" s="1335" t="s">
        <v>19</v>
      </c>
      <c r="Q523" s="1323" t="s">
        <v>22</v>
      </c>
      <c r="R523" s="1323" t="s">
        <v>22</v>
      </c>
      <c r="S523" s="1323" t="s">
        <v>22</v>
      </c>
      <c r="T523" s="1323" t="s">
        <v>22</v>
      </c>
      <c r="U523" s="1323" t="s">
        <v>22</v>
      </c>
      <c r="V523" s="1323" t="s">
        <v>22</v>
      </c>
      <c r="W523" s="1323" t="s">
        <v>22</v>
      </c>
      <c r="X523" s="1323" t="s">
        <v>22</v>
      </c>
      <c r="Y523" s="1323"/>
      <c r="Z523" s="229"/>
      <c r="AA523" s="230"/>
      <c r="AB523" s="230"/>
      <c r="AC523" s="231"/>
      <c r="AD523" s="231"/>
      <c r="AE523" s="244"/>
      <c r="AF523" s="1331"/>
      <c r="AG523" s="1332"/>
      <c r="AH523" s="1332"/>
      <c r="AI523" s="1331"/>
      <c r="AJ523" s="1332"/>
      <c r="AK523" s="1332"/>
      <c r="AL523" s="771"/>
    </row>
    <row r="524" spans="1:38" ht="11.25" customHeight="1">
      <c r="A524" t="s">
        <v>1021</v>
      </c>
      <c r="E524" s="556"/>
      <c r="F524" s="1354"/>
      <c r="G524" s="1326"/>
      <c r="H524" s="1327" t="s">
        <v>92</v>
      </c>
      <c r="I524" s="1328"/>
      <c r="J524" s="1341"/>
      <c r="K524" s="1330"/>
      <c r="L524" s="1058"/>
      <c r="M524" s="1342"/>
      <c r="N524" s="1333"/>
      <c r="O524" s="1334"/>
      <c r="P524" s="1336"/>
      <c r="Q524" s="1323"/>
      <c r="R524" s="1323"/>
      <c r="S524" s="1338"/>
      <c r="T524" s="1323"/>
      <c r="U524" s="1323"/>
      <c r="V524" s="1323"/>
      <c r="W524" s="1323"/>
      <c r="X524" s="1323"/>
      <c r="Y524" s="1323"/>
      <c r="AA524" s="777">
        <v>1</v>
      </c>
      <c r="AB524" s="778" t="s">
        <v>1129</v>
      </c>
      <c r="AC524" s="236">
        <v>43034.573149999997</v>
      </c>
      <c r="AD524" s="778" t="str">
        <f>AB524</f>
        <v xml:space="preserve">     Прочие амортизационные отчисления</v>
      </c>
      <c r="AE524" s="236">
        <f>AC524</f>
        <v>43034.573149999997</v>
      </c>
      <c r="AF524" s="1331"/>
      <c r="AG524" s="1332"/>
      <c r="AH524" s="1332"/>
      <c r="AI524" s="1331"/>
      <c r="AJ524" s="1332"/>
      <c r="AK524" s="1332"/>
      <c r="AL524" s="771"/>
    </row>
    <row r="525" spans="1:38" ht="11.25" customHeight="1">
      <c r="A525" t="s">
        <v>1021</v>
      </c>
      <c r="E525" s="556"/>
      <c r="F525" s="1354"/>
      <c r="G525" s="1326"/>
      <c r="H525" s="1327" t="s">
        <v>92</v>
      </c>
      <c r="I525" s="1328"/>
      <c r="J525" s="1341"/>
      <c r="K525" s="1330"/>
      <c r="L525" s="1058"/>
      <c r="M525" s="1342"/>
      <c r="N525" s="1333"/>
      <c r="O525" s="1334"/>
      <c r="P525" s="1337"/>
      <c r="Q525" s="1323"/>
      <c r="R525" s="1323"/>
      <c r="S525" s="1338"/>
      <c r="T525" s="1323"/>
      <c r="U525" s="1323"/>
      <c r="V525" s="1323"/>
      <c r="W525" s="1323"/>
      <c r="X525" s="1323"/>
      <c r="Y525" s="1323"/>
      <c r="Z525" s="229"/>
      <c r="AA525" s="230"/>
      <c r="AB525" s="44" t="s">
        <v>1064</v>
      </c>
      <c r="AC525" s="231"/>
      <c r="AD525" s="231"/>
      <c r="AE525" s="245"/>
      <c r="AF525" s="1331"/>
      <c r="AG525" s="1332"/>
      <c r="AH525" s="1332"/>
      <c r="AI525" s="1331"/>
      <c r="AJ525" s="1332"/>
      <c r="AK525" s="1332"/>
      <c r="AL525" s="771"/>
    </row>
    <row r="526" spans="1:38" ht="11.25" customHeight="1">
      <c r="A526" t="s">
        <v>1021</v>
      </c>
      <c r="E526" s="556"/>
      <c r="F526" s="1354"/>
      <c r="G526" s="1326"/>
      <c r="H526" s="1327" t="s">
        <v>92</v>
      </c>
      <c r="I526" s="1328"/>
      <c r="J526" s="1341"/>
      <c r="K526" s="1330"/>
      <c r="L526" s="1058"/>
      <c r="M526" s="1342"/>
      <c r="N526" s="229"/>
      <c r="O526" s="230"/>
      <c r="P526" s="44" t="s">
        <v>1065</v>
      </c>
      <c r="Q526" s="230"/>
      <c r="R526" s="230"/>
      <c r="S526" s="230"/>
      <c r="T526" s="230"/>
      <c r="U526" s="230"/>
      <c r="V526" s="230"/>
      <c r="W526" s="230"/>
      <c r="X526" s="230"/>
      <c r="Y526" s="230"/>
      <c r="Z526" s="230"/>
      <c r="AA526" s="230"/>
      <c r="AB526" s="230"/>
      <c r="AC526" s="230"/>
      <c r="AD526" s="230"/>
      <c r="AE526" s="246"/>
      <c r="AF526" s="1331"/>
      <c r="AG526" s="1332"/>
      <c r="AH526" s="1332"/>
      <c r="AI526" s="1331"/>
      <c r="AJ526" s="1332"/>
      <c r="AK526" s="1332"/>
      <c r="AL526" s="771"/>
    </row>
    <row r="527" spans="1:38" ht="11.25" customHeight="1">
      <c r="A527" t="s">
        <v>1021</v>
      </c>
      <c r="B527" t="s">
        <v>1122</v>
      </c>
      <c r="E527" s="556"/>
      <c r="F527" s="1354"/>
      <c r="G527" s="1304" t="s">
        <v>103</v>
      </c>
      <c r="H527" s="1327" t="s">
        <v>161</v>
      </c>
      <c r="I527" s="1328" t="s">
        <v>1123</v>
      </c>
      <c r="J527" s="1341" t="s">
        <v>1124</v>
      </c>
      <c r="K527" s="1330" t="s">
        <v>1125</v>
      </c>
      <c r="L527" s="1058" t="s">
        <v>19</v>
      </c>
      <c r="M527" s="1060"/>
      <c r="N527" s="241"/>
      <c r="O527" s="242" t="s">
        <v>387</v>
      </c>
      <c r="P527" s="243"/>
      <c r="Q527" s="243"/>
      <c r="R527" s="243"/>
      <c r="S527" s="243"/>
      <c r="T527" s="243"/>
      <c r="U527" s="243"/>
      <c r="V527" s="243"/>
      <c r="W527" s="243"/>
      <c r="X527" s="243"/>
      <c r="Y527" s="243"/>
      <c r="Z527" s="243"/>
      <c r="AA527" s="243"/>
      <c r="AB527" s="243"/>
      <c r="AC527" s="243"/>
      <c r="AD527" s="243"/>
      <c r="AE527" s="243"/>
      <c r="AF527" s="1331">
        <v>2</v>
      </c>
      <c r="AG527" s="1332" t="s">
        <v>1055</v>
      </c>
      <c r="AH527" s="1332" t="s">
        <v>1126</v>
      </c>
      <c r="AI527" s="1331">
        <v>2</v>
      </c>
      <c r="AJ527" s="1332" t="s">
        <v>1055</v>
      </c>
      <c r="AK527" s="1332" t="s">
        <v>1126</v>
      </c>
      <c r="AL527" s="771"/>
    </row>
    <row r="528" spans="1:38" ht="11.25" customHeight="1">
      <c r="A528" t="s">
        <v>1021</v>
      </c>
      <c r="E528" s="556"/>
      <c r="F528" s="1354"/>
      <c r="G528" s="1326"/>
      <c r="H528" s="1327" t="s">
        <v>116</v>
      </c>
      <c r="I528" s="1328"/>
      <c r="J528" s="1341"/>
      <c r="K528" s="1330"/>
      <c r="L528" s="1058"/>
      <c r="M528" s="1060"/>
      <c r="N528" s="1333"/>
      <c r="O528" s="1334">
        <v>1</v>
      </c>
      <c r="P528" s="1335" t="s">
        <v>19</v>
      </c>
      <c r="Q528" s="1323" t="s">
        <v>22</v>
      </c>
      <c r="R528" s="1323" t="s">
        <v>22</v>
      </c>
      <c r="S528" s="1323" t="s">
        <v>22</v>
      </c>
      <c r="T528" s="1323" t="s">
        <v>22</v>
      </c>
      <c r="U528" s="1323" t="s">
        <v>22</v>
      </c>
      <c r="V528" s="1323" t="s">
        <v>22</v>
      </c>
      <c r="W528" s="1323" t="s">
        <v>22</v>
      </c>
      <c r="X528" s="1323" t="s">
        <v>22</v>
      </c>
      <c r="Y528" s="1323"/>
      <c r="Z528" s="229"/>
      <c r="AA528" s="230"/>
      <c r="AB528" s="230"/>
      <c r="AC528" s="231"/>
      <c r="AD528" s="231"/>
      <c r="AE528" s="244"/>
      <c r="AF528" s="1331"/>
      <c r="AG528" s="1332"/>
      <c r="AH528" s="1332"/>
      <c r="AI528" s="1331"/>
      <c r="AJ528" s="1332"/>
      <c r="AK528" s="1332"/>
      <c r="AL528" s="771"/>
    </row>
    <row r="529" spans="1:38" ht="11.25" customHeight="1">
      <c r="A529" t="s">
        <v>1021</v>
      </c>
      <c r="E529" s="556"/>
      <c r="F529" s="1354"/>
      <c r="G529" s="1326"/>
      <c r="H529" s="1327" t="s">
        <v>116</v>
      </c>
      <c r="I529" s="1328"/>
      <c r="J529" s="1341"/>
      <c r="K529" s="1330"/>
      <c r="L529" s="1058"/>
      <c r="M529" s="1060"/>
      <c r="N529" s="1333"/>
      <c r="O529" s="1334"/>
      <c r="P529" s="1336"/>
      <c r="Q529" s="1323"/>
      <c r="R529" s="1323"/>
      <c r="S529" s="1338"/>
      <c r="T529" s="1323"/>
      <c r="U529" s="1323"/>
      <c r="V529" s="1323"/>
      <c r="W529" s="1323"/>
      <c r="X529" s="1323"/>
      <c r="Y529" s="1323"/>
      <c r="AA529" s="777">
        <v>1</v>
      </c>
      <c r="AB529" s="778" t="s">
        <v>1129</v>
      </c>
      <c r="AC529" s="236">
        <v>5927.6727300000002</v>
      </c>
      <c r="AD529" s="778" t="str">
        <f>AB529</f>
        <v xml:space="preserve">     Прочие амортизационные отчисления</v>
      </c>
      <c r="AE529" s="236">
        <f>AC529</f>
        <v>5927.6727300000002</v>
      </c>
      <c r="AF529" s="1331"/>
      <c r="AG529" s="1332"/>
      <c r="AH529" s="1332"/>
      <c r="AI529" s="1331"/>
      <c r="AJ529" s="1332"/>
      <c r="AK529" s="1332"/>
      <c r="AL529" s="771"/>
    </row>
    <row r="530" spans="1:38" ht="11.25" customHeight="1">
      <c r="A530" t="s">
        <v>1021</v>
      </c>
      <c r="E530" s="556"/>
      <c r="F530" s="1354"/>
      <c r="G530" s="1326"/>
      <c r="H530" s="1327" t="s">
        <v>116</v>
      </c>
      <c r="I530" s="1328"/>
      <c r="J530" s="1341"/>
      <c r="K530" s="1330"/>
      <c r="L530" s="1058"/>
      <c r="M530" s="1060"/>
      <c r="N530" s="1333"/>
      <c r="O530" s="1334"/>
      <c r="P530" s="1337"/>
      <c r="Q530" s="1323"/>
      <c r="R530" s="1323"/>
      <c r="S530" s="1338"/>
      <c r="T530" s="1323"/>
      <c r="U530" s="1323"/>
      <c r="V530" s="1323"/>
      <c r="W530" s="1323"/>
      <c r="X530" s="1323"/>
      <c r="Y530" s="1323"/>
      <c r="Z530" s="229"/>
      <c r="AA530" s="230"/>
      <c r="AB530" s="44" t="s">
        <v>1064</v>
      </c>
      <c r="AC530" s="231"/>
      <c r="AD530" s="231"/>
      <c r="AE530" s="245"/>
      <c r="AF530" s="1331"/>
      <c r="AG530" s="1332"/>
      <c r="AH530" s="1332"/>
      <c r="AI530" s="1331"/>
      <c r="AJ530" s="1332"/>
      <c r="AK530" s="1332"/>
      <c r="AL530" s="771"/>
    </row>
    <row r="531" spans="1:38" ht="11.25" customHeight="1">
      <c r="A531" t="s">
        <v>1021</v>
      </c>
      <c r="E531" s="556"/>
      <c r="F531" s="1354"/>
      <c r="G531" s="1326"/>
      <c r="H531" s="1327" t="s">
        <v>116</v>
      </c>
      <c r="I531" s="1328"/>
      <c r="J531" s="1341"/>
      <c r="K531" s="1330"/>
      <c r="L531" s="1058"/>
      <c r="M531" s="1060"/>
      <c r="N531" s="229"/>
      <c r="O531" s="230"/>
      <c r="P531" s="44" t="s">
        <v>1065</v>
      </c>
      <c r="Q531" s="230"/>
      <c r="R531" s="230"/>
      <c r="S531" s="230"/>
      <c r="T531" s="230"/>
      <c r="U531" s="230"/>
      <c r="V531" s="230"/>
      <c r="W531" s="230"/>
      <c r="X531" s="230"/>
      <c r="Y531" s="230"/>
      <c r="Z531" s="230"/>
      <c r="AA531" s="230"/>
      <c r="AB531" s="230"/>
      <c r="AC531" s="230"/>
      <c r="AD531" s="230"/>
      <c r="AE531" s="246"/>
      <c r="AF531" s="1331"/>
      <c r="AG531" s="1332"/>
      <c r="AH531" s="1332"/>
      <c r="AI531" s="1331"/>
      <c r="AJ531" s="1332"/>
      <c r="AK531" s="1332"/>
      <c r="AL531" s="771"/>
    </row>
    <row r="532" spans="1:38" ht="11.25" customHeight="1">
      <c r="A532" t="s">
        <v>1021</v>
      </c>
      <c r="B532" t="s">
        <v>22</v>
      </c>
      <c r="E532" s="556"/>
      <c r="F532" s="1354"/>
      <c r="G532" s="1304" t="s">
        <v>103</v>
      </c>
      <c r="H532" s="1327" t="s">
        <v>162</v>
      </c>
      <c r="I532" s="1328" t="s">
        <v>1080</v>
      </c>
      <c r="J532" s="1329" t="s">
        <v>22</v>
      </c>
      <c r="K532" s="1330" t="s">
        <v>1140</v>
      </c>
      <c r="L532" s="1058" t="s">
        <v>61</v>
      </c>
      <c r="M532" s="1342" t="s">
        <v>1020</v>
      </c>
      <c r="N532" s="241"/>
      <c r="O532" s="242" t="s">
        <v>387</v>
      </c>
      <c r="P532" s="243"/>
      <c r="Q532" s="243"/>
      <c r="R532" s="243"/>
      <c r="S532" s="243"/>
      <c r="T532" s="243"/>
      <c r="U532" s="243"/>
      <c r="V532" s="243"/>
      <c r="W532" s="243"/>
      <c r="X532" s="243"/>
      <c r="Y532" s="243"/>
      <c r="Z532" s="243"/>
      <c r="AA532" s="243"/>
      <c r="AB532" s="243"/>
      <c r="AC532" s="243"/>
      <c r="AD532" s="243"/>
      <c r="AE532" s="243"/>
      <c r="AF532" s="1331">
        <v>2</v>
      </c>
      <c r="AG532" s="1332" t="s">
        <v>1055</v>
      </c>
      <c r="AH532" s="1332" t="s">
        <v>1126</v>
      </c>
      <c r="AI532" s="1331">
        <v>2</v>
      </c>
      <c r="AJ532" s="1332" t="s">
        <v>1055</v>
      </c>
      <c r="AK532" s="1332" t="s">
        <v>1126</v>
      </c>
      <c r="AL532" s="771"/>
    </row>
    <row r="533" spans="1:38" ht="11.25" customHeight="1">
      <c r="A533" t="s">
        <v>1021</v>
      </c>
      <c r="E533" s="556"/>
      <c r="F533" s="1354"/>
      <c r="G533" s="1326"/>
      <c r="H533" s="1327" t="s">
        <v>161</v>
      </c>
      <c r="I533" s="1328"/>
      <c r="J533" s="1329"/>
      <c r="K533" s="1330"/>
      <c r="L533" s="1058"/>
      <c r="M533" s="1342"/>
      <c r="N533" s="1333"/>
      <c r="O533" s="1334">
        <v>1</v>
      </c>
      <c r="P533" s="1335" t="s">
        <v>19</v>
      </c>
      <c r="Q533" s="1323" t="s">
        <v>22</v>
      </c>
      <c r="R533" s="1323" t="s">
        <v>22</v>
      </c>
      <c r="S533" s="1323" t="s">
        <v>22</v>
      </c>
      <c r="T533" s="1323" t="s">
        <v>22</v>
      </c>
      <c r="U533" s="1323" t="s">
        <v>22</v>
      </c>
      <c r="V533" s="1323" t="s">
        <v>22</v>
      </c>
      <c r="W533" s="1323" t="s">
        <v>22</v>
      </c>
      <c r="X533" s="1323" t="s">
        <v>22</v>
      </c>
      <c r="Y533" s="1323"/>
      <c r="Z533" s="229"/>
      <c r="AA533" s="230"/>
      <c r="AB533" s="230"/>
      <c r="AC533" s="231"/>
      <c r="AD533" s="231"/>
      <c r="AE533" s="244"/>
      <c r="AF533" s="1331"/>
      <c r="AG533" s="1332"/>
      <c r="AH533" s="1332"/>
      <c r="AI533" s="1331"/>
      <c r="AJ533" s="1332"/>
      <c r="AK533" s="1332"/>
      <c r="AL533" s="771"/>
    </row>
    <row r="534" spans="1:38" ht="11.25" customHeight="1">
      <c r="A534" t="s">
        <v>1021</v>
      </c>
      <c r="E534" s="556"/>
      <c r="F534" s="1354"/>
      <c r="G534" s="1326"/>
      <c r="H534" s="1327" t="s">
        <v>161</v>
      </c>
      <c r="I534" s="1328"/>
      <c r="J534" s="1329"/>
      <c r="K534" s="1330"/>
      <c r="L534" s="1058"/>
      <c r="M534" s="1342"/>
      <c r="N534" s="1333"/>
      <c r="O534" s="1334"/>
      <c r="P534" s="1336"/>
      <c r="Q534" s="1323"/>
      <c r="R534" s="1323"/>
      <c r="S534" s="1338"/>
      <c r="T534" s="1323"/>
      <c r="U534" s="1323"/>
      <c r="V534" s="1323"/>
      <c r="W534" s="1323"/>
      <c r="X534" s="1323"/>
      <c r="Y534" s="1323"/>
      <c r="AA534" s="777">
        <v>1</v>
      </c>
      <c r="AB534" s="778" t="s">
        <v>1127</v>
      </c>
      <c r="AC534" s="236">
        <v>637.64332999999999</v>
      </c>
      <c r="AD534" s="778" t="str">
        <f>AB534</f>
        <v xml:space="preserve">  Средства, полученные за счет платы за подключение (технологическое присоединение)</v>
      </c>
      <c r="AE534" s="236">
        <f>AC534</f>
        <v>637.64332999999999</v>
      </c>
      <c r="AF534" s="1331"/>
      <c r="AG534" s="1332"/>
      <c r="AH534" s="1332"/>
      <c r="AI534" s="1331"/>
      <c r="AJ534" s="1332"/>
      <c r="AK534" s="1332"/>
      <c r="AL534" s="771"/>
    </row>
    <row r="535" spans="1:38" ht="11.25" customHeight="1">
      <c r="A535" t="s">
        <v>1021</v>
      </c>
      <c r="E535" s="556"/>
      <c r="F535" s="1354"/>
      <c r="G535" s="1326"/>
      <c r="H535" s="1327" t="s">
        <v>161</v>
      </c>
      <c r="I535" s="1328"/>
      <c r="J535" s="1329"/>
      <c r="K535" s="1330"/>
      <c r="L535" s="1058"/>
      <c r="M535" s="1342"/>
      <c r="N535" s="1333"/>
      <c r="O535" s="1334"/>
      <c r="P535" s="1337"/>
      <c r="Q535" s="1323"/>
      <c r="R535" s="1323"/>
      <c r="S535" s="1338"/>
      <c r="T535" s="1323"/>
      <c r="U535" s="1323"/>
      <c r="V535" s="1323"/>
      <c r="W535" s="1323"/>
      <c r="X535" s="1323"/>
      <c r="Y535" s="1323"/>
      <c r="Z535" s="229"/>
      <c r="AA535" s="230"/>
      <c r="AB535" s="44" t="s">
        <v>1064</v>
      </c>
      <c r="AC535" s="231"/>
      <c r="AD535" s="231"/>
      <c r="AE535" s="245"/>
      <c r="AF535" s="1331"/>
      <c r="AG535" s="1332"/>
      <c r="AH535" s="1332"/>
      <c r="AI535" s="1331"/>
      <c r="AJ535" s="1332"/>
      <c r="AK535" s="1332"/>
      <c r="AL535" s="771"/>
    </row>
    <row r="536" spans="1:38" ht="11.25" customHeight="1">
      <c r="A536" t="s">
        <v>1021</v>
      </c>
      <c r="E536" s="556"/>
      <c r="F536" s="1354"/>
      <c r="G536" s="1326"/>
      <c r="H536" s="1327" t="s">
        <v>161</v>
      </c>
      <c r="I536" s="1328"/>
      <c r="J536" s="1329"/>
      <c r="K536" s="1330"/>
      <c r="L536" s="1058"/>
      <c r="M536" s="1342"/>
      <c r="N536" s="229"/>
      <c r="O536" s="230"/>
      <c r="P536" s="44" t="s">
        <v>1065</v>
      </c>
      <c r="Q536" s="230"/>
      <c r="R536" s="230"/>
      <c r="S536" s="230"/>
      <c r="T536" s="230"/>
      <c r="U536" s="230"/>
      <c r="V536" s="230"/>
      <c r="W536" s="230"/>
      <c r="X536" s="230"/>
      <c r="Y536" s="230"/>
      <c r="Z536" s="230"/>
      <c r="AA536" s="230"/>
      <c r="AB536" s="230"/>
      <c r="AC536" s="230"/>
      <c r="AD536" s="230"/>
      <c r="AE536" s="246"/>
      <c r="AF536" s="1331"/>
      <c r="AG536" s="1332"/>
      <c r="AH536" s="1332"/>
      <c r="AI536" s="1331"/>
      <c r="AJ536" s="1332"/>
      <c r="AK536" s="1332"/>
      <c r="AL536" s="771"/>
    </row>
    <row r="537" spans="1:38" ht="11.25" customHeight="1">
      <c r="A537" t="s">
        <v>1021</v>
      </c>
      <c r="B537" t="s">
        <v>22</v>
      </c>
      <c r="E537" s="556"/>
      <c r="F537" s="1354"/>
      <c r="G537" s="1304" t="s">
        <v>103</v>
      </c>
      <c r="H537" s="1327" t="s">
        <v>163</v>
      </c>
      <c r="I537" s="1328" t="s">
        <v>1080</v>
      </c>
      <c r="J537" s="1329" t="s">
        <v>22</v>
      </c>
      <c r="K537" s="1330" t="s">
        <v>1136</v>
      </c>
      <c r="L537" s="1058" t="s">
        <v>19</v>
      </c>
      <c r="M537" s="1060"/>
      <c r="N537" s="241"/>
      <c r="O537" s="242" t="s">
        <v>387</v>
      </c>
      <c r="P537" s="243"/>
      <c r="Q537" s="243"/>
      <c r="R537" s="243"/>
      <c r="S537" s="243"/>
      <c r="T537" s="243"/>
      <c r="U537" s="243"/>
      <c r="V537" s="243"/>
      <c r="W537" s="243"/>
      <c r="X537" s="243"/>
      <c r="Y537" s="243"/>
      <c r="Z537" s="243"/>
      <c r="AA537" s="243"/>
      <c r="AB537" s="243"/>
      <c r="AC537" s="243"/>
      <c r="AD537" s="243"/>
      <c r="AE537" s="243"/>
      <c r="AF537" s="1331">
        <v>3</v>
      </c>
      <c r="AG537" s="1332" t="s">
        <v>1055</v>
      </c>
      <c r="AH537" s="1332" t="s">
        <v>1135</v>
      </c>
      <c r="AI537" s="1331">
        <v>3</v>
      </c>
      <c r="AJ537" s="1332" t="s">
        <v>1055</v>
      </c>
      <c r="AK537" s="1332" t="s">
        <v>1135</v>
      </c>
      <c r="AL537" s="771"/>
    </row>
    <row r="538" spans="1:38" ht="11.25" customHeight="1">
      <c r="A538" t="s">
        <v>1021</v>
      </c>
      <c r="E538" s="556"/>
      <c r="F538" s="1354"/>
      <c r="G538" s="1326"/>
      <c r="H538" s="1327" t="s">
        <v>162</v>
      </c>
      <c r="I538" s="1328"/>
      <c r="J538" s="1329"/>
      <c r="K538" s="1330"/>
      <c r="L538" s="1058"/>
      <c r="M538" s="1060"/>
      <c r="N538" s="1333"/>
      <c r="O538" s="1334">
        <v>1</v>
      </c>
      <c r="P538" s="1335" t="s">
        <v>19</v>
      </c>
      <c r="Q538" s="1323" t="s">
        <v>22</v>
      </c>
      <c r="R538" s="1323" t="s">
        <v>22</v>
      </c>
      <c r="S538" s="1323" t="s">
        <v>22</v>
      </c>
      <c r="T538" s="1323" t="s">
        <v>22</v>
      </c>
      <c r="U538" s="1323" t="s">
        <v>22</v>
      </c>
      <c r="V538" s="1323" t="s">
        <v>22</v>
      </c>
      <c r="W538" s="1323" t="s">
        <v>22</v>
      </c>
      <c r="X538" s="1323" t="s">
        <v>22</v>
      </c>
      <c r="Y538" s="1323"/>
      <c r="Z538" s="229"/>
      <c r="AA538" s="230"/>
      <c r="AB538" s="230"/>
      <c r="AC538" s="231"/>
      <c r="AD538" s="231"/>
      <c r="AE538" s="244"/>
      <c r="AF538" s="1331"/>
      <c r="AG538" s="1332"/>
      <c r="AH538" s="1332"/>
      <c r="AI538" s="1331"/>
      <c r="AJ538" s="1332"/>
      <c r="AK538" s="1332"/>
      <c r="AL538" s="771"/>
    </row>
    <row r="539" spans="1:38" ht="11.25" customHeight="1">
      <c r="A539" t="s">
        <v>1021</v>
      </c>
      <c r="E539" s="556"/>
      <c r="F539" s="1354"/>
      <c r="G539" s="1326"/>
      <c r="H539" s="1327" t="s">
        <v>162</v>
      </c>
      <c r="I539" s="1328"/>
      <c r="J539" s="1329"/>
      <c r="K539" s="1330"/>
      <c r="L539" s="1058"/>
      <c r="M539" s="1060"/>
      <c r="N539" s="1333"/>
      <c r="O539" s="1334"/>
      <c r="P539" s="1336"/>
      <c r="Q539" s="1323"/>
      <c r="R539" s="1323"/>
      <c r="S539" s="1338"/>
      <c r="T539" s="1323"/>
      <c r="U539" s="1323"/>
      <c r="V539" s="1323"/>
      <c r="W539" s="1323"/>
      <c r="X539" s="1323"/>
      <c r="Y539" s="1323"/>
      <c r="AA539" s="777">
        <v>1</v>
      </c>
      <c r="AB539" s="778" t="s">
        <v>1129</v>
      </c>
      <c r="AC539" s="236">
        <v>2.88402</v>
      </c>
      <c r="AD539" s="778" t="str">
        <f>AB539</f>
        <v xml:space="preserve">     Прочие амортизационные отчисления</v>
      </c>
      <c r="AE539" s="236">
        <f>AC539</f>
        <v>2.88402</v>
      </c>
      <c r="AF539" s="1331"/>
      <c r="AG539" s="1332"/>
      <c r="AH539" s="1332"/>
      <c r="AI539" s="1331"/>
      <c r="AJ539" s="1332"/>
      <c r="AK539" s="1332"/>
      <c r="AL539" s="771"/>
    </row>
    <row r="540" spans="1:38" ht="11.25" customHeight="1">
      <c r="A540" t="s">
        <v>1021</v>
      </c>
      <c r="E540" s="556"/>
      <c r="F540" s="1354"/>
      <c r="G540" s="1326"/>
      <c r="H540" s="1327" t="s">
        <v>162</v>
      </c>
      <c r="I540" s="1328"/>
      <c r="J540" s="1329"/>
      <c r="K540" s="1330"/>
      <c r="L540" s="1058"/>
      <c r="M540" s="1060"/>
      <c r="N540" s="1333"/>
      <c r="O540" s="1334"/>
      <c r="P540" s="1337"/>
      <c r="Q540" s="1323"/>
      <c r="R540" s="1323"/>
      <c r="S540" s="1338"/>
      <c r="T540" s="1323"/>
      <c r="U540" s="1323"/>
      <c r="V540" s="1323"/>
      <c r="W540" s="1323"/>
      <c r="X540" s="1323"/>
      <c r="Y540" s="1323"/>
      <c r="Z540" s="229"/>
      <c r="AA540" s="230"/>
      <c r="AB540" s="44" t="s">
        <v>1064</v>
      </c>
      <c r="AC540" s="231"/>
      <c r="AD540" s="231"/>
      <c r="AE540" s="245"/>
      <c r="AF540" s="1331"/>
      <c r="AG540" s="1332"/>
      <c r="AH540" s="1332"/>
      <c r="AI540" s="1331"/>
      <c r="AJ540" s="1332"/>
      <c r="AK540" s="1332"/>
      <c r="AL540" s="771"/>
    </row>
    <row r="541" spans="1:38" ht="11.25" customHeight="1">
      <c r="A541" t="s">
        <v>1021</v>
      </c>
      <c r="E541" s="556"/>
      <c r="F541" s="1354"/>
      <c r="G541" s="1326"/>
      <c r="H541" s="1327" t="s">
        <v>162</v>
      </c>
      <c r="I541" s="1328"/>
      <c r="J541" s="1329"/>
      <c r="K541" s="1330"/>
      <c r="L541" s="1058"/>
      <c r="M541" s="1060"/>
      <c r="N541" s="229"/>
      <c r="O541" s="230"/>
      <c r="P541" s="44" t="s">
        <v>1065</v>
      </c>
      <c r="Q541" s="230"/>
      <c r="R541" s="230"/>
      <c r="S541" s="230"/>
      <c r="T541" s="230"/>
      <c r="U541" s="230"/>
      <c r="V541" s="230"/>
      <c r="W541" s="230"/>
      <c r="X541" s="230"/>
      <c r="Y541" s="230"/>
      <c r="Z541" s="230"/>
      <c r="AA541" s="230"/>
      <c r="AB541" s="230"/>
      <c r="AC541" s="230"/>
      <c r="AD541" s="230"/>
      <c r="AE541" s="246"/>
      <c r="AF541" s="1331"/>
      <c r="AG541" s="1332"/>
      <c r="AH541" s="1332"/>
      <c r="AI541" s="1331"/>
      <c r="AJ541" s="1332"/>
      <c r="AK541" s="1332"/>
      <c r="AL541" s="771"/>
    </row>
    <row r="542" spans="1:38" ht="11.25" customHeight="1">
      <c r="A542" t="s">
        <v>1021</v>
      </c>
      <c r="B542" t="s">
        <v>22</v>
      </c>
      <c r="E542" s="556"/>
      <c r="F542" s="1354"/>
      <c r="G542" s="1304" t="s">
        <v>103</v>
      </c>
      <c r="H542" s="1327" t="s">
        <v>164</v>
      </c>
      <c r="I542" s="1328" t="s">
        <v>1080</v>
      </c>
      <c r="J542" s="1329" t="s">
        <v>22</v>
      </c>
      <c r="K542" s="1330" t="s">
        <v>1141</v>
      </c>
      <c r="L542" s="1058" t="s">
        <v>19</v>
      </c>
      <c r="M542" s="1060"/>
      <c r="N542" s="241"/>
      <c r="O542" s="242" t="s">
        <v>387</v>
      </c>
      <c r="P542" s="243"/>
      <c r="Q542" s="243"/>
      <c r="R542" s="243"/>
      <c r="S542" s="243"/>
      <c r="T542" s="243"/>
      <c r="U542" s="243"/>
      <c r="V542" s="243"/>
      <c r="W542" s="243"/>
      <c r="X542" s="243"/>
      <c r="Y542" s="243"/>
      <c r="Z542" s="243"/>
      <c r="AA542" s="243"/>
      <c r="AB542" s="243"/>
      <c r="AC542" s="243"/>
      <c r="AD542" s="243"/>
      <c r="AE542" s="243"/>
      <c r="AF542" s="1331">
        <v>3</v>
      </c>
      <c r="AG542" s="1332" t="s">
        <v>1055</v>
      </c>
      <c r="AH542" s="1332" t="s">
        <v>1135</v>
      </c>
      <c r="AI542" s="1331">
        <v>3</v>
      </c>
      <c r="AJ542" s="1332" t="s">
        <v>1055</v>
      </c>
      <c r="AK542" s="1332" t="s">
        <v>1135</v>
      </c>
      <c r="AL542" s="771"/>
    </row>
    <row r="543" spans="1:38" ht="11.25" customHeight="1">
      <c r="A543" t="s">
        <v>1021</v>
      </c>
      <c r="E543" s="556"/>
      <c r="F543" s="1354"/>
      <c r="G543" s="1326"/>
      <c r="H543" s="1327" t="s">
        <v>163</v>
      </c>
      <c r="I543" s="1328"/>
      <c r="J543" s="1329"/>
      <c r="K543" s="1330"/>
      <c r="L543" s="1058"/>
      <c r="M543" s="1060"/>
      <c r="N543" s="1333"/>
      <c r="O543" s="1334">
        <v>1</v>
      </c>
      <c r="P543" s="1335" t="s">
        <v>19</v>
      </c>
      <c r="Q543" s="1323" t="s">
        <v>22</v>
      </c>
      <c r="R543" s="1323" t="s">
        <v>22</v>
      </c>
      <c r="S543" s="1323" t="s">
        <v>22</v>
      </c>
      <c r="T543" s="1323" t="s">
        <v>22</v>
      </c>
      <c r="U543" s="1323" t="s">
        <v>22</v>
      </c>
      <c r="V543" s="1323" t="s">
        <v>22</v>
      </c>
      <c r="W543" s="1323" t="s">
        <v>22</v>
      </c>
      <c r="X543" s="1323" t="s">
        <v>22</v>
      </c>
      <c r="Y543" s="1323"/>
      <c r="Z543" s="229"/>
      <c r="AA543" s="230"/>
      <c r="AB543" s="230"/>
      <c r="AC543" s="231"/>
      <c r="AD543" s="231"/>
      <c r="AE543" s="244"/>
      <c r="AF543" s="1331"/>
      <c r="AG543" s="1332"/>
      <c r="AH543" s="1332"/>
      <c r="AI543" s="1331"/>
      <c r="AJ543" s="1332"/>
      <c r="AK543" s="1332"/>
      <c r="AL543" s="771"/>
    </row>
    <row r="544" spans="1:38" ht="11.25" customHeight="1">
      <c r="A544" t="s">
        <v>1021</v>
      </c>
      <c r="E544" s="556"/>
      <c r="F544" s="1354"/>
      <c r="G544" s="1326"/>
      <c r="H544" s="1327" t="s">
        <v>163</v>
      </c>
      <c r="I544" s="1328"/>
      <c r="J544" s="1329"/>
      <c r="K544" s="1330"/>
      <c r="L544" s="1058"/>
      <c r="M544" s="1060"/>
      <c r="N544" s="1333"/>
      <c r="O544" s="1334"/>
      <c r="P544" s="1336"/>
      <c r="Q544" s="1323"/>
      <c r="R544" s="1323"/>
      <c r="S544" s="1338"/>
      <c r="T544" s="1323"/>
      <c r="U544" s="1323"/>
      <c r="V544" s="1323"/>
      <c r="W544" s="1323"/>
      <c r="X544" s="1323"/>
      <c r="Y544" s="1323"/>
      <c r="AA544" s="777">
        <v>1</v>
      </c>
      <c r="AB544" s="778" t="s">
        <v>1129</v>
      </c>
      <c r="AC544" s="236">
        <v>705.33978999999999</v>
      </c>
      <c r="AD544" s="778" t="str">
        <f>AB544</f>
        <v xml:space="preserve">     Прочие амортизационные отчисления</v>
      </c>
      <c r="AE544" s="236">
        <f>AC544</f>
        <v>705.33978999999999</v>
      </c>
      <c r="AF544" s="1331"/>
      <c r="AG544" s="1332"/>
      <c r="AH544" s="1332"/>
      <c r="AI544" s="1331"/>
      <c r="AJ544" s="1332"/>
      <c r="AK544" s="1332"/>
      <c r="AL544" s="771"/>
    </row>
    <row r="545" spans="1:38" ht="11.25" customHeight="1">
      <c r="A545" t="s">
        <v>1021</v>
      </c>
      <c r="E545" s="556"/>
      <c r="F545" s="1354"/>
      <c r="G545" s="1326"/>
      <c r="H545" s="1327" t="s">
        <v>163</v>
      </c>
      <c r="I545" s="1328"/>
      <c r="J545" s="1329"/>
      <c r="K545" s="1330"/>
      <c r="L545" s="1058"/>
      <c r="M545" s="1060"/>
      <c r="N545" s="1333"/>
      <c r="O545" s="1334"/>
      <c r="P545" s="1337"/>
      <c r="Q545" s="1323"/>
      <c r="R545" s="1323"/>
      <c r="S545" s="1338"/>
      <c r="T545" s="1323"/>
      <c r="U545" s="1323"/>
      <c r="V545" s="1323"/>
      <c r="W545" s="1323"/>
      <c r="X545" s="1323"/>
      <c r="Y545" s="1323"/>
      <c r="Z545" s="229"/>
      <c r="AA545" s="230"/>
      <c r="AB545" s="44" t="s">
        <v>1064</v>
      </c>
      <c r="AC545" s="231"/>
      <c r="AD545" s="231"/>
      <c r="AE545" s="245"/>
      <c r="AF545" s="1331"/>
      <c r="AG545" s="1332"/>
      <c r="AH545" s="1332"/>
      <c r="AI545" s="1331"/>
      <c r="AJ545" s="1332"/>
      <c r="AK545" s="1332"/>
      <c r="AL545" s="771"/>
    </row>
    <row r="546" spans="1:38" ht="11.25" customHeight="1">
      <c r="A546" t="s">
        <v>1021</v>
      </c>
      <c r="E546" s="556"/>
      <c r="F546" s="1354"/>
      <c r="G546" s="1326"/>
      <c r="H546" s="1327" t="s">
        <v>163</v>
      </c>
      <c r="I546" s="1328"/>
      <c r="J546" s="1329"/>
      <c r="K546" s="1330"/>
      <c r="L546" s="1058"/>
      <c r="M546" s="1060"/>
      <c r="N546" s="229"/>
      <c r="O546" s="230"/>
      <c r="P546" s="44" t="s">
        <v>1065</v>
      </c>
      <c r="Q546" s="230"/>
      <c r="R546" s="230"/>
      <c r="S546" s="230"/>
      <c r="T546" s="230"/>
      <c r="U546" s="230"/>
      <c r="V546" s="230"/>
      <c r="W546" s="230"/>
      <c r="X546" s="230"/>
      <c r="Y546" s="230"/>
      <c r="Z546" s="230"/>
      <c r="AA546" s="230"/>
      <c r="AB546" s="230"/>
      <c r="AC546" s="230"/>
      <c r="AD546" s="230"/>
      <c r="AE546" s="246"/>
      <c r="AF546" s="1331"/>
      <c r="AG546" s="1332"/>
      <c r="AH546" s="1332"/>
      <c r="AI546" s="1331"/>
      <c r="AJ546" s="1332"/>
      <c r="AK546" s="1332"/>
      <c r="AL546" s="771"/>
    </row>
    <row r="547" spans="1:38" ht="11.25" customHeight="1">
      <c r="A547" t="s">
        <v>1021</v>
      </c>
      <c r="B547" t="s">
        <v>22</v>
      </c>
      <c r="E547" s="556"/>
      <c r="F547" s="1354"/>
      <c r="G547" s="1304" t="s">
        <v>103</v>
      </c>
      <c r="H547" s="1327" t="s">
        <v>165</v>
      </c>
      <c r="I547" s="1328" t="s">
        <v>1053</v>
      </c>
      <c r="J547" s="1329" t="s">
        <v>22</v>
      </c>
      <c r="K547" s="1330" t="s">
        <v>1117</v>
      </c>
      <c r="L547" s="1058" t="s">
        <v>19</v>
      </c>
      <c r="M547" s="1060"/>
      <c r="N547" s="241"/>
      <c r="O547" s="242" t="s">
        <v>387</v>
      </c>
      <c r="P547" s="243"/>
      <c r="Q547" s="243"/>
      <c r="R547" s="243"/>
      <c r="S547" s="243"/>
      <c r="T547" s="243"/>
      <c r="U547" s="243"/>
      <c r="V547" s="243"/>
      <c r="W547" s="243"/>
      <c r="X547" s="243"/>
      <c r="Y547" s="243"/>
      <c r="Z547" s="243"/>
      <c r="AA547" s="243"/>
      <c r="AB547" s="243"/>
      <c r="AC547" s="243"/>
      <c r="AD547" s="243"/>
      <c r="AE547" s="243"/>
      <c r="AF547" s="1331">
        <v>1</v>
      </c>
      <c r="AG547" s="1332" t="s">
        <v>1055</v>
      </c>
      <c r="AH547" s="1332" t="s">
        <v>1093</v>
      </c>
      <c r="AI547" s="1331">
        <v>1</v>
      </c>
      <c r="AJ547" s="1332" t="s">
        <v>1055</v>
      </c>
      <c r="AK547" s="1332" t="s">
        <v>1093</v>
      </c>
      <c r="AL547" s="771"/>
    </row>
    <row r="548" spans="1:38" ht="11.25" customHeight="1">
      <c r="A548" t="s">
        <v>1021</v>
      </c>
      <c r="E548" s="556"/>
      <c r="F548" s="1354"/>
      <c r="G548" s="1326"/>
      <c r="H548" s="1327" t="s">
        <v>164</v>
      </c>
      <c r="I548" s="1328"/>
      <c r="J548" s="1329"/>
      <c r="K548" s="1330"/>
      <c r="L548" s="1058"/>
      <c r="M548" s="1060"/>
      <c r="N548" s="1333"/>
      <c r="O548" s="1334">
        <v>1</v>
      </c>
      <c r="P548" s="1335" t="s">
        <v>61</v>
      </c>
      <c r="Q548" s="1339" t="s">
        <v>1057</v>
      </c>
      <c r="R548" s="1340" t="s">
        <v>1058</v>
      </c>
      <c r="S548" s="1340" t="s">
        <v>99</v>
      </c>
      <c r="T548" s="1340" t="s">
        <v>99</v>
      </c>
      <c r="U548" s="1340" t="s">
        <v>100</v>
      </c>
      <c r="V548" s="1340" t="s">
        <v>1059</v>
      </c>
      <c r="W548" s="1340" t="s">
        <v>1060</v>
      </c>
      <c r="X548" s="1340" t="s">
        <v>1061</v>
      </c>
      <c r="Y548" s="1340" t="s">
        <v>1062</v>
      </c>
      <c r="Z548" s="229"/>
      <c r="AA548" s="230"/>
      <c r="AB548" s="230"/>
      <c r="AC548" s="231"/>
      <c r="AD548" s="231"/>
      <c r="AE548" s="244"/>
      <c r="AF548" s="1331"/>
      <c r="AG548" s="1332"/>
      <c r="AH548" s="1332"/>
      <c r="AI548" s="1331"/>
      <c r="AJ548" s="1332"/>
      <c r="AK548" s="1332"/>
      <c r="AL548" s="771"/>
    </row>
    <row r="549" spans="1:38" ht="11.25" customHeight="1">
      <c r="A549" t="s">
        <v>1021</v>
      </c>
      <c r="E549" s="556"/>
      <c r="F549" s="1354"/>
      <c r="G549" s="1326"/>
      <c r="H549" s="1327" t="s">
        <v>164</v>
      </c>
      <c r="I549" s="1328"/>
      <c r="J549" s="1329"/>
      <c r="K549" s="1330"/>
      <c r="L549" s="1058"/>
      <c r="M549" s="1060"/>
      <c r="N549" s="1333"/>
      <c r="O549" s="1334"/>
      <c r="P549" s="1336"/>
      <c r="Q549" s="1339"/>
      <c r="R549" s="1323"/>
      <c r="S549" s="1338"/>
      <c r="T549" s="1323"/>
      <c r="U549" s="1323"/>
      <c r="V549" s="1323"/>
      <c r="W549" s="1323"/>
      <c r="X549" s="1323"/>
      <c r="Y549" s="1323"/>
      <c r="AA549" s="777">
        <v>1</v>
      </c>
      <c r="AB549" s="778" t="s">
        <v>1129</v>
      </c>
      <c r="AC549" s="236">
        <v>483.40510999999998</v>
      </c>
      <c r="AD549" s="778" t="str">
        <f>AB549</f>
        <v xml:space="preserve">     Прочие амортизационные отчисления</v>
      </c>
      <c r="AE549" s="236">
        <f>AC549</f>
        <v>483.40510999999998</v>
      </c>
      <c r="AF549" s="1331"/>
      <c r="AG549" s="1332"/>
      <c r="AH549" s="1332"/>
      <c r="AI549" s="1331"/>
      <c r="AJ549" s="1332"/>
      <c r="AK549" s="1332"/>
      <c r="AL549" s="771"/>
    </row>
    <row r="550" spans="1:38" ht="11.25" customHeight="1">
      <c r="A550" t="s">
        <v>1021</v>
      </c>
      <c r="E550" s="556"/>
      <c r="F550" s="1354"/>
      <c r="G550" s="1326"/>
      <c r="H550" s="1327" t="s">
        <v>164</v>
      </c>
      <c r="I550" s="1328"/>
      <c r="J550" s="1329"/>
      <c r="K550" s="1330"/>
      <c r="L550" s="1058"/>
      <c r="M550" s="1060"/>
      <c r="N550" s="1333"/>
      <c r="O550" s="1334"/>
      <c r="P550" s="1337"/>
      <c r="Q550" s="1339"/>
      <c r="R550" s="1323"/>
      <c r="S550" s="1338"/>
      <c r="T550" s="1323"/>
      <c r="U550" s="1323"/>
      <c r="V550" s="1323"/>
      <c r="W550" s="1323"/>
      <c r="X550" s="1323"/>
      <c r="Y550" s="1323"/>
      <c r="Z550" s="229"/>
      <c r="AA550" s="230"/>
      <c r="AB550" s="44" t="s">
        <v>1064</v>
      </c>
      <c r="AC550" s="231"/>
      <c r="AD550" s="231"/>
      <c r="AE550" s="245"/>
      <c r="AF550" s="1331"/>
      <c r="AG550" s="1332"/>
      <c r="AH550" s="1332"/>
      <c r="AI550" s="1331"/>
      <c r="AJ550" s="1332"/>
      <c r="AK550" s="1332"/>
      <c r="AL550" s="771"/>
    </row>
    <row r="551" spans="1:38" ht="11.25" customHeight="1">
      <c r="A551" t="s">
        <v>1021</v>
      </c>
      <c r="E551" s="556"/>
      <c r="F551" s="1354"/>
      <c r="G551" s="1326"/>
      <c r="H551" s="1327" t="s">
        <v>164</v>
      </c>
      <c r="I551" s="1328"/>
      <c r="J551" s="1329"/>
      <c r="K551" s="1330"/>
      <c r="L551" s="1058"/>
      <c r="M551" s="1060"/>
      <c r="N551" s="229"/>
      <c r="O551" s="230"/>
      <c r="P551" s="44" t="s">
        <v>1065</v>
      </c>
      <c r="Q551" s="230"/>
      <c r="R551" s="230"/>
      <c r="S551" s="230"/>
      <c r="T551" s="230"/>
      <c r="U551" s="230"/>
      <c r="V551" s="230"/>
      <c r="W551" s="230"/>
      <c r="X551" s="230"/>
      <c r="Y551" s="230"/>
      <c r="Z551" s="230"/>
      <c r="AA551" s="230"/>
      <c r="AB551" s="230"/>
      <c r="AC551" s="230"/>
      <c r="AD551" s="230"/>
      <c r="AE551" s="246"/>
      <c r="AF551" s="1331"/>
      <c r="AG551" s="1332"/>
      <c r="AH551" s="1332"/>
      <c r="AI551" s="1331"/>
      <c r="AJ551" s="1332"/>
      <c r="AK551" s="1332"/>
      <c r="AL551" s="771"/>
    </row>
    <row r="552" spans="1:38" ht="12" customHeight="1">
      <c r="A552" t="s">
        <v>1021</v>
      </c>
      <c r="E552" s="556"/>
      <c r="F552" s="1355"/>
      <c r="G552" s="774"/>
      <c r="H552" s="774"/>
      <c r="I552" s="1352" t="s">
        <v>1083</v>
      </c>
      <c r="J552" s="1352"/>
      <c r="K552" s="1352"/>
      <c r="L552" s="775"/>
      <c r="M552" s="775"/>
      <c r="N552" s="776"/>
      <c r="O552" s="776"/>
      <c r="P552" s="776"/>
      <c r="Q552" s="776"/>
      <c r="R552" s="776"/>
      <c r="S552" s="776"/>
      <c r="T552" s="776"/>
      <c r="U552" s="776"/>
      <c r="V552" s="776"/>
      <c r="W552" s="776"/>
      <c r="X552" s="776"/>
      <c r="Y552" s="776"/>
      <c r="Z552" s="776"/>
      <c r="AA552" s="776"/>
      <c r="AB552" s="776"/>
      <c r="AC552" s="776"/>
      <c r="AD552" s="776"/>
      <c r="AE552" s="776"/>
      <c r="AF552" s="776"/>
      <c r="AG552" s="775"/>
      <c r="AH552" s="775"/>
      <c r="AI552" s="776"/>
      <c r="AJ552" s="775"/>
      <c r="AK552" s="776"/>
      <c r="AL552" s="771"/>
    </row>
    <row r="553" spans="1:38" ht="0.75" customHeight="1">
      <c r="A553" t="s">
        <v>1021</v>
      </c>
      <c r="E553" s="556"/>
      <c r="F553" s="1353">
        <v>2023</v>
      </c>
      <c r="G553" s="1327"/>
      <c r="H553" s="1357" t="s">
        <v>387</v>
      </c>
      <c r="I553" s="1358"/>
      <c r="J553" s="1350"/>
      <c r="K553" s="1350"/>
      <c r="L553" s="1351"/>
      <c r="M553" s="1200"/>
      <c r="N553" s="214"/>
      <c r="O553" s="215"/>
      <c r="P553" s="214"/>
      <c r="Q553" s="214"/>
      <c r="R553" s="214"/>
      <c r="S553" s="214"/>
      <c r="T553" s="214"/>
      <c r="U553" s="214"/>
      <c r="V553" s="214"/>
      <c r="W553" s="214"/>
      <c r="X553" s="214"/>
      <c r="Y553" s="214"/>
      <c r="Z553" s="214"/>
      <c r="AA553" s="214"/>
      <c r="AB553" s="214"/>
      <c r="AC553" s="214"/>
      <c r="AD553" s="214"/>
      <c r="AE553" s="214"/>
      <c r="AF553" s="1356"/>
      <c r="AG553" s="1351"/>
      <c r="AH553" s="1351"/>
      <c r="AI553" s="1356"/>
      <c r="AJ553" s="1351"/>
      <c r="AK553" s="1351"/>
      <c r="AL553" s="771"/>
    </row>
    <row r="554" spans="1:38" ht="0.75" customHeight="1">
      <c r="A554" t="s">
        <v>1021</v>
      </c>
      <c r="E554" s="556"/>
      <c r="F554" s="1353"/>
      <c r="G554" s="1327"/>
      <c r="H554" s="1357"/>
      <c r="I554" s="1358"/>
      <c r="J554" s="1350"/>
      <c r="K554" s="1350"/>
      <c r="L554" s="1351"/>
      <c r="M554" s="1200"/>
      <c r="N554" s="1359"/>
      <c r="O554" s="1360"/>
      <c r="P554" s="1347"/>
      <c r="Q554" s="1350"/>
      <c r="R554" s="1350"/>
      <c r="S554" s="1350"/>
      <c r="T554" s="1350"/>
      <c r="U554" s="1350"/>
      <c r="V554" s="1350"/>
      <c r="W554" s="1350"/>
      <c r="X554" s="1350"/>
      <c r="Y554" s="1350"/>
      <c r="Z554" s="216"/>
      <c r="AA554" s="217"/>
      <c r="AB554" s="217"/>
      <c r="AC554" s="218"/>
      <c r="AD554" s="218"/>
      <c r="AE554" s="219"/>
      <c r="AF554" s="1356"/>
      <c r="AG554" s="1351"/>
      <c r="AH554" s="1351"/>
      <c r="AI554" s="1356"/>
      <c r="AJ554" s="1351"/>
      <c r="AK554" s="1351"/>
      <c r="AL554" s="771"/>
    </row>
    <row r="555" spans="1:38" ht="0.75" customHeight="1">
      <c r="A555" t="s">
        <v>1021</v>
      </c>
      <c r="E555" s="556"/>
      <c r="F555" s="1353"/>
      <c r="G555" s="1327"/>
      <c r="H555" s="1357"/>
      <c r="I555" s="1358"/>
      <c r="J555" s="1350"/>
      <c r="K555" s="1350"/>
      <c r="L555" s="1351"/>
      <c r="M555" s="1200"/>
      <c r="N555" s="1359"/>
      <c r="O555" s="1360"/>
      <c r="P555" s="1348"/>
      <c r="Q555" s="1350"/>
      <c r="R555" s="1350"/>
      <c r="S555" s="1350"/>
      <c r="T555" s="1350"/>
      <c r="U555" s="1350"/>
      <c r="V555" s="1350"/>
      <c r="W555" s="1350"/>
      <c r="X555" s="1350"/>
      <c r="Y555" s="1350"/>
      <c r="AA555" s="772"/>
      <c r="AB555" s="773"/>
      <c r="AC555" s="220"/>
      <c r="AD555" s="773"/>
      <c r="AE555" s="220"/>
      <c r="AF555" s="1356"/>
      <c r="AG555" s="1351"/>
      <c r="AH555" s="1351"/>
      <c r="AI555" s="1356"/>
      <c r="AJ555" s="1351"/>
      <c r="AK555" s="1351"/>
      <c r="AL555" s="771"/>
    </row>
    <row r="556" spans="1:38" ht="0.75" customHeight="1">
      <c r="A556" t="s">
        <v>1021</v>
      </c>
      <c r="E556" s="556"/>
      <c r="F556" s="1353"/>
      <c r="G556" s="1327"/>
      <c r="H556" s="1357"/>
      <c r="I556" s="1358"/>
      <c r="J556" s="1350"/>
      <c r="K556" s="1350"/>
      <c r="L556" s="1351"/>
      <c r="M556" s="1200"/>
      <c r="N556" s="1359"/>
      <c r="O556" s="1360"/>
      <c r="P556" s="1349"/>
      <c r="Q556" s="1350"/>
      <c r="R556" s="1350"/>
      <c r="S556" s="1350"/>
      <c r="T556" s="1350"/>
      <c r="U556" s="1350"/>
      <c r="V556" s="1350"/>
      <c r="W556" s="1350"/>
      <c r="X556" s="1350"/>
      <c r="Y556" s="1350"/>
      <c r="Z556" s="216"/>
      <c r="AA556" s="217"/>
      <c r="AB556" s="221"/>
      <c r="AC556" s="218"/>
      <c r="AD556" s="218"/>
      <c r="AE556" s="222"/>
      <c r="AF556" s="1356"/>
      <c r="AG556" s="1351"/>
      <c r="AH556" s="1351"/>
      <c r="AI556" s="1356"/>
      <c r="AJ556" s="1351"/>
      <c r="AK556" s="1351"/>
      <c r="AL556" s="771"/>
    </row>
    <row r="557" spans="1:38" ht="0.75" customHeight="1">
      <c r="A557" t="s">
        <v>1021</v>
      </c>
      <c r="E557" s="556"/>
      <c r="F557" s="1353"/>
      <c r="G557" s="1327"/>
      <c r="H557" s="1357"/>
      <c r="I557" s="1358"/>
      <c r="J557" s="1350"/>
      <c r="K557" s="1350"/>
      <c r="L557" s="1351"/>
      <c r="M557" s="1200"/>
      <c r="N557" s="217"/>
      <c r="O557" s="217"/>
      <c r="P557" s="221"/>
      <c r="Q557" s="217"/>
      <c r="R557" s="217"/>
      <c r="S557" s="217"/>
      <c r="T557" s="217"/>
      <c r="U557" s="217"/>
      <c r="V557" s="217"/>
      <c r="W557" s="217"/>
      <c r="X557" s="217"/>
      <c r="Y557" s="217"/>
      <c r="Z557" s="217"/>
      <c r="AA557" s="217"/>
      <c r="AB557" s="217"/>
      <c r="AC557" s="217"/>
      <c r="AD557" s="217"/>
      <c r="AE557" s="223"/>
      <c r="AF557" s="1356"/>
      <c r="AG557" s="1351"/>
      <c r="AH557" s="1351"/>
      <c r="AI557" s="1356"/>
      <c r="AJ557" s="1351"/>
      <c r="AK557" s="1351"/>
      <c r="AL557" s="771"/>
    </row>
    <row r="558" spans="1:38" ht="11.25" customHeight="1">
      <c r="A558" t="s">
        <v>1021</v>
      </c>
      <c r="B558" t="s">
        <v>22</v>
      </c>
      <c r="E558" s="556"/>
      <c r="F558" s="1354"/>
      <c r="G558" s="1304" t="s">
        <v>103</v>
      </c>
      <c r="H558" s="1327" t="s">
        <v>114</v>
      </c>
      <c r="I558" s="1328" t="s">
        <v>1053</v>
      </c>
      <c r="J558" s="1329" t="s">
        <v>22</v>
      </c>
      <c r="K558" s="1330" t="s">
        <v>1101</v>
      </c>
      <c r="L558" s="1058" t="s">
        <v>19</v>
      </c>
      <c r="M558" s="1060"/>
      <c r="N558" s="241"/>
      <c r="O558" s="242" t="s">
        <v>387</v>
      </c>
      <c r="P558" s="243"/>
      <c r="Q558" s="243"/>
      <c r="R558" s="243"/>
      <c r="S558" s="243"/>
      <c r="T558" s="243"/>
      <c r="U558" s="243"/>
      <c r="V558" s="243"/>
      <c r="W558" s="243"/>
      <c r="X558" s="243"/>
      <c r="Y558" s="243"/>
      <c r="Z558" s="243"/>
      <c r="AA558" s="243"/>
      <c r="AB558" s="243"/>
      <c r="AC558" s="243"/>
      <c r="AD558" s="243"/>
      <c r="AE558" s="243"/>
      <c r="AF558" s="1331">
        <v>4</v>
      </c>
      <c r="AG558" s="1332" t="s">
        <v>1055</v>
      </c>
      <c r="AH558" s="1332" t="s">
        <v>1102</v>
      </c>
      <c r="AI558" s="1331">
        <v>4</v>
      </c>
      <c r="AJ558" s="1332" t="s">
        <v>1055</v>
      </c>
      <c r="AK558" s="1332" t="s">
        <v>1102</v>
      </c>
      <c r="AL558" s="771"/>
    </row>
    <row r="559" spans="1:38" ht="11.25" customHeight="1">
      <c r="A559" t="s">
        <v>1021</v>
      </c>
      <c r="E559" s="556"/>
      <c r="F559" s="1354"/>
      <c r="G559" s="1326"/>
      <c r="H559" s="1327" t="s">
        <v>387</v>
      </c>
      <c r="I559" s="1328"/>
      <c r="J559" s="1329"/>
      <c r="K559" s="1330"/>
      <c r="L559" s="1058"/>
      <c r="M559" s="1060"/>
      <c r="N559" s="1333"/>
      <c r="O559" s="1334">
        <v>1</v>
      </c>
      <c r="P559" s="1335" t="s">
        <v>61</v>
      </c>
      <c r="Q559" s="1339" t="s">
        <v>1103</v>
      </c>
      <c r="R559" s="1340" t="s">
        <v>1104</v>
      </c>
      <c r="S559" s="1340" t="s">
        <v>99</v>
      </c>
      <c r="T559" s="1340" t="s">
        <v>99</v>
      </c>
      <c r="U559" s="1340" t="s">
        <v>100</v>
      </c>
      <c r="V559" s="1340" t="s">
        <v>1059</v>
      </c>
      <c r="W559" s="1340" t="s">
        <v>1060</v>
      </c>
      <c r="X559" s="1340" t="s">
        <v>1105</v>
      </c>
      <c r="Y559" s="1340" t="s">
        <v>1106</v>
      </c>
      <c r="Z559" s="229"/>
      <c r="AA559" s="230"/>
      <c r="AB559" s="230"/>
      <c r="AC559" s="231"/>
      <c r="AD559" s="231"/>
      <c r="AE559" s="244"/>
      <c r="AF559" s="1331"/>
      <c r="AG559" s="1332"/>
      <c r="AH559" s="1332"/>
      <c r="AI559" s="1331"/>
      <c r="AJ559" s="1332"/>
      <c r="AK559" s="1332"/>
      <c r="AL559" s="771"/>
    </row>
    <row r="560" spans="1:38" ht="11.25" customHeight="1">
      <c r="A560" t="s">
        <v>1021</v>
      </c>
      <c r="E560" s="556"/>
      <c r="F560" s="1354"/>
      <c r="G560" s="1326"/>
      <c r="H560" s="1327" t="s">
        <v>387</v>
      </c>
      <c r="I560" s="1328"/>
      <c r="J560" s="1329"/>
      <c r="K560" s="1330"/>
      <c r="L560" s="1058"/>
      <c r="M560" s="1060"/>
      <c r="N560" s="1333"/>
      <c r="O560" s="1334"/>
      <c r="P560" s="1336"/>
      <c r="Q560" s="1339"/>
      <c r="R560" s="1323"/>
      <c r="S560" s="1338"/>
      <c r="T560" s="1323"/>
      <c r="U560" s="1323"/>
      <c r="V560" s="1323"/>
      <c r="W560" s="1323"/>
      <c r="X560" s="1323"/>
      <c r="Y560" s="1323"/>
      <c r="AA560" s="777">
        <v>1</v>
      </c>
      <c r="AB560" s="778" t="s">
        <v>1129</v>
      </c>
      <c r="AC560" s="236">
        <v>209.90580700155201</v>
      </c>
      <c r="AD560" s="778" t="str">
        <f>AB560</f>
        <v xml:space="preserve">     Прочие амортизационные отчисления</v>
      </c>
      <c r="AE560" s="236">
        <v>719.39188000000001</v>
      </c>
      <c r="AF560" s="1331"/>
      <c r="AG560" s="1332"/>
      <c r="AH560" s="1332"/>
      <c r="AI560" s="1331"/>
      <c r="AJ560" s="1332"/>
      <c r="AK560" s="1332"/>
      <c r="AL560" s="771"/>
    </row>
    <row r="561" spans="1:38" ht="11.25" customHeight="1">
      <c r="A561" t="s">
        <v>1021</v>
      </c>
      <c r="E561" s="556"/>
      <c r="F561" s="1326"/>
      <c r="G561" s="1326"/>
      <c r="H561" s="1326"/>
      <c r="I561" s="1326"/>
      <c r="J561" s="1326"/>
      <c r="K561" s="1326"/>
      <c r="L561" s="1326"/>
      <c r="M561" s="1326"/>
      <c r="N561" s="1326"/>
      <c r="O561" s="1326"/>
      <c r="P561" s="1326"/>
      <c r="Q561" s="1326"/>
      <c r="R561" s="1326"/>
      <c r="S561" s="1326"/>
      <c r="T561" s="1326"/>
      <c r="U561" s="1326"/>
      <c r="V561" s="1326"/>
      <c r="W561" s="1326"/>
      <c r="X561" s="1326"/>
      <c r="Y561" s="1326"/>
      <c r="Z561" s="181" t="s">
        <v>103</v>
      </c>
      <c r="AA561" s="779" t="s">
        <v>102</v>
      </c>
      <c r="AB561" s="778" t="s">
        <v>1142</v>
      </c>
      <c r="AC561" s="236">
        <v>42.401340146929797</v>
      </c>
      <c r="AD561" s="778" t="str">
        <f>AB561</f>
        <v xml:space="preserve">  Прочие собственные средства</v>
      </c>
      <c r="AE561" s="236">
        <v>0</v>
      </c>
      <c r="AF561" s="1343"/>
      <c r="AG561" s="1344"/>
      <c r="AH561" s="1344"/>
      <c r="AI561" s="1343"/>
      <c r="AJ561" s="1344"/>
      <c r="AK561" s="1345"/>
      <c r="AL561" s="771"/>
    </row>
    <row r="562" spans="1:38" ht="11.25" customHeight="1">
      <c r="A562" t="s">
        <v>1021</v>
      </c>
      <c r="E562" s="556"/>
      <c r="F562" s="1326"/>
      <c r="G562" s="1326"/>
      <c r="H562" s="1326"/>
      <c r="I562" s="1326"/>
      <c r="J562" s="1326"/>
      <c r="K562" s="1326"/>
      <c r="L562" s="1326"/>
      <c r="M562" s="1326"/>
      <c r="N562" s="1326"/>
      <c r="O562" s="1326"/>
      <c r="P562" s="1326"/>
      <c r="Q562" s="1326"/>
      <c r="R562" s="1326"/>
      <c r="S562" s="1326"/>
      <c r="T562" s="1326"/>
      <c r="U562" s="1326"/>
      <c r="V562" s="1326"/>
      <c r="W562" s="1326"/>
      <c r="X562" s="1326"/>
      <c r="Y562" s="1326"/>
      <c r="Z562" s="181" t="s">
        <v>103</v>
      </c>
      <c r="AA562" s="779" t="s">
        <v>89</v>
      </c>
      <c r="AB562" s="778" t="s">
        <v>1063</v>
      </c>
      <c r="AC562" s="236">
        <v>8.19713345751852</v>
      </c>
      <c r="AD562" s="778" t="str">
        <f>AB562</f>
        <v xml:space="preserve">  Кредиты</v>
      </c>
      <c r="AE562" s="236">
        <v>0</v>
      </c>
      <c r="AF562" s="1343"/>
      <c r="AG562" s="1344"/>
      <c r="AH562" s="1344"/>
      <c r="AI562" s="1343"/>
      <c r="AJ562" s="1344"/>
      <c r="AK562" s="1345"/>
      <c r="AL562" s="771"/>
    </row>
    <row r="563" spans="1:38" ht="11.25" customHeight="1">
      <c r="A563" t="s">
        <v>1021</v>
      </c>
      <c r="E563" s="556"/>
      <c r="F563" s="1354"/>
      <c r="G563" s="1326"/>
      <c r="H563" s="1327" t="s">
        <v>387</v>
      </c>
      <c r="I563" s="1328"/>
      <c r="J563" s="1329"/>
      <c r="K563" s="1330"/>
      <c r="L563" s="1058"/>
      <c r="M563" s="1060"/>
      <c r="N563" s="1333"/>
      <c r="O563" s="1334"/>
      <c r="P563" s="1337"/>
      <c r="Q563" s="1339"/>
      <c r="R563" s="1323"/>
      <c r="S563" s="1338"/>
      <c r="T563" s="1323"/>
      <c r="U563" s="1323"/>
      <c r="V563" s="1323"/>
      <c r="W563" s="1323"/>
      <c r="X563" s="1323"/>
      <c r="Y563" s="1323"/>
      <c r="Z563" s="229"/>
      <c r="AA563" s="230"/>
      <c r="AB563" s="44" t="s">
        <v>1064</v>
      </c>
      <c r="AC563" s="231"/>
      <c r="AD563" s="231"/>
      <c r="AE563" s="245"/>
      <c r="AF563" s="1331"/>
      <c r="AG563" s="1332"/>
      <c r="AH563" s="1332"/>
      <c r="AI563" s="1331"/>
      <c r="AJ563" s="1332"/>
      <c r="AK563" s="1332"/>
      <c r="AL563" s="771"/>
    </row>
    <row r="564" spans="1:38" ht="11.25" customHeight="1">
      <c r="A564" t="s">
        <v>1021</v>
      </c>
      <c r="E564" s="556"/>
      <c r="F564" s="1354"/>
      <c r="G564" s="1326"/>
      <c r="H564" s="1327" t="s">
        <v>387</v>
      </c>
      <c r="I564" s="1328"/>
      <c r="J564" s="1329"/>
      <c r="K564" s="1330"/>
      <c r="L564" s="1058"/>
      <c r="M564" s="1060"/>
      <c r="N564" s="229"/>
      <c r="O564" s="230"/>
      <c r="P564" s="44" t="s">
        <v>1065</v>
      </c>
      <c r="Q564" s="230"/>
      <c r="R564" s="230"/>
      <c r="S564" s="230"/>
      <c r="T564" s="230"/>
      <c r="U564" s="230"/>
      <c r="V564" s="230"/>
      <c r="W564" s="230"/>
      <c r="X564" s="230"/>
      <c r="Y564" s="230"/>
      <c r="Z564" s="230"/>
      <c r="AA564" s="230"/>
      <c r="AB564" s="230"/>
      <c r="AC564" s="230"/>
      <c r="AD564" s="230"/>
      <c r="AE564" s="246"/>
      <c r="AF564" s="1331"/>
      <c r="AG564" s="1332"/>
      <c r="AH564" s="1332"/>
      <c r="AI564" s="1331"/>
      <c r="AJ564" s="1332"/>
      <c r="AK564" s="1332"/>
      <c r="AL564" s="771"/>
    </row>
    <row r="565" spans="1:38" ht="11.25" customHeight="1">
      <c r="A565" t="s">
        <v>1021</v>
      </c>
      <c r="B565" t="s">
        <v>22</v>
      </c>
      <c r="E565" s="556"/>
      <c r="F565" s="1354"/>
      <c r="G565" s="1304" t="s">
        <v>103</v>
      </c>
      <c r="H565" s="1327" t="s">
        <v>102</v>
      </c>
      <c r="I565" s="1328" t="s">
        <v>1053</v>
      </c>
      <c r="J565" s="1329" t="s">
        <v>22</v>
      </c>
      <c r="K565" s="1330" t="s">
        <v>1137</v>
      </c>
      <c r="L565" s="1058" t="s">
        <v>61</v>
      </c>
      <c r="M565" s="1342" t="s">
        <v>1020</v>
      </c>
      <c r="N565" s="241"/>
      <c r="O565" s="242" t="s">
        <v>387</v>
      </c>
      <c r="P565" s="243"/>
      <c r="Q565" s="243"/>
      <c r="R565" s="243"/>
      <c r="S565" s="243"/>
      <c r="T565" s="243"/>
      <c r="U565" s="243"/>
      <c r="V565" s="243"/>
      <c r="W565" s="243"/>
      <c r="X565" s="243"/>
      <c r="Y565" s="243"/>
      <c r="Z565" s="243"/>
      <c r="AA565" s="243"/>
      <c r="AB565" s="243"/>
      <c r="AC565" s="243"/>
      <c r="AD565" s="243"/>
      <c r="AE565" s="243"/>
      <c r="AF565" s="1331">
        <v>2</v>
      </c>
      <c r="AG565" s="1332" t="s">
        <v>1055</v>
      </c>
      <c r="AH565" s="1332" t="s">
        <v>1135</v>
      </c>
      <c r="AI565" s="1331">
        <v>2</v>
      </c>
      <c r="AJ565" s="1332" t="s">
        <v>1055</v>
      </c>
      <c r="AK565" s="1332" t="s">
        <v>1135</v>
      </c>
      <c r="AL565" s="771"/>
    </row>
    <row r="566" spans="1:38" ht="11.25" customHeight="1">
      <c r="A566" t="s">
        <v>1021</v>
      </c>
      <c r="E566" s="556"/>
      <c r="F566" s="1354"/>
      <c r="G566" s="1326"/>
      <c r="H566" s="1327" t="s">
        <v>114</v>
      </c>
      <c r="I566" s="1328"/>
      <c r="J566" s="1329"/>
      <c r="K566" s="1330"/>
      <c r="L566" s="1058"/>
      <c r="M566" s="1342"/>
      <c r="N566" s="1333"/>
      <c r="O566" s="1334">
        <v>1</v>
      </c>
      <c r="P566" s="1335" t="s">
        <v>61</v>
      </c>
      <c r="Q566" s="1339" t="s">
        <v>1069</v>
      </c>
      <c r="R566" s="1340" t="s">
        <v>1058</v>
      </c>
      <c r="S566" s="1340" t="s">
        <v>99</v>
      </c>
      <c r="T566" s="1340" t="s">
        <v>99</v>
      </c>
      <c r="U566" s="1340" t="s">
        <v>100</v>
      </c>
      <c r="V566" s="1340" t="s">
        <v>1059</v>
      </c>
      <c r="W566" s="1340" t="s">
        <v>1060</v>
      </c>
      <c r="X566" s="1340" t="s">
        <v>1070</v>
      </c>
      <c r="Y566" s="1340" t="s">
        <v>1071</v>
      </c>
      <c r="Z566" s="229"/>
      <c r="AA566" s="230"/>
      <c r="AB566" s="230"/>
      <c r="AC566" s="231"/>
      <c r="AD566" s="231"/>
      <c r="AE566" s="244"/>
      <c r="AF566" s="1331"/>
      <c r="AG566" s="1332"/>
      <c r="AH566" s="1332"/>
      <c r="AI566" s="1331"/>
      <c r="AJ566" s="1332"/>
      <c r="AK566" s="1332"/>
      <c r="AL566" s="771"/>
    </row>
    <row r="567" spans="1:38" ht="11.25" customHeight="1">
      <c r="A567" t="s">
        <v>1021</v>
      </c>
      <c r="E567" s="556"/>
      <c r="F567" s="1354"/>
      <c r="G567" s="1326"/>
      <c r="H567" s="1327" t="s">
        <v>114</v>
      </c>
      <c r="I567" s="1328"/>
      <c r="J567" s="1329"/>
      <c r="K567" s="1330"/>
      <c r="L567" s="1058"/>
      <c r="M567" s="1342"/>
      <c r="N567" s="1333"/>
      <c r="O567" s="1334"/>
      <c r="P567" s="1336"/>
      <c r="Q567" s="1339"/>
      <c r="R567" s="1323"/>
      <c r="S567" s="1338"/>
      <c r="T567" s="1323"/>
      <c r="U567" s="1323"/>
      <c r="V567" s="1323"/>
      <c r="W567" s="1323"/>
      <c r="X567" s="1323"/>
      <c r="Y567" s="1323"/>
      <c r="AA567" s="777">
        <v>1</v>
      </c>
      <c r="AB567" s="778" t="s">
        <v>1138</v>
      </c>
      <c r="AC567" s="236">
        <v>98116.222299999994</v>
      </c>
      <c r="AD567" s="778" t="str">
        <f>AB567</f>
        <v xml:space="preserve">  Бюджет субъекта РФ</v>
      </c>
      <c r="AE567" s="236">
        <v>102332.2965</v>
      </c>
      <c r="AF567" s="1331"/>
      <c r="AG567" s="1332"/>
      <c r="AH567" s="1332"/>
      <c r="AI567" s="1331"/>
      <c r="AJ567" s="1332"/>
      <c r="AK567" s="1332"/>
      <c r="AL567" s="771"/>
    </row>
    <row r="568" spans="1:38" ht="11.25" customHeight="1">
      <c r="A568" t="s">
        <v>1021</v>
      </c>
      <c r="E568" s="556"/>
      <c r="F568" s="1354"/>
      <c r="G568" s="1326"/>
      <c r="H568" s="1327" t="s">
        <v>114</v>
      </c>
      <c r="I568" s="1328"/>
      <c r="J568" s="1329"/>
      <c r="K568" s="1330"/>
      <c r="L568" s="1058"/>
      <c r="M568" s="1342"/>
      <c r="N568" s="1333"/>
      <c r="O568" s="1334"/>
      <c r="P568" s="1337"/>
      <c r="Q568" s="1339"/>
      <c r="R568" s="1323"/>
      <c r="S568" s="1338"/>
      <c r="T568" s="1323"/>
      <c r="U568" s="1323"/>
      <c r="V568" s="1323"/>
      <c r="W568" s="1323"/>
      <c r="X568" s="1323"/>
      <c r="Y568" s="1323"/>
      <c r="Z568" s="229"/>
      <c r="AA568" s="230"/>
      <c r="AB568" s="44" t="s">
        <v>1064</v>
      </c>
      <c r="AC568" s="231"/>
      <c r="AD568" s="231"/>
      <c r="AE568" s="245"/>
      <c r="AF568" s="1331"/>
      <c r="AG568" s="1332"/>
      <c r="AH568" s="1332"/>
      <c r="AI568" s="1331"/>
      <c r="AJ568" s="1332"/>
      <c r="AK568" s="1332"/>
      <c r="AL568" s="771"/>
    </row>
    <row r="569" spans="1:38" ht="11.25" customHeight="1">
      <c r="A569" t="s">
        <v>1021</v>
      </c>
      <c r="E569" s="556"/>
      <c r="F569" s="1354"/>
      <c r="G569" s="1326"/>
      <c r="H569" s="1327" t="s">
        <v>114</v>
      </c>
      <c r="I569" s="1328"/>
      <c r="J569" s="1329"/>
      <c r="K569" s="1330"/>
      <c r="L569" s="1058"/>
      <c r="M569" s="1342"/>
      <c r="N569" s="229"/>
      <c r="O569" s="230"/>
      <c r="P569" s="44" t="s">
        <v>1065</v>
      </c>
      <c r="Q569" s="230"/>
      <c r="R569" s="230"/>
      <c r="S569" s="230"/>
      <c r="T569" s="230"/>
      <c r="U569" s="230"/>
      <c r="V569" s="230"/>
      <c r="W569" s="230"/>
      <c r="X569" s="230"/>
      <c r="Y569" s="230"/>
      <c r="Z569" s="230"/>
      <c r="AA569" s="230"/>
      <c r="AB569" s="230"/>
      <c r="AC569" s="230"/>
      <c r="AD569" s="230"/>
      <c r="AE569" s="246"/>
      <c r="AF569" s="1331"/>
      <c r="AG569" s="1332"/>
      <c r="AH569" s="1332"/>
      <c r="AI569" s="1331"/>
      <c r="AJ569" s="1332"/>
      <c r="AK569" s="1332"/>
      <c r="AL569" s="771"/>
    </row>
    <row r="570" spans="1:38" ht="11.25" customHeight="1">
      <c r="A570" t="s">
        <v>1021</v>
      </c>
      <c r="B570" t="s">
        <v>1076</v>
      </c>
      <c r="E570" s="556"/>
      <c r="F570" s="1354"/>
      <c r="G570" s="1304" t="s">
        <v>103</v>
      </c>
      <c r="H570" s="1327" t="s">
        <v>89</v>
      </c>
      <c r="I570" s="1328" t="s">
        <v>1077</v>
      </c>
      <c r="J570" s="1341" t="s">
        <v>1078</v>
      </c>
      <c r="K570" s="1330" t="s">
        <v>1084</v>
      </c>
      <c r="L570" s="1058" t="s">
        <v>61</v>
      </c>
      <c r="M570" s="1342" t="s">
        <v>1020</v>
      </c>
      <c r="N570" s="241"/>
      <c r="O570" s="242" t="s">
        <v>387</v>
      </c>
      <c r="P570" s="243"/>
      <c r="Q570" s="243"/>
      <c r="R570" s="243"/>
      <c r="S570" s="243"/>
      <c r="T570" s="243"/>
      <c r="U570" s="243"/>
      <c r="V570" s="243"/>
      <c r="W570" s="243"/>
      <c r="X570" s="243"/>
      <c r="Y570" s="243"/>
      <c r="Z570" s="243"/>
      <c r="AA570" s="243"/>
      <c r="AB570" s="243"/>
      <c r="AC570" s="243"/>
      <c r="AD570" s="243"/>
      <c r="AE570" s="243"/>
      <c r="AF570" s="1331">
        <v>6</v>
      </c>
      <c r="AG570" s="1332" t="s">
        <v>1055</v>
      </c>
      <c r="AH570" s="1332" t="s">
        <v>1085</v>
      </c>
      <c r="AI570" s="1331">
        <v>6</v>
      </c>
      <c r="AJ570" s="1332" t="s">
        <v>1055</v>
      </c>
      <c r="AK570" s="1332" t="s">
        <v>1085</v>
      </c>
      <c r="AL570" s="771"/>
    </row>
    <row r="571" spans="1:38" ht="11.25" customHeight="1">
      <c r="A571" t="s">
        <v>1021</v>
      </c>
      <c r="E571" s="556"/>
      <c r="F571" s="1354"/>
      <c r="G571" s="1326"/>
      <c r="H571" s="1327" t="s">
        <v>102</v>
      </c>
      <c r="I571" s="1328"/>
      <c r="J571" s="1341"/>
      <c r="K571" s="1330"/>
      <c r="L571" s="1058"/>
      <c r="M571" s="1342"/>
      <c r="N571" s="1333"/>
      <c r="O571" s="1334">
        <v>1</v>
      </c>
      <c r="P571" s="1335" t="s">
        <v>19</v>
      </c>
      <c r="Q571" s="1323" t="s">
        <v>22</v>
      </c>
      <c r="R571" s="1323" t="s">
        <v>22</v>
      </c>
      <c r="S571" s="1323" t="s">
        <v>22</v>
      </c>
      <c r="T571" s="1323" t="s">
        <v>22</v>
      </c>
      <c r="U571" s="1323" t="s">
        <v>22</v>
      </c>
      <c r="V571" s="1323" t="s">
        <v>22</v>
      </c>
      <c r="W571" s="1323" t="s">
        <v>22</v>
      </c>
      <c r="X571" s="1323" t="s">
        <v>22</v>
      </c>
      <c r="Y571" s="1323"/>
      <c r="Z571" s="229"/>
      <c r="AA571" s="230"/>
      <c r="AB571" s="230"/>
      <c r="AC571" s="231"/>
      <c r="AD571" s="231"/>
      <c r="AE571" s="244"/>
      <c r="AF571" s="1331"/>
      <c r="AG571" s="1332"/>
      <c r="AH571" s="1332"/>
      <c r="AI571" s="1331"/>
      <c r="AJ571" s="1332"/>
      <c r="AK571" s="1332"/>
      <c r="AL571" s="771"/>
    </row>
    <row r="572" spans="1:38" ht="11.25" customHeight="1">
      <c r="A572" t="s">
        <v>1021</v>
      </c>
      <c r="E572" s="556"/>
      <c r="F572" s="1354"/>
      <c r="G572" s="1326"/>
      <c r="H572" s="1327" t="s">
        <v>102</v>
      </c>
      <c r="I572" s="1328"/>
      <c r="J572" s="1341"/>
      <c r="K572" s="1330"/>
      <c r="L572" s="1058"/>
      <c r="M572" s="1342"/>
      <c r="N572" s="1333"/>
      <c r="O572" s="1334"/>
      <c r="P572" s="1336"/>
      <c r="Q572" s="1323"/>
      <c r="R572" s="1323"/>
      <c r="S572" s="1338"/>
      <c r="T572" s="1323"/>
      <c r="U572" s="1323"/>
      <c r="V572" s="1323"/>
      <c r="W572" s="1323"/>
      <c r="X572" s="1323"/>
      <c r="Y572" s="1323"/>
      <c r="AA572" s="777">
        <v>1</v>
      </c>
      <c r="AB572" s="778" t="s">
        <v>1129</v>
      </c>
      <c r="AC572" s="236">
        <v>5090.41479190884</v>
      </c>
      <c r="AD572" s="778" t="str">
        <f>AB572</f>
        <v xml:space="preserve">     Прочие амортизационные отчисления</v>
      </c>
      <c r="AE572" s="236">
        <v>5731.7034999999996</v>
      </c>
      <c r="AF572" s="1331"/>
      <c r="AG572" s="1332"/>
      <c r="AH572" s="1332"/>
      <c r="AI572" s="1331"/>
      <c r="AJ572" s="1332"/>
      <c r="AK572" s="1332"/>
      <c r="AL572" s="771"/>
    </row>
    <row r="573" spans="1:38" ht="11.25" customHeight="1">
      <c r="A573" t="s">
        <v>1021</v>
      </c>
      <c r="E573" s="556"/>
      <c r="F573" s="1326"/>
      <c r="G573" s="1326"/>
      <c r="H573" s="1326"/>
      <c r="I573" s="1326"/>
      <c r="J573" s="1326"/>
      <c r="K573" s="1326"/>
      <c r="L573" s="1326"/>
      <c r="M573" s="1346"/>
      <c r="N573" s="1326"/>
      <c r="O573" s="1326"/>
      <c r="P573" s="1326"/>
      <c r="Q573" s="1326"/>
      <c r="R573" s="1326"/>
      <c r="S573" s="1326"/>
      <c r="T573" s="1326"/>
      <c r="U573" s="1326"/>
      <c r="V573" s="1326"/>
      <c r="W573" s="1326"/>
      <c r="X573" s="1326"/>
      <c r="Y573" s="1326"/>
      <c r="Z573" s="181" t="s">
        <v>103</v>
      </c>
      <c r="AA573" s="779" t="s">
        <v>102</v>
      </c>
      <c r="AB573" s="778" t="s">
        <v>1142</v>
      </c>
      <c r="AC573" s="236">
        <v>1028.2726912795399</v>
      </c>
      <c r="AD573" s="778" t="str">
        <f>AB573</f>
        <v xml:space="preserve">  Прочие собственные средства</v>
      </c>
      <c r="AE573" s="236">
        <v>1023.59595</v>
      </c>
      <c r="AF573" s="1343"/>
      <c r="AG573" s="1344"/>
      <c r="AH573" s="1344"/>
      <c r="AI573" s="1343"/>
      <c r="AJ573" s="1344"/>
      <c r="AK573" s="1345"/>
      <c r="AL573" s="771"/>
    </row>
    <row r="574" spans="1:38" ht="11.25" customHeight="1">
      <c r="A574" t="s">
        <v>1021</v>
      </c>
      <c r="E574" s="556"/>
      <c r="F574" s="1326"/>
      <c r="G574" s="1326"/>
      <c r="H574" s="1326"/>
      <c r="I574" s="1326"/>
      <c r="J574" s="1326"/>
      <c r="K574" s="1326"/>
      <c r="L574" s="1326"/>
      <c r="M574" s="1346"/>
      <c r="N574" s="1326"/>
      <c r="O574" s="1326"/>
      <c r="P574" s="1326"/>
      <c r="Q574" s="1326"/>
      <c r="R574" s="1326"/>
      <c r="S574" s="1326"/>
      <c r="T574" s="1326"/>
      <c r="U574" s="1326"/>
      <c r="V574" s="1326"/>
      <c r="W574" s="1326"/>
      <c r="X574" s="1326"/>
      <c r="Y574" s="1326"/>
      <c r="Z574" s="181" t="s">
        <v>103</v>
      </c>
      <c r="AA574" s="779" t="s">
        <v>89</v>
      </c>
      <c r="AB574" s="778" t="s">
        <v>1063</v>
      </c>
      <c r="AC574" s="236">
        <v>198.78825650161599</v>
      </c>
      <c r="AD574" s="778" t="str">
        <f>AB574</f>
        <v xml:space="preserve">  Кредиты</v>
      </c>
      <c r="AE574" s="236">
        <v>0</v>
      </c>
      <c r="AF574" s="1343"/>
      <c r="AG574" s="1344"/>
      <c r="AH574" s="1344"/>
      <c r="AI574" s="1343"/>
      <c r="AJ574" s="1344"/>
      <c r="AK574" s="1345"/>
      <c r="AL574" s="771"/>
    </row>
    <row r="575" spans="1:38" ht="11.25" customHeight="1">
      <c r="A575" t="s">
        <v>1021</v>
      </c>
      <c r="E575" s="556"/>
      <c r="F575" s="1354"/>
      <c r="G575" s="1326"/>
      <c r="H575" s="1327" t="s">
        <v>102</v>
      </c>
      <c r="I575" s="1328"/>
      <c r="J575" s="1341"/>
      <c r="K575" s="1330"/>
      <c r="L575" s="1058"/>
      <c r="M575" s="1342"/>
      <c r="N575" s="1333"/>
      <c r="O575" s="1334"/>
      <c r="P575" s="1337"/>
      <c r="Q575" s="1323"/>
      <c r="R575" s="1323"/>
      <c r="S575" s="1338"/>
      <c r="T575" s="1323"/>
      <c r="U575" s="1323"/>
      <c r="V575" s="1323"/>
      <c r="W575" s="1323"/>
      <c r="X575" s="1323"/>
      <c r="Y575" s="1323"/>
      <c r="Z575" s="229"/>
      <c r="AA575" s="230"/>
      <c r="AB575" s="44" t="s">
        <v>1064</v>
      </c>
      <c r="AC575" s="231"/>
      <c r="AD575" s="231"/>
      <c r="AE575" s="245"/>
      <c r="AF575" s="1331"/>
      <c r="AG575" s="1332"/>
      <c r="AH575" s="1332"/>
      <c r="AI575" s="1331"/>
      <c r="AJ575" s="1332"/>
      <c r="AK575" s="1332"/>
      <c r="AL575" s="771"/>
    </row>
    <row r="576" spans="1:38" ht="11.25" customHeight="1">
      <c r="A576" t="s">
        <v>1021</v>
      </c>
      <c r="E576" s="556"/>
      <c r="F576" s="1354"/>
      <c r="G576" s="1326"/>
      <c r="H576" s="1327" t="s">
        <v>102</v>
      </c>
      <c r="I576" s="1328"/>
      <c r="J576" s="1341"/>
      <c r="K576" s="1330"/>
      <c r="L576" s="1058"/>
      <c r="M576" s="1342"/>
      <c r="N576" s="229"/>
      <c r="O576" s="230"/>
      <c r="P576" s="44" t="s">
        <v>1065</v>
      </c>
      <c r="Q576" s="230"/>
      <c r="R576" s="230"/>
      <c r="S576" s="230"/>
      <c r="T576" s="230"/>
      <c r="U576" s="230"/>
      <c r="V576" s="230"/>
      <c r="W576" s="230"/>
      <c r="X576" s="230"/>
      <c r="Y576" s="230"/>
      <c r="Z576" s="230"/>
      <c r="AA576" s="230"/>
      <c r="AB576" s="230"/>
      <c r="AC576" s="230"/>
      <c r="AD576" s="230"/>
      <c r="AE576" s="246"/>
      <c r="AF576" s="1331"/>
      <c r="AG576" s="1332"/>
      <c r="AH576" s="1332"/>
      <c r="AI576" s="1331"/>
      <c r="AJ576" s="1332"/>
      <c r="AK576" s="1332"/>
      <c r="AL576" s="771"/>
    </row>
    <row r="577" spans="1:38" ht="11.25" customHeight="1">
      <c r="A577" t="s">
        <v>1021</v>
      </c>
      <c r="B577" t="s">
        <v>1076</v>
      </c>
      <c r="E577" s="556"/>
      <c r="F577" s="1354"/>
      <c r="G577" s="1304" t="s">
        <v>103</v>
      </c>
      <c r="H577" s="1327" t="s">
        <v>90</v>
      </c>
      <c r="I577" s="1328" t="s">
        <v>1077</v>
      </c>
      <c r="J577" s="1341" t="s">
        <v>1130</v>
      </c>
      <c r="K577" s="1330" t="s">
        <v>1133</v>
      </c>
      <c r="L577" s="1058" t="s">
        <v>61</v>
      </c>
      <c r="M577" s="1342" t="s">
        <v>1020</v>
      </c>
      <c r="N577" s="241"/>
      <c r="O577" s="242" t="s">
        <v>387</v>
      </c>
      <c r="P577" s="243"/>
      <c r="Q577" s="243"/>
      <c r="R577" s="243"/>
      <c r="S577" s="243"/>
      <c r="T577" s="243"/>
      <c r="U577" s="243"/>
      <c r="V577" s="243"/>
      <c r="W577" s="243"/>
      <c r="X577" s="243"/>
      <c r="Y577" s="243"/>
      <c r="Z577" s="243"/>
      <c r="AA577" s="243"/>
      <c r="AB577" s="243"/>
      <c r="AC577" s="243"/>
      <c r="AD577" s="243"/>
      <c r="AE577" s="243"/>
      <c r="AF577" s="1331">
        <v>1</v>
      </c>
      <c r="AG577" s="1332" t="s">
        <v>1055</v>
      </c>
      <c r="AH577" s="1332" t="s">
        <v>1126</v>
      </c>
      <c r="AI577" s="1331">
        <v>1</v>
      </c>
      <c r="AJ577" s="1332" t="s">
        <v>1055</v>
      </c>
      <c r="AK577" s="1332" t="s">
        <v>1126</v>
      </c>
      <c r="AL577" s="771"/>
    </row>
    <row r="578" spans="1:38" ht="11.25" customHeight="1">
      <c r="A578" t="s">
        <v>1021</v>
      </c>
      <c r="E578" s="556"/>
      <c r="F578" s="1354"/>
      <c r="G578" s="1326"/>
      <c r="H578" s="1327" t="s">
        <v>89</v>
      </c>
      <c r="I578" s="1328"/>
      <c r="J578" s="1341"/>
      <c r="K578" s="1330"/>
      <c r="L578" s="1058"/>
      <c r="M578" s="1342"/>
      <c r="N578" s="1333"/>
      <c r="O578" s="1334">
        <v>1</v>
      </c>
      <c r="P578" s="1335" t="s">
        <v>19</v>
      </c>
      <c r="Q578" s="1323" t="s">
        <v>22</v>
      </c>
      <c r="R578" s="1323" t="s">
        <v>22</v>
      </c>
      <c r="S578" s="1323" t="s">
        <v>22</v>
      </c>
      <c r="T578" s="1323" t="s">
        <v>22</v>
      </c>
      <c r="U578" s="1323" t="s">
        <v>22</v>
      </c>
      <c r="V578" s="1323" t="s">
        <v>22</v>
      </c>
      <c r="W578" s="1323" t="s">
        <v>22</v>
      </c>
      <c r="X578" s="1323" t="s">
        <v>22</v>
      </c>
      <c r="Y578" s="1323"/>
      <c r="Z578" s="229"/>
      <c r="AA578" s="230"/>
      <c r="AB578" s="230"/>
      <c r="AC578" s="231"/>
      <c r="AD578" s="231"/>
      <c r="AE578" s="244"/>
      <c r="AF578" s="1331"/>
      <c r="AG578" s="1332"/>
      <c r="AH578" s="1332"/>
      <c r="AI578" s="1331"/>
      <c r="AJ578" s="1332"/>
      <c r="AK578" s="1332"/>
      <c r="AL578" s="771"/>
    </row>
    <row r="579" spans="1:38" ht="11.25" customHeight="1">
      <c r="A579" t="s">
        <v>1021</v>
      </c>
      <c r="E579" s="556"/>
      <c r="F579" s="1354"/>
      <c r="G579" s="1326"/>
      <c r="H579" s="1327" t="s">
        <v>89</v>
      </c>
      <c r="I579" s="1328"/>
      <c r="J579" s="1341"/>
      <c r="K579" s="1330"/>
      <c r="L579" s="1058"/>
      <c r="M579" s="1342"/>
      <c r="N579" s="1333"/>
      <c r="O579" s="1334"/>
      <c r="P579" s="1336"/>
      <c r="Q579" s="1323"/>
      <c r="R579" s="1323"/>
      <c r="S579" s="1338"/>
      <c r="T579" s="1323"/>
      <c r="U579" s="1323"/>
      <c r="V579" s="1323"/>
      <c r="W579" s="1323"/>
      <c r="X579" s="1323"/>
      <c r="Y579" s="1323"/>
      <c r="AA579" s="777">
        <v>1</v>
      </c>
      <c r="AB579" s="778" t="s">
        <v>1129</v>
      </c>
      <c r="AC579" s="236">
        <v>4826.5051654754598</v>
      </c>
      <c r="AD579" s="778" t="str">
        <f>AB579</f>
        <v xml:space="preserve">     Прочие амортизационные отчисления</v>
      </c>
      <c r="AE579" s="236">
        <v>5274.8006599999999</v>
      </c>
      <c r="AF579" s="1331"/>
      <c r="AG579" s="1332"/>
      <c r="AH579" s="1332"/>
      <c r="AI579" s="1331"/>
      <c r="AJ579" s="1332"/>
      <c r="AK579" s="1332"/>
      <c r="AL579" s="771"/>
    </row>
    <row r="580" spans="1:38" ht="11.25" customHeight="1">
      <c r="A580" t="s">
        <v>1021</v>
      </c>
      <c r="E580" s="556"/>
      <c r="F580" s="1326"/>
      <c r="G580" s="1326"/>
      <c r="H580" s="1326"/>
      <c r="I580" s="1326"/>
      <c r="J580" s="1326"/>
      <c r="K580" s="1326"/>
      <c r="L580" s="1326"/>
      <c r="M580" s="1346"/>
      <c r="N580" s="1326"/>
      <c r="O580" s="1326"/>
      <c r="P580" s="1326"/>
      <c r="Q580" s="1326"/>
      <c r="R580" s="1326"/>
      <c r="S580" s="1326"/>
      <c r="T580" s="1326"/>
      <c r="U580" s="1326"/>
      <c r="V580" s="1326"/>
      <c r="W580" s="1326"/>
      <c r="X580" s="1326"/>
      <c r="Y580" s="1326"/>
      <c r="Z580" s="181" t="s">
        <v>103</v>
      </c>
      <c r="AA580" s="779" t="s">
        <v>102</v>
      </c>
      <c r="AB580" s="778" t="s">
        <v>1142</v>
      </c>
      <c r="AC580" s="236">
        <v>974.96248515280899</v>
      </c>
      <c r="AD580" s="778" t="str">
        <f>AB580</f>
        <v xml:space="preserve">  Прочие собственные средства</v>
      </c>
      <c r="AE580" s="236">
        <v>954.24995000000001</v>
      </c>
      <c r="AF580" s="1343"/>
      <c r="AG580" s="1344"/>
      <c r="AH580" s="1344"/>
      <c r="AI580" s="1343"/>
      <c r="AJ580" s="1344"/>
      <c r="AK580" s="1345"/>
      <c r="AL580" s="771"/>
    </row>
    <row r="581" spans="1:38" ht="11.25" customHeight="1">
      <c r="A581" t="s">
        <v>1021</v>
      </c>
      <c r="E581" s="556"/>
      <c r="F581" s="1326"/>
      <c r="G581" s="1326"/>
      <c r="H581" s="1326"/>
      <c r="I581" s="1326"/>
      <c r="J581" s="1326"/>
      <c r="K581" s="1326"/>
      <c r="L581" s="1326"/>
      <c r="M581" s="1346"/>
      <c r="N581" s="1326"/>
      <c r="O581" s="1326"/>
      <c r="P581" s="1326"/>
      <c r="Q581" s="1326"/>
      <c r="R581" s="1326"/>
      <c r="S581" s="1326"/>
      <c r="T581" s="1326"/>
      <c r="U581" s="1326"/>
      <c r="V581" s="1326"/>
      <c r="W581" s="1326"/>
      <c r="X581" s="1326"/>
      <c r="Y581" s="1326"/>
      <c r="Z581" s="181" t="s">
        <v>103</v>
      </c>
      <c r="AA581" s="779" t="s">
        <v>89</v>
      </c>
      <c r="AB581" s="778" t="s">
        <v>1063</v>
      </c>
      <c r="AC581" s="236">
        <v>188.482193703733</v>
      </c>
      <c r="AD581" s="778" t="str">
        <f>AB581</f>
        <v xml:space="preserve">  Кредиты</v>
      </c>
      <c r="AE581" s="236">
        <v>0</v>
      </c>
      <c r="AF581" s="1343"/>
      <c r="AG581" s="1344"/>
      <c r="AH581" s="1344"/>
      <c r="AI581" s="1343"/>
      <c r="AJ581" s="1344"/>
      <c r="AK581" s="1345"/>
      <c r="AL581" s="771"/>
    </row>
    <row r="582" spans="1:38" ht="11.25" customHeight="1">
      <c r="A582" t="s">
        <v>1021</v>
      </c>
      <c r="E582" s="556"/>
      <c r="F582" s="1354"/>
      <c r="G582" s="1326"/>
      <c r="H582" s="1327" t="s">
        <v>89</v>
      </c>
      <c r="I582" s="1328"/>
      <c r="J582" s="1341"/>
      <c r="K582" s="1330"/>
      <c r="L582" s="1058"/>
      <c r="M582" s="1342"/>
      <c r="N582" s="1333"/>
      <c r="O582" s="1334"/>
      <c r="P582" s="1337"/>
      <c r="Q582" s="1323"/>
      <c r="R582" s="1323"/>
      <c r="S582" s="1338"/>
      <c r="T582" s="1323"/>
      <c r="U582" s="1323"/>
      <c r="V582" s="1323"/>
      <c r="W582" s="1323"/>
      <c r="X582" s="1323"/>
      <c r="Y582" s="1323"/>
      <c r="Z582" s="229"/>
      <c r="AA582" s="230"/>
      <c r="AB582" s="44" t="s">
        <v>1064</v>
      </c>
      <c r="AC582" s="231"/>
      <c r="AD582" s="231"/>
      <c r="AE582" s="245"/>
      <c r="AF582" s="1331"/>
      <c r="AG582" s="1332"/>
      <c r="AH582" s="1332"/>
      <c r="AI582" s="1331"/>
      <c r="AJ582" s="1332"/>
      <c r="AK582" s="1332"/>
      <c r="AL582" s="771"/>
    </row>
    <row r="583" spans="1:38" ht="11.25" customHeight="1">
      <c r="A583" t="s">
        <v>1021</v>
      </c>
      <c r="E583" s="556"/>
      <c r="F583" s="1354"/>
      <c r="G583" s="1326"/>
      <c r="H583" s="1327" t="s">
        <v>89</v>
      </c>
      <c r="I583" s="1328"/>
      <c r="J583" s="1341"/>
      <c r="K583" s="1330"/>
      <c r="L583" s="1058"/>
      <c r="M583" s="1342"/>
      <c r="N583" s="229"/>
      <c r="O583" s="230"/>
      <c r="P583" s="44" t="s">
        <v>1065</v>
      </c>
      <c r="Q583" s="230"/>
      <c r="R583" s="230"/>
      <c r="S583" s="230"/>
      <c r="T583" s="230"/>
      <c r="U583" s="230"/>
      <c r="V583" s="230"/>
      <c r="W583" s="230"/>
      <c r="X583" s="230"/>
      <c r="Y583" s="230"/>
      <c r="Z583" s="230"/>
      <c r="AA583" s="230"/>
      <c r="AB583" s="230"/>
      <c r="AC583" s="230"/>
      <c r="AD583" s="230"/>
      <c r="AE583" s="246"/>
      <c r="AF583" s="1331"/>
      <c r="AG583" s="1332"/>
      <c r="AH583" s="1332"/>
      <c r="AI583" s="1331"/>
      <c r="AJ583" s="1332"/>
      <c r="AK583" s="1332"/>
      <c r="AL583" s="771"/>
    </row>
    <row r="584" spans="1:38" ht="11.25" customHeight="1">
      <c r="A584" t="s">
        <v>1021</v>
      </c>
      <c r="B584" t="s">
        <v>1076</v>
      </c>
      <c r="E584" s="556"/>
      <c r="F584" s="1354"/>
      <c r="G584" s="1304" t="s">
        <v>103</v>
      </c>
      <c r="H584" s="1327" t="s">
        <v>115</v>
      </c>
      <c r="I584" s="1328" t="s">
        <v>1077</v>
      </c>
      <c r="J584" s="1341" t="s">
        <v>1130</v>
      </c>
      <c r="K584" s="1330" t="s">
        <v>1134</v>
      </c>
      <c r="L584" s="1058" t="s">
        <v>61</v>
      </c>
      <c r="M584" s="1342" t="s">
        <v>1020</v>
      </c>
      <c r="N584" s="241"/>
      <c r="O584" s="242" t="s">
        <v>387</v>
      </c>
      <c r="P584" s="243"/>
      <c r="Q584" s="243"/>
      <c r="R584" s="243"/>
      <c r="S584" s="243"/>
      <c r="T584" s="243"/>
      <c r="U584" s="243"/>
      <c r="V584" s="243"/>
      <c r="W584" s="243"/>
      <c r="X584" s="243"/>
      <c r="Y584" s="243"/>
      <c r="Z584" s="243"/>
      <c r="AA584" s="243"/>
      <c r="AB584" s="243"/>
      <c r="AC584" s="243"/>
      <c r="AD584" s="243"/>
      <c r="AE584" s="243"/>
      <c r="AF584" s="1331">
        <v>2</v>
      </c>
      <c r="AG584" s="1332" t="s">
        <v>1055</v>
      </c>
      <c r="AH584" s="1332" t="s">
        <v>1135</v>
      </c>
      <c r="AI584" s="1331">
        <v>2</v>
      </c>
      <c r="AJ584" s="1332" t="s">
        <v>1055</v>
      </c>
      <c r="AK584" s="1332" t="s">
        <v>1135</v>
      </c>
      <c r="AL584" s="771"/>
    </row>
    <row r="585" spans="1:38" ht="11.25" customHeight="1">
      <c r="A585" t="s">
        <v>1021</v>
      </c>
      <c r="E585" s="556"/>
      <c r="F585" s="1354"/>
      <c r="G585" s="1326"/>
      <c r="H585" s="1327" t="s">
        <v>90</v>
      </c>
      <c r="I585" s="1328"/>
      <c r="J585" s="1341"/>
      <c r="K585" s="1330"/>
      <c r="L585" s="1058"/>
      <c r="M585" s="1342"/>
      <c r="N585" s="1333"/>
      <c r="O585" s="1334">
        <v>1</v>
      </c>
      <c r="P585" s="1335" t="s">
        <v>19</v>
      </c>
      <c r="Q585" s="1323" t="s">
        <v>22</v>
      </c>
      <c r="R585" s="1323" t="s">
        <v>22</v>
      </c>
      <c r="S585" s="1323" t="s">
        <v>22</v>
      </c>
      <c r="T585" s="1323" t="s">
        <v>22</v>
      </c>
      <c r="U585" s="1323" t="s">
        <v>22</v>
      </c>
      <c r="V585" s="1323" t="s">
        <v>22</v>
      </c>
      <c r="W585" s="1323" t="s">
        <v>22</v>
      </c>
      <c r="X585" s="1323" t="s">
        <v>22</v>
      </c>
      <c r="Y585" s="1323"/>
      <c r="Z585" s="229"/>
      <c r="AA585" s="230"/>
      <c r="AB585" s="230"/>
      <c r="AC585" s="231"/>
      <c r="AD585" s="231"/>
      <c r="AE585" s="244"/>
      <c r="AF585" s="1331"/>
      <c r="AG585" s="1332"/>
      <c r="AH585" s="1332"/>
      <c r="AI585" s="1331"/>
      <c r="AJ585" s="1332"/>
      <c r="AK585" s="1332"/>
      <c r="AL585" s="771"/>
    </row>
    <row r="586" spans="1:38" ht="11.25" customHeight="1">
      <c r="A586" t="s">
        <v>1021</v>
      </c>
      <c r="E586" s="556"/>
      <c r="F586" s="1354"/>
      <c r="G586" s="1326"/>
      <c r="H586" s="1327" t="s">
        <v>90</v>
      </c>
      <c r="I586" s="1328"/>
      <c r="J586" s="1341"/>
      <c r="K586" s="1330"/>
      <c r="L586" s="1058"/>
      <c r="M586" s="1342"/>
      <c r="N586" s="1333"/>
      <c r="O586" s="1334"/>
      <c r="P586" s="1336"/>
      <c r="Q586" s="1323"/>
      <c r="R586" s="1323"/>
      <c r="S586" s="1338"/>
      <c r="T586" s="1323"/>
      <c r="U586" s="1323"/>
      <c r="V586" s="1323"/>
      <c r="W586" s="1323"/>
      <c r="X586" s="1323"/>
      <c r="Y586" s="1323"/>
      <c r="AA586" s="777">
        <v>1</v>
      </c>
      <c r="AB586" s="778" t="s">
        <v>1129</v>
      </c>
      <c r="AC586" s="236">
        <v>6897.6742944139396</v>
      </c>
      <c r="AD586" s="778" t="str">
        <f>AB586</f>
        <v xml:space="preserve">     Прочие амортизационные отчисления</v>
      </c>
      <c r="AE586" s="236">
        <v>8210.3071099999997</v>
      </c>
      <c r="AF586" s="1331"/>
      <c r="AG586" s="1332"/>
      <c r="AH586" s="1332"/>
      <c r="AI586" s="1331"/>
      <c r="AJ586" s="1332"/>
      <c r="AK586" s="1332"/>
      <c r="AL586" s="771"/>
    </row>
    <row r="587" spans="1:38" ht="11.25" customHeight="1">
      <c r="A587" t="s">
        <v>1021</v>
      </c>
      <c r="E587" s="556"/>
      <c r="F587" s="1326"/>
      <c r="G587" s="1326"/>
      <c r="H587" s="1326"/>
      <c r="I587" s="1326"/>
      <c r="J587" s="1326"/>
      <c r="K587" s="1326"/>
      <c r="L587" s="1326"/>
      <c r="M587" s="1346"/>
      <c r="N587" s="1326"/>
      <c r="O587" s="1326"/>
      <c r="P587" s="1326"/>
      <c r="Q587" s="1326"/>
      <c r="R587" s="1326"/>
      <c r="S587" s="1326"/>
      <c r="T587" s="1326"/>
      <c r="U587" s="1326"/>
      <c r="V587" s="1326"/>
      <c r="W587" s="1326"/>
      <c r="X587" s="1326"/>
      <c r="Y587" s="1326"/>
      <c r="Z587" s="181" t="s">
        <v>103</v>
      </c>
      <c r="AA587" s="779" t="s">
        <v>102</v>
      </c>
      <c r="AB587" s="778" t="s">
        <v>1142</v>
      </c>
      <c r="AC587" s="236">
        <v>1393.34227174581</v>
      </c>
      <c r="AD587" s="778" t="str">
        <f>AB587</f>
        <v xml:space="preserve">  Прочие собственные средства</v>
      </c>
      <c r="AE587" s="236">
        <v>1394.80026</v>
      </c>
      <c r="AF587" s="1343"/>
      <c r="AG587" s="1344"/>
      <c r="AH587" s="1344"/>
      <c r="AI587" s="1343"/>
      <c r="AJ587" s="1344"/>
      <c r="AK587" s="1345"/>
      <c r="AL587" s="771"/>
    </row>
    <row r="588" spans="1:38" ht="11.25" customHeight="1">
      <c r="A588" t="s">
        <v>1021</v>
      </c>
      <c r="E588" s="556"/>
      <c r="F588" s="1326"/>
      <c r="G588" s="1326"/>
      <c r="H588" s="1326"/>
      <c r="I588" s="1326"/>
      <c r="J588" s="1326"/>
      <c r="K588" s="1326"/>
      <c r="L588" s="1326"/>
      <c r="M588" s="1346"/>
      <c r="N588" s="1326"/>
      <c r="O588" s="1326"/>
      <c r="P588" s="1326"/>
      <c r="Q588" s="1326"/>
      <c r="R588" s="1326"/>
      <c r="S588" s="1326"/>
      <c r="T588" s="1326"/>
      <c r="U588" s="1326"/>
      <c r="V588" s="1326"/>
      <c r="W588" s="1326"/>
      <c r="X588" s="1326"/>
      <c r="Y588" s="1326"/>
      <c r="Z588" s="181" t="s">
        <v>103</v>
      </c>
      <c r="AA588" s="779" t="s">
        <v>89</v>
      </c>
      <c r="AB588" s="778" t="s">
        <v>1063</v>
      </c>
      <c r="AC588" s="236">
        <v>269.36442371690998</v>
      </c>
      <c r="AD588" s="778" t="str">
        <f>AB588</f>
        <v xml:space="preserve">  Кредиты</v>
      </c>
      <c r="AE588" s="236">
        <v>0</v>
      </c>
      <c r="AF588" s="1343"/>
      <c r="AG588" s="1344"/>
      <c r="AH588" s="1344"/>
      <c r="AI588" s="1343"/>
      <c r="AJ588" s="1344"/>
      <c r="AK588" s="1345"/>
      <c r="AL588" s="771"/>
    </row>
    <row r="589" spans="1:38" ht="11.25" customHeight="1">
      <c r="A589" t="s">
        <v>1021</v>
      </c>
      <c r="E589" s="556"/>
      <c r="F589" s="1354"/>
      <c r="G589" s="1326"/>
      <c r="H589" s="1327" t="s">
        <v>90</v>
      </c>
      <c r="I589" s="1328"/>
      <c r="J589" s="1341"/>
      <c r="K589" s="1330"/>
      <c r="L589" s="1058"/>
      <c r="M589" s="1342"/>
      <c r="N589" s="1333"/>
      <c r="O589" s="1334"/>
      <c r="P589" s="1337"/>
      <c r="Q589" s="1323"/>
      <c r="R589" s="1323"/>
      <c r="S589" s="1338"/>
      <c r="T589" s="1323"/>
      <c r="U589" s="1323"/>
      <c r="V589" s="1323"/>
      <c r="W589" s="1323"/>
      <c r="X589" s="1323"/>
      <c r="Y589" s="1323"/>
      <c r="Z589" s="229"/>
      <c r="AA589" s="230"/>
      <c r="AB589" s="44" t="s">
        <v>1064</v>
      </c>
      <c r="AC589" s="231"/>
      <c r="AD589" s="231"/>
      <c r="AE589" s="245"/>
      <c r="AF589" s="1331"/>
      <c r="AG589" s="1332"/>
      <c r="AH589" s="1332"/>
      <c r="AI589" s="1331"/>
      <c r="AJ589" s="1332"/>
      <c r="AK589" s="1332"/>
      <c r="AL589" s="771"/>
    </row>
    <row r="590" spans="1:38" ht="11.25" customHeight="1">
      <c r="A590" t="s">
        <v>1021</v>
      </c>
      <c r="E590" s="556"/>
      <c r="F590" s="1354"/>
      <c r="G590" s="1326"/>
      <c r="H590" s="1327" t="s">
        <v>90</v>
      </c>
      <c r="I590" s="1328"/>
      <c r="J590" s="1341"/>
      <c r="K590" s="1330"/>
      <c r="L590" s="1058"/>
      <c r="M590" s="1342"/>
      <c r="N590" s="229"/>
      <c r="O590" s="230"/>
      <c r="P590" s="44" t="s">
        <v>1065</v>
      </c>
      <c r="Q590" s="230"/>
      <c r="R590" s="230"/>
      <c r="S590" s="230"/>
      <c r="T590" s="230"/>
      <c r="U590" s="230"/>
      <c r="V590" s="230"/>
      <c r="W590" s="230"/>
      <c r="X590" s="230"/>
      <c r="Y590" s="230"/>
      <c r="Z590" s="230"/>
      <c r="AA590" s="230"/>
      <c r="AB590" s="230"/>
      <c r="AC590" s="230"/>
      <c r="AD590" s="230"/>
      <c r="AE590" s="246"/>
      <c r="AF590" s="1331"/>
      <c r="AG590" s="1332"/>
      <c r="AH590" s="1332"/>
      <c r="AI590" s="1331"/>
      <c r="AJ590" s="1332"/>
      <c r="AK590" s="1332"/>
      <c r="AL590" s="771"/>
    </row>
    <row r="591" spans="1:38" ht="11.25" customHeight="1">
      <c r="A591" t="s">
        <v>1021</v>
      </c>
      <c r="B591" t="s">
        <v>1076</v>
      </c>
      <c r="E591" s="556"/>
      <c r="F591" s="1354"/>
      <c r="G591" s="1304" t="s">
        <v>103</v>
      </c>
      <c r="H591" s="1327" t="s">
        <v>91</v>
      </c>
      <c r="I591" s="1328" t="s">
        <v>1077</v>
      </c>
      <c r="J591" s="1341" t="s">
        <v>1078</v>
      </c>
      <c r="K591" s="1330" t="s">
        <v>1108</v>
      </c>
      <c r="L591" s="1058" t="s">
        <v>61</v>
      </c>
      <c r="M591" s="1342" t="s">
        <v>1020</v>
      </c>
      <c r="N591" s="241"/>
      <c r="O591" s="242" t="s">
        <v>387</v>
      </c>
      <c r="P591" s="243"/>
      <c r="Q591" s="243"/>
      <c r="R591" s="243"/>
      <c r="S591" s="243"/>
      <c r="T591" s="243"/>
      <c r="U591" s="243"/>
      <c r="V591" s="243"/>
      <c r="W591" s="243"/>
      <c r="X591" s="243"/>
      <c r="Y591" s="243"/>
      <c r="Z591" s="243"/>
      <c r="AA591" s="243"/>
      <c r="AB591" s="243"/>
      <c r="AC591" s="243"/>
      <c r="AD591" s="243"/>
      <c r="AE591" s="243"/>
      <c r="AF591" s="1331">
        <v>5</v>
      </c>
      <c r="AG591" s="1332" t="s">
        <v>1055</v>
      </c>
      <c r="AH591" s="1332" t="s">
        <v>1109</v>
      </c>
      <c r="AI591" s="1331">
        <v>5</v>
      </c>
      <c r="AJ591" s="1332" t="s">
        <v>1055</v>
      </c>
      <c r="AK591" s="1332" t="s">
        <v>1109</v>
      </c>
      <c r="AL591" s="771"/>
    </row>
    <row r="592" spans="1:38" ht="11.25" customHeight="1">
      <c r="A592" t="s">
        <v>1021</v>
      </c>
      <c r="E592" s="556"/>
      <c r="F592" s="1354"/>
      <c r="G592" s="1326"/>
      <c r="H592" s="1327" t="s">
        <v>115</v>
      </c>
      <c r="I592" s="1328"/>
      <c r="J592" s="1341"/>
      <c r="K592" s="1330"/>
      <c r="L592" s="1058"/>
      <c r="M592" s="1342"/>
      <c r="N592" s="1333"/>
      <c r="O592" s="1334">
        <v>1</v>
      </c>
      <c r="P592" s="1335" t="s">
        <v>19</v>
      </c>
      <c r="Q592" s="1323" t="s">
        <v>22</v>
      </c>
      <c r="R592" s="1323" t="s">
        <v>22</v>
      </c>
      <c r="S592" s="1323" t="s">
        <v>22</v>
      </c>
      <c r="T592" s="1323" t="s">
        <v>22</v>
      </c>
      <c r="U592" s="1323" t="s">
        <v>22</v>
      </c>
      <c r="V592" s="1323" t="s">
        <v>22</v>
      </c>
      <c r="W592" s="1323" t="s">
        <v>22</v>
      </c>
      <c r="X592" s="1323" t="s">
        <v>22</v>
      </c>
      <c r="Y592" s="1323"/>
      <c r="Z592" s="229"/>
      <c r="AA592" s="230"/>
      <c r="AB592" s="230"/>
      <c r="AC592" s="231"/>
      <c r="AD592" s="231"/>
      <c r="AE592" s="244"/>
      <c r="AF592" s="1331"/>
      <c r="AG592" s="1332"/>
      <c r="AH592" s="1332"/>
      <c r="AI592" s="1331"/>
      <c r="AJ592" s="1332"/>
      <c r="AK592" s="1332"/>
      <c r="AL592" s="771"/>
    </row>
    <row r="593" spans="1:38" ht="11.25" customHeight="1">
      <c r="A593" t="s">
        <v>1021</v>
      </c>
      <c r="E593" s="556"/>
      <c r="F593" s="1354"/>
      <c r="G593" s="1326"/>
      <c r="H593" s="1327" t="s">
        <v>115</v>
      </c>
      <c r="I593" s="1328"/>
      <c r="J593" s="1341"/>
      <c r="K593" s="1330"/>
      <c r="L593" s="1058"/>
      <c r="M593" s="1342"/>
      <c r="N593" s="1333"/>
      <c r="O593" s="1334"/>
      <c r="P593" s="1336"/>
      <c r="Q593" s="1323"/>
      <c r="R593" s="1323"/>
      <c r="S593" s="1338"/>
      <c r="T593" s="1323"/>
      <c r="U593" s="1323"/>
      <c r="V593" s="1323"/>
      <c r="W593" s="1323"/>
      <c r="X593" s="1323"/>
      <c r="Y593" s="1323"/>
      <c r="AA593" s="777">
        <v>1</v>
      </c>
      <c r="AB593" s="778" t="s">
        <v>1129</v>
      </c>
      <c r="AC593" s="236">
        <v>11462.6184685263</v>
      </c>
      <c r="AD593" s="778" t="str">
        <f>AB593</f>
        <v xml:space="preserve">     Прочие амортизационные отчисления</v>
      </c>
      <c r="AE593" s="236">
        <v>13371.3232970276</v>
      </c>
      <c r="AF593" s="1331"/>
      <c r="AG593" s="1332"/>
      <c r="AH593" s="1332"/>
      <c r="AI593" s="1331"/>
      <c r="AJ593" s="1332"/>
      <c r="AK593" s="1332"/>
      <c r="AL593" s="771"/>
    </row>
    <row r="594" spans="1:38" ht="11.25" customHeight="1">
      <c r="A594" t="s">
        <v>1021</v>
      </c>
      <c r="E594" s="556"/>
      <c r="F594" s="1326"/>
      <c r="G594" s="1326"/>
      <c r="H594" s="1326"/>
      <c r="I594" s="1326"/>
      <c r="J594" s="1326"/>
      <c r="K594" s="1326"/>
      <c r="L594" s="1326"/>
      <c r="M594" s="1346"/>
      <c r="N594" s="1326"/>
      <c r="O594" s="1326"/>
      <c r="P594" s="1326"/>
      <c r="Q594" s="1326"/>
      <c r="R594" s="1326"/>
      <c r="S594" s="1326"/>
      <c r="T594" s="1326"/>
      <c r="U594" s="1326"/>
      <c r="V594" s="1326"/>
      <c r="W594" s="1326"/>
      <c r="X594" s="1326"/>
      <c r="Y594" s="1326"/>
      <c r="Z594" s="181" t="s">
        <v>103</v>
      </c>
      <c r="AA594" s="779" t="s">
        <v>102</v>
      </c>
      <c r="AB594" s="778" t="s">
        <v>1142</v>
      </c>
      <c r="AC594" s="236">
        <v>2315.4689791639198</v>
      </c>
      <c r="AD594" s="778" t="str">
        <f>AB594</f>
        <v xml:space="preserve">  Прочие собственные средства</v>
      </c>
      <c r="AE594" s="236">
        <v>2148.36573</v>
      </c>
      <c r="AF594" s="1343"/>
      <c r="AG594" s="1344"/>
      <c r="AH594" s="1344"/>
      <c r="AI594" s="1343"/>
      <c r="AJ594" s="1344"/>
      <c r="AK594" s="1345"/>
      <c r="AL594" s="771"/>
    </row>
    <row r="595" spans="1:38" ht="11.25" customHeight="1">
      <c r="A595" t="s">
        <v>1021</v>
      </c>
      <c r="E595" s="556"/>
      <c r="F595" s="1326"/>
      <c r="G595" s="1326"/>
      <c r="H595" s="1326"/>
      <c r="I595" s="1326"/>
      <c r="J595" s="1326"/>
      <c r="K595" s="1326"/>
      <c r="L595" s="1326"/>
      <c r="M595" s="1346"/>
      <c r="N595" s="1326"/>
      <c r="O595" s="1326"/>
      <c r="P595" s="1326"/>
      <c r="Q595" s="1326"/>
      <c r="R595" s="1326"/>
      <c r="S595" s="1326"/>
      <c r="T595" s="1326"/>
      <c r="U595" s="1326"/>
      <c r="V595" s="1326"/>
      <c r="W595" s="1326"/>
      <c r="X595" s="1326"/>
      <c r="Y595" s="1326"/>
      <c r="Z595" s="181" t="s">
        <v>103</v>
      </c>
      <c r="AA595" s="779" t="s">
        <v>89</v>
      </c>
      <c r="AB595" s="778" t="s">
        <v>1063</v>
      </c>
      <c r="AC595" s="236">
        <v>447.632272309798</v>
      </c>
      <c r="AD595" s="778" t="str">
        <f>AB595</f>
        <v xml:space="preserve">  Кредиты</v>
      </c>
      <c r="AE595" s="236">
        <v>438.24305297240801</v>
      </c>
      <c r="AF595" s="1343"/>
      <c r="AG595" s="1344"/>
      <c r="AH595" s="1344"/>
      <c r="AI595" s="1343"/>
      <c r="AJ595" s="1344"/>
      <c r="AK595" s="1345"/>
      <c r="AL595" s="771"/>
    </row>
    <row r="596" spans="1:38" ht="11.25" customHeight="1">
      <c r="A596" t="s">
        <v>1021</v>
      </c>
      <c r="E596" s="556"/>
      <c r="F596" s="1354"/>
      <c r="G596" s="1326"/>
      <c r="H596" s="1327" t="s">
        <v>115</v>
      </c>
      <c r="I596" s="1328"/>
      <c r="J596" s="1341"/>
      <c r="K596" s="1330"/>
      <c r="L596" s="1058"/>
      <c r="M596" s="1342"/>
      <c r="N596" s="1333"/>
      <c r="O596" s="1334"/>
      <c r="P596" s="1337"/>
      <c r="Q596" s="1323"/>
      <c r="R596" s="1323"/>
      <c r="S596" s="1338"/>
      <c r="T596" s="1323"/>
      <c r="U596" s="1323"/>
      <c r="V596" s="1323"/>
      <c r="W596" s="1323"/>
      <c r="X596" s="1323"/>
      <c r="Y596" s="1323"/>
      <c r="Z596" s="229"/>
      <c r="AA596" s="230"/>
      <c r="AB596" s="44" t="s">
        <v>1064</v>
      </c>
      <c r="AC596" s="231"/>
      <c r="AD596" s="231"/>
      <c r="AE596" s="245"/>
      <c r="AF596" s="1331"/>
      <c r="AG596" s="1332"/>
      <c r="AH596" s="1332"/>
      <c r="AI596" s="1331"/>
      <c r="AJ596" s="1332"/>
      <c r="AK596" s="1332"/>
      <c r="AL596" s="771"/>
    </row>
    <row r="597" spans="1:38" ht="11.25" customHeight="1">
      <c r="A597" t="s">
        <v>1021</v>
      </c>
      <c r="E597" s="556"/>
      <c r="F597" s="1354"/>
      <c r="G597" s="1326"/>
      <c r="H597" s="1327" t="s">
        <v>115</v>
      </c>
      <c r="I597" s="1328"/>
      <c r="J597" s="1341"/>
      <c r="K597" s="1330"/>
      <c r="L597" s="1058"/>
      <c r="M597" s="1342"/>
      <c r="N597" s="229"/>
      <c r="O597" s="230"/>
      <c r="P597" s="44" t="s">
        <v>1065</v>
      </c>
      <c r="Q597" s="230"/>
      <c r="R597" s="230"/>
      <c r="S597" s="230"/>
      <c r="T597" s="230"/>
      <c r="U597" s="230"/>
      <c r="V597" s="230"/>
      <c r="W597" s="230"/>
      <c r="X597" s="230"/>
      <c r="Y597" s="230"/>
      <c r="Z597" s="230"/>
      <c r="AA597" s="230"/>
      <c r="AB597" s="230"/>
      <c r="AC597" s="230"/>
      <c r="AD597" s="230"/>
      <c r="AE597" s="246"/>
      <c r="AF597" s="1331"/>
      <c r="AG597" s="1332"/>
      <c r="AH597" s="1332"/>
      <c r="AI597" s="1331"/>
      <c r="AJ597" s="1332"/>
      <c r="AK597" s="1332"/>
      <c r="AL597" s="771"/>
    </row>
    <row r="598" spans="1:38" ht="11.25" customHeight="1">
      <c r="A598" t="s">
        <v>1021</v>
      </c>
      <c r="B598" t="s">
        <v>1122</v>
      </c>
      <c r="E598" s="556"/>
      <c r="F598" s="1354"/>
      <c r="G598" s="1304" t="s">
        <v>103</v>
      </c>
      <c r="H598" s="1327" t="s">
        <v>92</v>
      </c>
      <c r="I598" s="1328" t="s">
        <v>1123</v>
      </c>
      <c r="J598" s="1341" t="s">
        <v>1124</v>
      </c>
      <c r="K598" s="1330" t="s">
        <v>1125</v>
      </c>
      <c r="L598" s="1058" t="s">
        <v>19</v>
      </c>
      <c r="M598" s="1060"/>
      <c r="N598" s="241"/>
      <c r="O598" s="242" t="s">
        <v>387</v>
      </c>
      <c r="P598" s="243"/>
      <c r="Q598" s="243"/>
      <c r="R598" s="243"/>
      <c r="S598" s="243"/>
      <c r="T598" s="243"/>
      <c r="U598" s="243"/>
      <c r="V598" s="243"/>
      <c r="W598" s="243"/>
      <c r="X598" s="243"/>
      <c r="Y598" s="243"/>
      <c r="Z598" s="243"/>
      <c r="AA598" s="243"/>
      <c r="AB598" s="243"/>
      <c r="AC598" s="243"/>
      <c r="AD598" s="243"/>
      <c r="AE598" s="243"/>
      <c r="AF598" s="1331">
        <v>1</v>
      </c>
      <c r="AG598" s="1332" t="s">
        <v>1055</v>
      </c>
      <c r="AH598" s="1332" t="s">
        <v>1126</v>
      </c>
      <c r="AI598" s="1331">
        <v>1</v>
      </c>
      <c r="AJ598" s="1332" t="s">
        <v>1055</v>
      </c>
      <c r="AK598" s="1332" t="s">
        <v>1126</v>
      </c>
      <c r="AL598" s="771"/>
    </row>
    <row r="599" spans="1:38" ht="11.25" customHeight="1">
      <c r="A599" t="s">
        <v>1021</v>
      </c>
      <c r="E599" s="556"/>
      <c r="F599" s="1354"/>
      <c r="G599" s="1326"/>
      <c r="H599" s="1327" t="s">
        <v>91</v>
      </c>
      <c r="I599" s="1328"/>
      <c r="J599" s="1341"/>
      <c r="K599" s="1330"/>
      <c r="L599" s="1058"/>
      <c r="M599" s="1060"/>
      <c r="N599" s="1333"/>
      <c r="O599" s="1334">
        <v>1</v>
      </c>
      <c r="P599" s="1335" t="s">
        <v>19</v>
      </c>
      <c r="Q599" s="1323" t="s">
        <v>22</v>
      </c>
      <c r="R599" s="1323" t="s">
        <v>22</v>
      </c>
      <c r="S599" s="1323" t="s">
        <v>22</v>
      </c>
      <c r="T599" s="1323" t="s">
        <v>22</v>
      </c>
      <c r="U599" s="1323" t="s">
        <v>22</v>
      </c>
      <c r="V599" s="1323" t="s">
        <v>22</v>
      </c>
      <c r="W599" s="1323" t="s">
        <v>22</v>
      </c>
      <c r="X599" s="1323" t="s">
        <v>22</v>
      </c>
      <c r="Y599" s="1323"/>
      <c r="Z599" s="229"/>
      <c r="AA599" s="230"/>
      <c r="AB599" s="230"/>
      <c r="AC599" s="231"/>
      <c r="AD599" s="231"/>
      <c r="AE599" s="244"/>
      <c r="AF599" s="1331"/>
      <c r="AG599" s="1332"/>
      <c r="AH599" s="1332"/>
      <c r="AI599" s="1331"/>
      <c r="AJ599" s="1332"/>
      <c r="AK599" s="1332"/>
      <c r="AL599" s="771"/>
    </row>
    <row r="600" spans="1:38" ht="11.25" customHeight="1">
      <c r="A600" t="s">
        <v>1021</v>
      </c>
      <c r="E600" s="556"/>
      <c r="F600" s="1354"/>
      <c r="G600" s="1326"/>
      <c r="H600" s="1327" t="s">
        <v>91</v>
      </c>
      <c r="I600" s="1328"/>
      <c r="J600" s="1341"/>
      <c r="K600" s="1330"/>
      <c r="L600" s="1058"/>
      <c r="M600" s="1060"/>
      <c r="N600" s="1333"/>
      <c r="O600" s="1334"/>
      <c r="P600" s="1336"/>
      <c r="Q600" s="1323"/>
      <c r="R600" s="1323"/>
      <c r="S600" s="1338"/>
      <c r="T600" s="1323"/>
      <c r="U600" s="1323"/>
      <c r="V600" s="1323"/>
      <c r="W600" s="1323"/>
      <c r="X600" s="1323"/>
      <c r="Y600" s="1323"/>
      <c r="AA600" s="777">
        <v>1</v>
      </c>
      <c r="AB600" s="778" t="s">
        <v>1127</v>
      </c>
      <c r="AC600" s="236">
        <v>3599.9342000000001</v>
      </c>
      <c r="AD600" s="778" t="str">
        <f>AB600</f>
        <v xml:space="preserve">  Средства, полученные за счет платы за подключение (технологическое присоединение)</v>
      </c>
      <c r="AE600" s="236">
        <v>3599.9342000000001</v>
      </c>
      <c r="AF600" s="1331"/>
      <c r="AG600" s="1332"/>
      <c r="AH600" s="1332"/>
      <c r="AI600" s="1331"/>
      <c r="AJ600" s="1332"/>
      <c r="AK600" s="1332"/>
      <c r="AL600" s="771"/>
    </row>
    <row r="601" spans="1:38" ht="11.25" customHeight="1">
      <c r="A601" t="s">
        <v>1021</v>
      </c>
      <c r="E601" s="556"/>
      <c r="F601" s="1326"/>
      <c r="G601" s="1326"/>
      <c r="H601" s="1326"/>
      <c r="I601" s="1326"/>
      <c r="J601" s="1326"/>
      <c r="K601" s="1326"/>
      <c r="L601" s="1326"/>
      <c r="M601" s="1326"/>
      <c r="N601" s="1326"/>
      <c r="O601" s="1326"/>
      <c r="P601" s="1326"/>
      <c r="Q601" s="1326"/>
      <c r="R601" s="1326"/>
      <c r="S601" s="1326"/>
      <c r="T601" s="1326"/>
      <c r="U601" s="1326"/>
      <c r="V601" s="1326"/>
      <c r="W601" s="1326"/>
      <c r="X601" s="1326"/>
      <c r="Y601" s="1326"/>
      <c r="Z601" s="181" t="s">
        <v>103</v>
      </c>
      <c r="AA601" s="779" t="s">
        <v>102</v>
      </c>
      <c r="AB601" s="778" t="s">
        <v>1142</v>
      </c>
      <c r="AC601" s="236">
        <v>713.50999999999897</v>
      </c>
      <c r="AD601" s="778" t="str">
        <f>AB601</f>
        <v xml:space="preserve">  Прочие собственные средства</v>
      </c>
      <c r="AE601" s="236">
        <v>713.51000000000101</v>
      </c>
      <c r="AF601" s="1343"/>
      <c r="AG601" s="1344"/>
      <c r="AH601" s="1344"/>
      <c r="AI601" s="1343"/>
      <c r="AJ601" s="1344"/>
      <c r="AK601" s="1345"/>
      <c r="AL601" s="771"/>
    </row>
    <row r="602" spans="1:38" ht="11.25" customHeight="1">
      <c r="A602" t="s">
        <v>1021</v>
      </c>
      <c r="E602" s="556"/>
      <c r="F602" s="1354"/>
      <c r="G602" s="1326"/>
      <c r="H602" s="1327" t="s">
        <v>91</v>
      </c>
      <c r="I602" s="1328"/>
      <c r="J602" s="1341"/>
      <c r="K602" s="1330"/>
      <c r="L602" s="1058"/>
      <c r="M602" s="1060"/>
      <c r="N602" s="1333"/>
      <c r="O602" s="1334"/>
      <c r="P602" s="1337"/>
      <c r="Q602" s="1323"/>
      <c r="R602" s="1323"/>
      <c r="S602" s="1338"/>
      <c r="T602" s="1323"/>
      <c r="U602" s="1323"/>
      <c r="V602" s="1323"/>
      <c r="W602" s="1323"/>
      <c r="X602" s="1323"/>
      <c r="Y602" s="1323"/>
      <c r="Z602" s="229"/>
      <c r="AA602" s="230"/>
      <c r="AB602" s="44" t="s">
        <v>1064</v>
      </c>
      <c r="AC602" s="231"/>
      <c r="AD602" s="231"/>
      <c r="AE602" s="245"/>
      <c r="AF602" s="1331"/>
      <c r="AG602" s="1332"/>
      <c r="AH602" s="1332"/>
      <c r="AI602" s="1331"/>
      <c r="AJ602" s="1332"/>
      <c r="AK602" s="1332"/>
      <c r="AL602" s="771"/>
    </row>
    <row r="603" spans="1:38" ht="11.25" customHeight="1">
      <c r="A603" t="s">
        <v>1021</v>
      </c>
      <c r="E603" s="556"/>
      <c r="F603" s="1354"/>
      <c r="G603" s="1326"/>
      <c r="H603" s="1327" t="s">
        <v>91</v>
      </c>
      <c r="I603" s="1328"/>
      <c r="J603" s="1341"/>
      <c r="K603" s="1330"/>
      <c r="L603" s="1058"/>
      <c r="M603" s="1060"/>
      <c r="N603" s="229"/>
      <c r="O603" s="230"/>
      <c r="P603" s="44" t="s">
        <v>1065</v>
      </c>
      <c r="Q603" s="230"/>
      <c r="R603" s="230"/>
      <c r="S603" s="230"/>
      <c r="T603" s="230"/>
      <c r="U603" s="230"/>
      <c r="V603" s="230"/>
      <c r="W603" s="230"/>
      <c r="X603" s="230"/>
      <c r="Y603" s="230"/>
      <c r="Z603" s="230"/>
      <c r="AA603" s="230"/>
      <c r="AB603" s="230"/>
      <c r="AC603" s="230"/>
      <c r="AD603" s="230"/>
      <c r="AE603" s="246"/>
      <c r="AF603" s="1331"/>
      <c r="AG603" s="1332"/>
      <c r="AH603" s="1332"/>
      <c r="AI603" s="1331"/>
      <c r="AJ603" s="1332"/>
      <c r="AK603" s="1332"/>
      <c r="AL603" s="771"/>
    </row>
    <row r="604" spans="1:38" ht="11.25" customHeight="1">
      <c r="A604" t="s">
        <v>1021</v>
      </c>
      <c r="B604" t="s">
        <v>1122</v>
      </c>
      <c r="E604" s="556"/>
      <c r="F604" s="1354"/>
      <c r="G604" s="1304" t="s">
        <v>103</v>
      </c>
      <c r="H604" s="1327" t="s">
        <v>116</v>
      </c>
      <c r="I604" s="1328" t="s">
        <v>1123</v>
      </c>
      <c r="J604" s="1341" t="s">
        <v>1124</v>
      </c>
      <c r="K604" s="1330" t="s">
        <v>1143</v>
      </c>
      <c r="L604" s="1058" t="s">
        <v>19</v>
      </c>
      <c r="M604" s="1060"/>
      <c r="N604" s="241"/>
      <c r="O604" s="242" t="s">
        <v>387</v>
      </c>
      <c r="P604" s="243"/>
      <c r="Q604" s="243"/>
      <c r="R604" s="243"/>
      <c r="S604" s="243"/>
      <c r="T604" s="243"/>
      <c r="U604" s="243"/>
      <c r="V604" s="243"/>
      <c r="W604" s="243"/>
      <c r="X604" s="243"/>
      <c r="Y604" s="243"/>
      <c r="Z604" s="243"/>
      <c r="AA604" s="243"/>
      <c r="AB604" s="243"/>
      <c r="AC604" s="243"/>
      <c r="AD604" s="243"/>
      <c r="AE604" s="243"/>
      <c r="AF604" s="1331">
        <v>1</v>
      </c>
      <c r="AG604" s="1332" t="s">
        <v>1055</v>
      </c>
      <c r="AH604" s="1332" t="s">
        <v>1126</v>
      </c>
      <c r="AI604" s="1331">
        <v>1</v>
      </c>
      <c r="AJ604" s="1332" t="s">
        <v>1055</v>
      </c>
      <c r="AK604" s="1332" t="s">
        <v>1126</v>
      </c>
      <c r="AL604" s="771"/>
    </row>
    <row r="605" spans="1:38" ht="11.25" customHeight="1">
      <c r="A605" t="s">
        <v>1021</v>
      </c>
      <c r="E605" s="556"/>
      <c r="F605" s="1354"/>
      <c r="G605" s="1326"/>
      <c r="H605" s="1327" t="s">
        <v>92</v>
      </c>
      <c r="I605" s="1328"/>
      <c r="J605" s="1341"/>
      <c r="K605" s="1330"/>
      <c r="L605" s="1058"/>
      <c r="M605" s="1060"/>
      <c r="N605" s="1333"/>
      <c r="O605" s="1334">
        <v>1</v>
      </c>
      <c r="P605" s="1335" t="s">
        <v>19</v>
      </c>
      <c r="Q605" s="1323" t="s">
        <v>22</v>
      </c>
      <c r="R605" s="1323" t="s">
        <v>22</v>
      </c>
      <c r="S605" s="1323" t="s">
        <v>22</v>
      </c>
      <c r="T605" s="1323" t="s">
        <v>22</v>
      </c>
      <c r="U605" s="1323" t="s">
        <v>22</v>
      </c>
      <c r="V605" s="1323" t="s">
        <v>22</v>
      </c>
      <c r="W605" s="1323" t="s">
        <v>22</v>
      </c>
      <c r="X605" s="1323" t="s">
        <v>22</v>
      </c>
      <c r="Y605" s="1323"/>
      <c r="Z605" s="229"/>
      <c r="AA605" s="230"/>
      <c r="AB605" s="230"/>
      <c r="AC605" s="231"/>
      <c r="AD605" s="231"/>
      <c r="AE605" s="244"/>
      <c r="AF605" s="1331"/>
      <c r="AG605" s="1332"/>
      <c r="AH605" s="1332"/>
      <c r="AI605" s="1331"/>
      <c r="AJ605" s="1332"/>
      <c r="AK605" s="1332"/>
      <c r="AL605" s="771"/>
    </row>
    <row r="606" spans="1:38" ht="11.25" customHeight="1">
      <c r="A606" t="s">
        <v>1021</v>
      </c>
      <c r="E606" s="556"/>
      <c r="F606" s="1354"/>
      <c r="G606" s="1326"/>
      <c r="H606" s="1327" t="s">
        <v>92</v>
      </c>
      <c r="I606" s="1328"/>
      <c r="J606" s="1341"/>
      <c r="K606" s="1330"/>
      <c r="L606" s="1058"/>
      <c r="M606" s="1060"/>
      <c r="N606" s="1333"/>
      <c r="O606" s="1334"/>
      <c r="P606" s="1336"/>
      <c r="Q606" s="1323"/>
      <c r="R606" s="1323"/>
      <c r="S606" s="1338"/>
      <c r="T606" s="1323"/>
      <c r="U606" s="1323"/>
      <c r="V606" s="1323"/>
      <c r="W606" s="1323"/>
      <c r="X606" s="1323"/>
      <c r="Y606" s="1323"/>
      <c r="AA606" s="777">
        <v>1</v>
      </c>
      <c r="AB606" s="778" t="s">
        <v>1127</v>
      </c>
      <c r="AC606" s="236">
        <v>1419.18840071667</v>
      </c>
      <c r="AD606" s="778" t="str">
        <f>AB606</f>
        <v xml:space="preserve">  Средства, полученные за счет платы за подключение (технологическое присоединение)</v>
      </c>
      <c r="AE606" s="236">
        <v>1302.2772199999999</v>
      </c>
      <c r="AF606" s="1331"/>
      <c r="AG606" s="1332"/>
      <c r="AH606" s="1332"/>
      <c r="AI606" s="1331"/>
      <c r="AJ606" s="1332"/>
      <c r="AK606" s="1332"/>
      <c r="AL606" s="771"/>
    </row>
    <row r="607" spans="1:38" ht="11.25" customHeight="1">
      <c r="A607" t="s">
        <v>1021</v>
      </c>
      <c r="E607" s="556"/>
      <c r="F607" s="1326"/>
      <c r="G607" s="1326"/>
      <c r="H607" s="1326"/>
      <c r="I607" s="1326"/>
      <c r="J607" s="1326"/>
      <c r="K607" s="1326"/>
      <c r="L607" s="1326"/>
      <c r="M607" s="1326"/>
      <c r="N607" s="1326"/>
      <c r="O607" s="1326"/>
      <c r="P607" s="1326"/>
      <c r="Q607" s="1326"/>
      <c r="R607" s="1326"/>
      <c r="S607" s="1326"/>
      <c r="T607" s="1326"/>
      <c r="U607" s="1326"/>
      <c r="V607" s="1326"/>
      <c r="W607" s="1326"/>
      <c r="X607" s="1326"/>
      <c r="Y607" s="1326"/>
      <c r="Z607" s="181" t="s">
        <v>103</v>
      </c>
      <c r="AA607" s="779" t="s">
        <v>102</v>
      </c>
      <c r="AB607" s="778" t="s">
        <v>1142</v>
      </c>
      <c r="AC607" s="236">
        <v>277.89081666666698</v>
      </c>
      <c r="AD607" s="778" t="str">
        <f>AB607</f>
        <v xml:space="preserve">  Прочие собственные средства</v>
      </c>
      <c r="AE607" s="236">
        <v>236.62477999999999</v>
      </c>
      <c r="AF607" s="1343"/>
      <c r="AG607" s="1344"/>
      <c r="AH607" s="1344"/>
      <c r="AI607" s="1343"/>
      <c r="AJ607" s="1344"/>
      <c r="AK607" s="1345"/>
      <c r="AL607" s="771"/>
    </row>
    <row r="608" spans="1:38" ht="11.25" customHeight="1">
      <c r="A608" t="s">
        <v>1021</v>
      </c>
      <c r="E608" s="556"/>
      <c r="F608" s="1354"/>
      <c r="G608" s="1326"/>
      <c r="H608" s="1327" t="s">
        <v>92</v>
      </c>
      <c r="I608" s="1328"/>
      <c r="J608" s="1341"/>
      <c r="K608" s="1330"/>
      <c r="L608" s="1058"/>
      <c r="M608" s="1060"/>
      <c r="N608" s="1333"/>
      <c r="O608" s="1334"/>
      <c r="P608" s="1337"/>
      <c r="Q608" s="1323"/>
      <c r="R608" s="1323"/>
      <c r="S608" s="1338"/>
      <c r="T608" s="1323"/>
      <c r="U608" s="1323"/>
      <c r="V608" s="1323"/>
      <c r="W608" s="1323"/>
      <c r="X608" s="1323"/>
      <c r="Y608" s="1323"/>
      <c r="Z608" s="229"/>
      <c r="AA608" s="230"/>
      <c r="AB608" s="44" t="s">
        <v>1064</v>
      </c>
      <c r="AC608" s="231"/>
      <c r="AD608" s="231"/>
      <c r="AE608" s="245"/>
      <c r="AF608" s="1331"/>
      <c r="AG608" s="1332"/>
      <c r="AH608" s="1332"/>
      <c r="AI608" s="1331"/>
      <c r="AJ608" s="1332"/>
      <c r="AK608" s="1332"/>
      <c r="AL608" s="771"/>
    </row>
    <row r="609" spans="1:38" ht="11.25" customHeight="1">
      <c r="A609" t="s">
        <v>1021</v>
      </c>
      <c r="E609" s="556"/>
      <c r="F609" s="1354"/>
      <c r="G609" s="1326"/>
      <c r="H609" s="1327" t="s">
        <v>92</v>
      </c>
      <c r="I609" s="1328"/>
      <c r="J609" s="1341"/>
      <c r="K609" s="1330"/>
      <c r="L609" s="1058"/>
      <c r="M609" s="1060"/>
      <c r="N609" s="229"/>
      <c r="O609" s="230"/>
      <c r="P609" s="44" t="s">
        <v>1065</v>
      </c>
      <c r="Q609" s="230"/>
      <c r="R609" s="230"/>
      <c r="S609" s="230"/>
      <c r="T609" s="230"/>
      <c r="U609" s="230"/>
      <c r="V609" s="230"/>
      <c r="W609" s="230"/>
      <c r="X609" s="230"/>
      <c r="Y609" s="230"/>
      <c r="Z609" s="230"/>
      <c r="AA609" s="230"/>
      <c r="AB609" s="230"/>
      <c r="AC609" s="230"/>
      <c r="AD609" s="230"/>
      <c r="AE609" s="246"/>
      <c r="AF609" s="1331"/>
      <c r="AG609" s="1332"/>
      <c r="AH609" s="1332"/>
      <c r="AI609" s="1331"/>
      <c r="AJ609" s="1332"/>
      <c r="AK609" s="1332"/>
      <c r="AL609" s="771"/>
    </row>
    <row r="610" spans="1:38" ht="11.25" customHeight="1">
      <c r="A610" t="s">
        <v>1021</v>
      </c>
      <c r="B610" t="s">
        <v>1122</v>
      </c>
      <c r="E610" s="556"/>
      <c r="F610" s="1354"/>
      <c r="G610" s="1304" t="s">
        <v>103</v>
      </c>
      <c r="H610" s="1327" t="s">
        <v>161</v>
      </c>
      <c r="I610" s="1328" t="s">
        <v>1123</v>
      </c>
      <c r="J610" s="1341" t="s">
        <v>1124</v>
      </c>
      <c r="K610" s="1330" t="s">
        <v>1144</v>
      </c>
      <c r="L610" s="1058" t="s">
        <v>19</v>
      </c>
      <c r="M610" s="1060"/>
      <c r="N610" s="241"/>
      <c r="O610" s="242" t="s">
        <v>387</v>
      </c>
      <c r="P610" s="243"/>
      <c r="Q610" s="243"/>
      <c r="R610" s="243"/>
      <c r="S610" s="243"/>
      <c r="T610" s="243"/>
      <c r="U610" s="243"/>
      <c r="V610" s="243"/>
      <c r="W610" s="243"/>
      <c r="X610" s="243"/>
      <c r="Y610" s="243"/>
      <c r="Z610" s="243"/>
      <c r="AA610" s="243"/>
      <c r="AB610" s="243"/>
      <c r="AC610" s="243"/>
      <c r="AD610" s="243"/>
      <c r="AE610" s="243"/>
      <c r="AF610" s="1331">
        <v>1</v>
      </c>
      <c r="AG610" s="1332" t="s">
        <v>1055</v>
      </c>
      <c r="AH610" s="1332" t="s">
        <v>1126</v>
      </c>
      <c r="AI610" s="1331">
        <v>1</v>
      </c>
      <c r="AJ610" s="1332" t="s">
        <v>1055</v>
      </c>
      <c r="AK610" s="1332" t="s">
        <v>1126</v>
      </c>
      <c r="AL610" s="771"/>
    </row>
    <row r="611" spans="1:38" ht="11.25" customHeight="1">
      <c r="A611" t="s">
        <v>1021</v>
      </c>
      <c r="E611" s="556"/>
      <c r="F611" s="1354"/>
      <c r="G611" s="1326"/>
      <c r="H611" s="1327" t="s">
        <v>116</v>
      </c>
      <c r="I611" s="1328"/>
      <c r="J611" s="1341"/>
      <c r="K611" s="1330"/>
      <c r="L611" s="1058"/>
      <c r="M611" s="1060"/>
      <c r="N611" s="1333"/>
      <c r="O611" s="1334">
        <v>1</v>
      </c>
      <c r="P611" s="1335" t="s">
        <v>19</v>
      </c>
      <c r="Q611" s="1323" t="s">
        <v>22</v>
      </c>
      <c r="R611" s="1323" t="s">
        <v>22</v>
      </c>
      <c r="S611" s="1323" t="s">
        <v>22</v>
      </c>
      <c r="T611" s="1323" t="s">
        <v>22</v>
      </c>
      <c r="U611" s="1323" t="s">
        <v>22</v>
      </c>
      <c r="V611" s="1323" t="s">
        <v>22</v>
      </c>
      <c r="W611" s="1323" t="s">
        <v>22</v>
      </c>
      <c r="X611" s="1323" t="s">
        <v>22</v>
      </c>
      <c r="Y611" s="1323"/>
      <c r="Z611" s="229"/>
      <c r="AA611" s="230"/>
      <c r="AB611" s="230"/>
      <c r="AC611" s="231"/>
      <c r="AD611" s="231"/>
      <c r="AE611" s="244"/>
      <c r="AF611" s="1331"/>
      <c r="AG611" s="1332"/>
      <c r="AH611" s="1332"/>
      <c r="AI611" s="1331"/>
      <c r="AJ611" s="1332"/>
      <c r="AK611" s="1332"/>
      <c r="AL611" s="771"/>
    </row>
    <row r="612" spans="1:38" ht="11.25" customHeight="1">
      <c r="A612" t="s">
        <v>1021</v>
      </c>
      <c r="E612" s="556"/>
      <c r="F612" s="1354"/>
      <c r="G612" s="1326"/>
      <c r="H612" s="1327" t="s">
        <v>116</v>
      </c>
      <c r="I612" s="1328"/>
      <c r="J612" s="1341"/>
      <c r="K612" s="1330"/>
      <c r="L612" s="1058"/>
      <c r="M612" s="1060"/>
      <c r="N612" s="1333"/>
      <c r="O612" s="1334"/>
      <c r="P612" s="1336"/>
      <c r="Q612" s="1323"/>
      <c r="R612" s="1323"/>
      <c r="S612" s="1338"/>
      <c r="T612" s="1323"/>
      <c r="U612" s="1323"/>
      <c r="V612" s="1323"/>
      <c r="W612" s="1323"/>
      <c r="X612" s="1323"/>
      <c r="Y612" s="1323"/>
      <c r="AA612" s="777">
        <v>1</v>
      </c>
      <c r="AB612" s="778" t="s">
        <v>1127</v>
      </c>
      <c r="AC612" s="236">
        <v>575.38265742999999</v>
      </c>
      <c r="AD612" s="778" t="str">
        <f>AB612</f>
        <v xml:space="preserve">  Средства, полученные за счет платы за подключение (технологическое присоединение)</v>
      </c>
      <c r="AE612" s="236">
        <v>331.71764999999999</v>
      </c>
      <c r="AF612" s="1331"/>
      <c r="AG612" s="1332"/>
      <c r="AH612" s="1332"/>
      <c r="AI612" s="1331"/>
      <c r="AJ612" s="1332"/>
      <c r="AK612" s="1332"/>
      <c r="AL612" s="771"/>
    </row>
    <row r="613" spans="1:38" ht="11.25" customHeight="1">
      <c r="A613" t="s">
        <v>1021</v>
      </c>
      <c r="E613" s="556"/>
      <c r="F613" s="1326"/>
      <c r="G613" s="1326"/>
      <c r="H613" s="1326"/>
      <c r="I613" s="1326"/>
      <c r="J613" s="1326"/>
      <c r="K613" s="1326"/>
      <c r="L613" s="1326"/>
      <c r="M613" s="1326"/>
      <c r="N613" s="1326"/>
      <c r="O613" s="1326"/>
      <c r="P613" s="1326"/>
      <c r="Q613" s="1326"/>
      <c r="R613" s="1326"/>
      <c r="S613" s="1326"/>
      <c r="T613" s="1326"/>
      <c r="U613" s="1326"/>
      <c r="V613" s="1326"/>
      <c r="W613" s="1326"/>
      <c r="X613" s="1326"/>
      <c r="Y613" s="1326"/>
      <c r="Z613" s="181" t="s">
        <v>103</v>
      </c>
      <c r="AA613" s="779" t="s">
        <v>102</v>
      </c>
      <c r="AB613" s="778" t="s">
        <v>1142</v>
      </c>
      <c r="AC613" s="236">
        <v>112.66549000000001</v>
      </c>
      <c r="AD613" s="778" t="str">
        <f>AB613</f>
        <v xml:space="preserve">  Прочие собственные средства</v>
      </c>
      <c r="AE613" s="236">
        <v>59.254269999999998</v>
      </c>
      <c r="AF613" s="1343"/>
      <c r="AG613" s="1344"/>
      <c r="AH613" s="1344"/>
      <c r="AI613" s="1343"/>
      <c r="AJ613" s="1344"/>
      <c r="AK613" s="1345"/>
      <c r="AL613" s="771"/>
    </row>
    <row r="614" spans="1:38" ht="11.25" customHeight="1">
      <c r="A614" t="s">
        <v>1021</v>
      </c>
      <c r="E614" s="556"/>
      <c r="F614" s="1354"/>
      <c r="G614" s="1326"/>
      <c r="H614" s="1327" t="s">
        <v>116</v>
      </c>
      <c r="I614" s="1328"/>
      <c r="J614" s="1341"/>
      <c r="K614" s="1330"/>
      <c r="L614" s="1058"/>
      <c r="M614" s="1060"/>
      <c r="N614" s="1333"/>
      <c r="O614" s="1334"/>
      <c r="P614" s="1337"/>
      <c r="Q614" s="1323"/>
      <c r="R614" s="1323"/>
      <c r="S614" s="1338"/>
      <c r="T614" s="1323"/>
      <c r="U614" s="1323"/>
      <c r="V614" s="1323"/>
      <c r="W614" s="1323"/>
      <c r="X614" s="1323"/>
      <c r="Y614" s="1323"/>
      <c r="Z614" s="229"/>
      <c r="AA614" s="230"/>
      <c r="AB614" s="44" t="s">
        <v>1064</v>
      </c>
      <c r="AC614" s="231"/>
      <c r="AD614" s="231"/>
      <c r="AE614" s="245"/>
      <c r="AF614" s="1331"/>
      <c r="AG614" s="1332"/>
      <c r="AH614" s="1332"/>
      <c r="AI614" s="1331"/>
      <c r="AJ614" s="1332"/>
      <c r="AK614" s="1332"/>
      <c r="AL614" s="771"/>
    </row>
    <row r="615" spans="1:38" ht="11.25" customHeight="1">
      <c r="A615" t="s">
        <v>1021</v>
      </c>
      <c r="E615" s="556"/>
      <c r="F615" s="1354"/>
      <c r="G615" s="1326"/>
      <c r="H615" s="1327" t="s">
        <v>116</v>
      </c>
      <c r="I615" s="1328"/>
      <c r="J615" s="1341"/>
      <c r="K615" s="1330"/>
      <c r="L615" s="1058"/>
      <c r="M615" s="1060"/>
      <c r="N615" s="229"/>
      <c r="O615" s="230"/>
      <c r="P615" s="44" t="s">
        <v>1065</v>
      </c>
      <c r="Q615" s="230"/>
      <c r="R615" s="230"/>
      <c r="S615" s="230"/>
      <c r="T615" s="230"/>
      <c r="U615" s="230"/>
      <c r="V615" s="230"/>
      <c r="W615" s="230"/>
      <c r="X615" s="230"/>
      <c r="Y615" s="230"/>
      <c r="Z615" s="230"/>
      <c r="AA615" s="230"/>
      <c r="AB615" s="230"/>
      <c r="AC615" s="230"/>
      <c r="AD615" s="230"/>
      <c r="AE615" s="246"/>
      <c r="AF615" s="1331"/>
      <c r="AG615" s="1332"/>
      <c r="AH615" s="1332"/>
      <c r="AI615" s="1331"/>
      <c r="AJ615" s="1332"/>
      <c r="AK615" s="1332"/>
      <c r="AL615" s="771"/>
    </row>
    <row r="616" spans="1:38" ht="11.25" customHeight="1">
      <c r="A616" t="s">
        <v>1021</v>
      </c>
      <c r="B616" t="s">
        <v>1122</v>
      </c>
      <c r="E616" s="556"/>
      <c r="F616" s="1354"/>
      <c r="G616" s="1304" t="s">
        <v>103</v>
      </c>
      <c r="H616" s="1327" t="s">
        <v>162</v>
      </c>
      <c r="I616" s="1328" t="s">
        <v>1123</v>
      </c>
      <c r="J616" s="1341" t="s">
        <v>1124</v>
      </c>
      <c r="K616" s="1330" t="s">
        <v>1145</v>
      </c>
      <c r="L616" s="1058" t="s">
        <v>19</v>
      </c>
      <c r="M616" s="1060"/>
      <c r="N616" s="241"/>
      <c r="O616" s="242" t="s">
        <v>387</v>
      </c>
      <c r="P616" s="243"/>
      <c r="Q616" s="243"/>
      <c r="R616" s="243"/>
      <c r="S616" s="243"/>
      <c r="T616" s="243"/>
      <c r="U616" s="243"/>
      <c r="V616" s="243"/>
      <c r="W616" s="243"/>
      <c r="X616" s="243"/>
      <c r="Y616" s="243"/>
      <c r="Z616" s="243"/>
      <c r="AA616" s="243"/>
      <c r="AB616" s="243"/>
      <c r="AC616" s="243"/>
      <c r="AD616" s="243"/>
      <c r="AE616" s="243"/>
      <c r="AF616" s="1331">
        <v>1</v>
      </c>
      <c r="AG616" s="1332" t="s">
        <v>1055</v>
      </c>
      <c r="AH616" s="1332" t="s">
        <v>1126</v>
      </c>
      <c r="AI616" s="1331">
        <v>1</v>
      </c>
      <c r="AJ616" s="1332" t="s">
        <v>1055</v>
      </c>
      <c r="AK616" s="1332" t="s">
        <v>1126</v>
      </c>
      <c r="AL616" s="771"/>
    </row>
    <row r="617" spans="1:38" ht="11.25" customHeight="1">
      <c r="A617" t="s">
        <v>1021</v>
      </c>
      <c r="E617" s="556"/>
      <c r="F617" s="1354"/>
      <c r="G617" s="1326"/>
      <c r="H617" s="1327" t="s">
        <v>161</v>
      </c>
      <c r="I617" s="1328"/>
      <c r="J617" s="1341"/>
      <c r="K617" s="1330"/>
      <c r="L617" s="1058"/>
      <c r="M617" s="1060"/>
      <c r="N617" s="1333"/>
      <c r="O617" s="1334">
        <v>1</v>
      </c>
      <c r="P617" s="1335" t="s">
        <v>19</v>
      </c>
      <c r="Q617" s="1323" t="s">
        <v>22</v>
      </c>
      <c r="R617" s="1323" t="s">
        <v>22</v>
      </c>
      <c r="S617" s="1323" t="s">
        <v>22</v>
      </c>
      <c r="T617" s="1323" t="s">
        <v>22</v>
      </c>
      <c r="U617" s="1323" t="s">
        <v>22</v>
      </c>
      <c r="V617" s="1323" t="s">
        <v>22</v>
      </c>
      <c r="W617" s="1323" t="s">
        <v>22</v>
      </c>
      <c r="X617" s="1323" t="s">
        <v>22</v>
      </c>
      <c r="Y617" s="1323"/>
      <c r="Z617" s="229"/>
      <c r="AA617" s="230"/>
      <c r="AB617" s="230"/>
      <c r="AC617" s="231"/>
      <c r="AD617" s="231"/>
      <c r="AE617" s="244"/>
      <c r="AF617" s="1331"/>
      <c r="AG617" s="1332"/>
      <c r="AH617" s="1332"/>
      <c r="AI617" s="1331"/>
      <c r="AJ617" s="1332"/>
      <c r="AK617" s="1332"/>
      <c r="AL617" s="771"/>
    </row>
    <row r="618" spans="1:38" ht="11.25" customHeight="1">
      <c r="A618" t="s">
        <v>1021</v>
      </c>
      <c r="E618" s="556"/>
      <c r="F618" s="1354"/>
      <c r="G618" s="1326"/>
      <c r="H618" s="1327" t="s">
        <v>161</v>
      </c>
      <c r="I618" s="1328"/>
      <c r="J618" s="1341"/>
      <c r="K618" s="1330"/>
      <c r="L618" s="1058"/>
      <c r="M618" s="1060"/>
      <c r="N618" s="1333"/>
      <c r="O618" s="1334"/>
      <c r="P618" s="1336"/>
      <c r="Q618" s="1323"/>
      <c r="R618" s="1323"/>
      <c r="S618" s="1338"/>
      <c r="T618" s="1323"/>
      <c r="U618" s="1323"/>
      <c r="V618" s="1323"/>
      <c r="W618" s="1323"/>
      <c r="X618" s="1323"/>
      <c r="Y618" s="1323"/>
      <c r="AA618" s="777">
        <v>1</v>
      </c>
      <c r="AB618" s="778" t="s">
        <v>1127</v>
      </c>
      <c r="AC618" s="236">
        <v>2288.7872858300002</v>
      </c>
      <c r="AD618" s="778" t="str">
        <f>AB618</f>
        <v xml:space="preserve">  Средства, полученные за счет платы за подключение (технологическое присоединение)</v>
      </c>
      <c r="AE618" s="236">
        <v>3210.0109499999999</v>
      </c>
      <c r="AF618" s="1331"/>
      <c r="AG618" s="1332"/>
      <c r="AH618" s="1332"/>
      <c r="AI618" s="1331"/>
      <c r="AJ618" s="1332"/>
      <c r="AK618" s="1332"/>
      <c r="AL618" s="771"/>
    </row>
    <row r="619" spans="1:38" ht="11.25" customHeight="1">
      <c r="A619" t="s">
        <v>1021</v>
      </c>
      <c r="E619" s="556"/>
      <c r="F619" s="1326"/>
      <c r="G619" s="1326"/>
      <c r="H619" s="1326"/>
      <c r="I619" s="1326"/>
      <c r="J619" s="1326"/>
      <c r="K619" s="1326"/>
      <c r="L619" s="1326"/>
      <c r="M619" s="1326"/>
      <c r="N619" s="1326"/>
      <c r="O619" s="1326"/>
      <c r="P619" s="1326"/>
      <c r="Q619" s="1326"/>
      <c r="R619" s="1326"/>
      <c r="S619" s="1326"/>
      <c r="T619" s="1326"/>
      <c r="U619" s="1326"/>
      <c r="V619" s="1326"/>
      <c r="W619" s="1326"/>
      <c r="X619" s="1326"/>
      <c r="Y619" s="1326"/>
      <c r="Z619" s="181" t="s">
        <v>103</v>
      </c>
      <c r="AA619" s="779" t="s">
        <v>102</v>
      </c>
      <c r="AB619" s="778" t="s">
        <v>1142</v>
      </c>
      <c r="AC619" s="236">
        <v>448.16669000000002</v>
      </c>
      <c r="AD619" s="778" t="str">
        <f>AB619</f>
        <v xml:space="preserve">  Прочие собственные средства</v>
      </c>
      <c r="AE619" s="236">
        <v>15.5039099999999</v>
      </c>
      <c r="AF619" s="1343"/>
      <c r="AG619" s="1344"/>
      <c r="AH619" s="1344"/>
      <c r="AI619" s="1343"/>
      <c r="AJ619" s="1344"/>
      <c r="AK619" s="1345"/>
      <c r="AL619" s="771"/>
    </row>
    <row r="620" spans="1:38" ht="11.25" customHeight="1">
      <c r="A620" t="s">
        <v>1021</v>
      </c>
      <c r="E620" s="556"/>
      <c r="F620" s="1354"/>
      <c r="G620" s="1326"/>
      <c r="H620" s="1327" t="s">
        <v>161</v>
      </c>
      <c r="I620" s="1328"/>
      <c r="J620" s="1341"/>
      <c r="K620" s="1330"/>
      <c r="L620" s="1058"/>
      <c r="M620" s="1060"/>
      <c r="N620" s="1333"/>
      <c r="O620" s="1334"/>
      <c r="P620" s="1337"/>
      <c r="Q620" s="1323"/>
      <c r="R620" s="1323"/>
      <c r="S620" s="1338"/>
      <c r="T620" s="1323"/>
      <c r="U620" s="1323"/>
      <c r="V620" s="1323"/>
      <c r="W620" s="1323"/>
      <c r="X620" s="1323"/>
      <c r="Y620" s="1323"/>
      <c r="Z620" s="229"/>
      <c r="AA620" s="230"/>
      <c r="AB620" s="44" t="s">
        <v>1064</v>
      </c>
      <c r="AC620" s="231"/>
      <c r="AD620" s="231"/>
      <c r="AE620" s="245"/>
      <c r="AF620" s="1331"/>
      <c r="AG620" s="1332"/>
      <c r="AH620" s="1332"/>
      <c r="AI620" s="1331"/>
      <c r="AJ620" s="1332"/>
      <c r="AK620" s="1332"/>
      <c r="AL620" s="771"/>
    </row>
    <row r="621" spans="1:38" ht="11.25" customHeight="1">
      <c r="A621" t="s">
        <v>1021</v>
      </c>
      <c r="E621" s="556"/>
      <c r="F621" s="1354"/>
      <c r="G621" s="1326"/>
      <c r="H621" s="1327" t="s">
        <v>161</v>
      </c>
      <c r="I621" s="1328"/>
      <c r="J621" s="1341"/>
      <c r="K621" s="1330"/>
      <c r="L621" s="1058"/>
      <c r="M621" s="1060"/>
      <c r="N621" s="229"/>
      <c r="O621" s="230"/>
      <c r="P621" s="44" t="s">
        <v>1065</v>
      </c>
      <c r="Q621" s="230"/>
      <c r="R621" s="230"/>
      <c r="S621" s="230"/>
      <c r="T621" s="230"/>
      <c r="U621" s="230"/>
      <c r="V621" s="230"/>
      <c r="W621" s="230"/>
      <c r="X621" s="230"/>
      <c r="Y621" s="230"/>
      <c r="Z621" s="230"/>
      <c r="AA621" s="230"/>
      <c r="AB621" s="230"/>
      <c r="AC621" s="230"/>
      <c r="AD621" s="230"/>
      <c r="AE621" s="246"/>
      <c r="AF621" s="1331"/>
      <c r="AG621" s="1332"/>
      <c r="AH621" s="1332"/>
      <c r="AI621" s="1331"/>
      <c r="AJ621" s="1332"/>
      <c r="AK621" s="1332"/>
      <c r="AL621" s="771"/>
    </row>
    <row r="622" spans="1:38" ht="11.25" customHeight="1">
      <c r="A622" t="s">
        <v>1021</v>
      </c>
      <c r="B622" t="s">
        <v>1122</v>
      </c>
      <c r="E622" s="556"/>
      <c r="F622" s="1354"/>
      <c r="G622" s="1304" t="s">
        <v>103</v>
      </c>
      <c r="H622" s="1327" t="s">
        <v>163</v>
      </c>
      <c r="I622" s="1328" t="s">
        <v>1123</v>
      </c>
      <c r="J622" s="1341" t="s">
        <v>1124</v>
      </c>
      <c r="K622" s="1330" t="s">
        <v>1146</v>
      </c>
      <c r="L622" s="1058" t="s">
        <v>19</v>
      </c>
      <c r="M622" s="1060"/>
      <c r="N622" s="241"/>
      <c r="O622" s="242" t="s">
        <v>387</v>
      </c>
      <c r="P622" s="243"/>
      <c r="Q622" s="243"/>
      <c r="R622" s="243"/>
      <c r="S622" s="243"/>
      <c r="T622" s="243"/>
      <c r="U622" s="243"/>
      <c r="V622" s="243"/>
      <c r="W622" s="243"/>
      <c r="X622" s="243"/>
      <c r="Y622" s="243"/>
      <c r="Z622" s="243"/>
      <c r="AA622" s="243"/>
      <c r="AB622" s="243"/>
      <c r="AC622" s="243"/>
      <c r="AD622" s="243"/>
      <c r="AE622" s="243"/>
      <c r="AF622" s="1331">
        <v>1</v>
      </c>
      <c r="AG622" s="1332" t="s">
        <v>1055</v>
      </c>
      <c r="AH622" s="1332" t="s">
        <v>1126</v>
      </c>
      <c r="AI622" s="1331">
        <v>1</v>
      </c>
      <c r="AJ622" s="1332" t="s">
        <v>1055</v>
      </c>
      <c r="AK622" s="1332" t="s">
        <v>1126</v>
      </c>
      <c r="AL622" s="771"/>
    </row>
    <row r="623" spans="1:38" ht="11.25" customHeight="1">
      <c r="A623" t="s">
        <v>1021</v>
      </c>
      <c r="E623" s="556"/>
      <c r="F623" s="1354"/>
      <c r="G623" s="1326"/>
      <c r="H623" s="1327" t="s">
        <v>162</v>
      </c>
      <c r="I623" s="1328"/>
      <c r="J623" s="1341"/>
      <c r="K623" s="1330"/>
      <c r="L623" s="1058"/>
      <c r="M623" s="1060"/>
      <c r="N623" s="1333"/>
      <c r="O623" s="1334">
        <v>1</v>
      </c>
      <c r="P623" s="1335" t="s">
        <v>19</v>
      </c>
      <c r="Q623" s="1323" t="s">
        <v>22</v>
      </c>
      <c r="R623" s="1323" t="s">
        <v>22</v>
      </c>
      <c r="S623" s="1323" t="s">
        <v>22</v>
      </c>
      <c r="T623" s="1323" t="s">
        <v>22</v>
      </c>
      <c r="U623" s="1323" t="s">
        <v>22</v>
      </c>
      <c r="V623" s="1323" t="s">
        <v>22</v>
      </c>
      <c r="W623" s="1323" t="s">
        <v>22</v>
      </c>
      <c r="X623" s="1323" t="s">
        <v>22</v>
      </c>
      <c r="Y623" s="1323"/>
      <c r="Z623" s="229"/>
      <c r="AA623" s="230"/>
      <c r="AB623" s="230"/>
      <c r="AC623" s="231"/>
      <c r="AD623" s="231"/>
      <c r="AE623" s="244"/>
      <c r="AF623" s="1331"/>
      <c r="AG623" s="1332"/>
      <c r="AH623" s="1332"/>
      <c r="AI623" s="1331"/>
      <c r="AJ623" s="1332"/>
      <c r="AK623" s="1332"/>
      <c r="AL623" s="771"/>
    </row>
    <row r="624" spans="1:38" ht="11.25" customHeight="1">
      <c r="A624" t="s">
        <v>1021</v>
      </c>
      <c r="E624" s="556"/>
      <c r="F624" s="1354"/>
      <c r="G624" s="1326"/>
      <c r="H624" s="1327" t="s">
        <v>162</v>
      </c>
      <c r="I624" s="1328"/>
      <c r="J624" s="1341"/>
      <c r="K624" s="1330"/>
      <c r="L624" s="1058"/>
      <c r="M624" s="1060"/>
      <c r="N624" s="1333"/>
      <c r="O624" s="1334"/>
      <c r="P624" s="1336"/>
      <c r="Q624" s="1323"/>
      <c r="R624" s="1323"/>
      <c r="S624" s="1338"/>
      <c r="T624" s="1323"/>
      <c r="U624" s="1323"/>
      <c r="V624" s="1323"/>
      <c r="W624" s="1323"/>
      <c r="X624" s="1323"/>
      <c r="Y624" s="1323"/>
      <c r="AA624" s="777">
        <v>1</v>
      </c>
      <c r="AB624" s="778" t="s">
        <v>1127</v>
      </c>
      <c r="AC624" s="236">
        <v>280.28082054297499</v>
      </c>
      <c r="AD624" s="778" t="str">
        <f>AB624</f>
        <v xml:space="preserve">  Средства, полученные за счет платы за подключение (технологическое присоединение)</v>
      </c>
      <c r="AE624" s="236">
        <v>144.75263000000001</v>
      </c>
      <c r="AF624" s="1331"/>
      <c r="AG624" s="1332"/>
      <c r="AH624" s="1332"/>
      <c r="AI624" s="1331"/>
      <c r="AJ624" s="1332"/>
      <c r="AK624" s="1332"/>
      <c r="AL624" s="771"/>
    </row>
    <row r="625" spans="1:38" ht="11.25" customHeight="1">
      <c r="A625" t="s">
        <v>1021</v>
      </c>
      <c r="E625" s="556"/>
      <c r="F625" s="1326"/>
      <c r="G625" s="1326"/>
      <c r="H625" s="1326"/>
      <c r="I625" s="1326"/>
      <c r="J625" s="1326"/>
      <c r="K625" s="1326"/>
      <c r="L625" s="1326"/>
      <c r="M625" s="1326"/>
      <c r="N625" s="1326"/>
      <c r="O625" s="1326"/>
      <c r="P625" s="1326"/>
      <c r="Q625" s="1326"/>
      <c r="R625" s="1326"/>
      <c r="S625" s="1326"/>
      <c r="T625" s="1326"/>
      <c r="U625" s="1326"/>
      <c r="V625" s="1326"/>
      <c r="W625" s="1326"/>
      <c r="X625" s="1326"/>
      <c r="Y625" s="1326"/>
      <c r="Z625" s="181" t="s">
        <v>103</v>
      </c>
      <c r="AA625" s="779" t="s">
        <v>102</v>
      </c>
      <c r="AB625" s="778" t="s">
        <v>1142</v>
      </c>
      <c r="AC625" s="236">
        <v>54.881695818087799</v>
      </c>
      <c r="AD625" s="778" t="str">
        <f>AB625</f>
        <v xml:space="preserve">  Прочие собственные средства</v>
      </c>
      <c r="AE625" s="236">
        <v>6.2714100000000004</v>
      </c>
      <c r="AF625" s="1343"/>
      <c r="AG625" s="1344"/>
      <c r="AH625" s="1344"/>
      <c r="AI625" s="1343"/>
      <c r="AJ625" s="1344"/>
      <c r="AK625" s="1345"/>
      <c r="AL625" s="771"/>
    </row>
    <row r="626" spans="1:38" ht="11.25" customHeight="1">
      <c r="A626" t="s">
        <v>1021</v>
      </c>
      <c r="E626" s="556"/>
      <c r="F626" s="1354"/>
      <c r="G626" s="1326"/>
      <c r="H626" s="1327" t="s">
        <v>162</v>
      </c>
      <c r="I626" s="1328"/>
      <c r="J626" s="1341"/>
      <c r="K626" s="1330"/>
      <c r="L626" s="1058"/>
      <c r="M626" s="1060"/>
      <c r="N626" s="1333"/>
      <c r="O626" s="1334"/>
      <c r="P626" s="1337"/>
      <c r="Q626" s="1323"/>
      <c r="R626" s="1323"/>
      <c r="S626" s="1338"/>
      <c r="T626" s="1323"/>
      <c r="U626" s="1323"/>
      <c r="V626" s="1323"/>
      <c r="W626" s="1323"/>
      <c r="X626" s="1323"/>
      <c r="Y626" s="1323"/>
      <c r="Z626" s="229"/>
      <c r="AA626" s="230"/>
      <c r="AB626" s="44" t="s">
        <v>1064</v>
      </c>
      <c r="AC626" s="231"/>
      <c r="AD626" s="231"/>
      <c r="AE626" s="245"/>
      <c r="AF626" s="1331"/>
      <c r="AG626" s="1332"/>
      <c r="AH626" s="1332"/>
      <c r="AI626" s="1331"/>
      <c r="AJ626" s="1332"/>
      <c r="AK626" s="1332"/>
      <c r="AL626" s="771"/>
    </row>
    <row r="627" spans="1:38" ht="11.25" customHeight="1">
      <c r="A627" t="s">
        <v>1021</v>
      </c>
      <c r="E627" s="556"/>
      <c r="F627" s="1354"/>
      <c r="G627" s="1326"/>
      <c r="H627" s="1327" t="s">
        <v>162</v>
      </c>
      <c r="I627" s="1328"/>
      <c r="J627" s="1341"/>
      <c r="K627" s="1330"/>
      <c r="L627" s="1058"/>
      <c r="M627" s="1060"/>
      <c r="N627" s="229"/>
      <c r="O627" s="230"/>
      <c r="P627" s="44" t="s">
        <v>1065</v>
      </c>
      <c r="Q627" s="230"/>
      <c r="R627" s="230"/>
      <c r="S627" s="230"/>
      <c r="T627" s="230"/>
      <c r="U627" s="230"/>
      <c r="V627" s="230"/>
      <c r="W627" s="230"/>
      <c r="X627" s="230"/>
      <c r="Y627" s="230"/>
      <c r="Z627" s="230"/>
      <c r="AA627" s="230"/>
      <c r="AB627" s="230"/>
      <c r="AC627" s="230"/>
      <c r="AD627" s="230"/>
      <c r="AE627" s="246"/>
      <c r="AF627" s="1331"/>
      <c r="AG627" s="1332"/>
      <c r="AH627" s="1332"/>
      <c r="AI627" s="1331"/>
      <c r="AJ627" s="1332"/>
      <c r="AK627" s="1332"/>
      <c r="AL627" s="771"/>
    </row>
    <row r="628" spans="1:38" ht="11.25" customHeight="1">
      <c r="A628" t="s">
        <v>1021</v>
      </c>
      <c r="B628" t="s">
        <v>1122</v>
      </c>
      <c r="E628" s="556"/>
      <c r="F628" s="1354"/>
      <c r="G628" s="1304" t="s">
        <v>103</v>
      </c>
      <c r="H628" s="1327" t="s">
        <v>164</v>
      </c>
      <c r="I628" s="1328" t="s">
        <v>1123</v>
      </c>
      <c r="J628" s="1341" t="s">
        <v>1124</v>
      </c>
      <c r="K628" s="1330" t="s">
        <v>1147</v>
      </c>
      <c r="L628" s="1058" t="s">
        <v>19</v>
      </c>
      <c r="M628" s="1060"/>
      <c r="N628" s="241"/>
      <c r="O628" s="242" t="s">
        <v>387</v>
      </c>
      <c r="P628" s="243"/>
      <c r="Q628" s="243"/>
      <c r="R628" s="243"/>
      <c r="S628" s="243"/>
      <c r="T628" s="243"/>
      <c r="U628" s="243"/>
      <c r="V628" s="243"/>
      <c r="W628" s="243"/>
      <c r="X628" s="243"/>
      <c r="Y628" s="243"/>
      <c r="Z628" s="243"/>
      <c r="AA628" s="243"/>
      <c r="AB628" s="243"/>
      <c r="AC628" s="243"/>
      <c r="AD628" s="243"/>
      <c r="AE628" s="243"/>
      <c r="AF628" s="1331">
        <v>1</v>
      </c>
      <c r="AG628" s="1332" t="s">
        <v>1055</v>
      </c>
      <c r="AH628" s="1332" t="s">
        <v>1126</v>
      </c>
      <c r="AI628" s="1331">
        <v>1</v>
      </c>
      <c r="AJ628" s="1332" t="s">
        <v>1055</v>
      </c>
      <c r="AK628" s="1332" t="s">
        <v>1126</v>
      </c>
      <c r="AL628" s="771"/>
    </row>
    <row r="629" spans="1:38" ht="11.25" customHeight="1">
      <c r="A629" t="s">
        <v>1021</v>
      </c>
      <c r="E629" s="556"/>
      <c r="F629" s="1354"/>
      <c r="G629" s="1326"/>
      <c r="H629" s="1327" t="s">
        <v>163</v>
      </c>
      <c r="I629" s="1328"/>
      <c r="J629" s="1341"/>
      <c r="K629" s="1330"/>
      <c r="L629" s="1058"/>
      <c r="M629" s="1060"/>
      <c r="N629" s="1333"/>
      <c r="O629" s="1334">
        <v>1</v>
      </c>
      <c r="P629" s="1335" t="s">
        <v>19</v>
      </c>
      <c r="Q629" s="1323" t="s">
        <v>22</v>
      </c>
      <c r="R629" s="1323" t="s">
        <v>22</v>
      </c>
      <c r="S629" s="1323" t="s">
        <v>22</v>
      </c>
      <c r="T629" s="1323" t="s">
        <v>22</v>
      </c>
      <c r="U629" s="1323" t="s">
        <v>22</v>
      </c>
      <c r="V629" s="1323" t="s">
        <v>22</v>
      </c>
      <c r="W629" s="1323" t="s">
        <v>22</v>
      </c>
      <c r="X629" s="1323" t="s">
        <v>22</v>
      </c>
      <c r="Y629" s="1323"/>
      <c r="Z629" s="229"/>
      <c r="AA629" s="230"/>
      <c r="AB629" s="230"/>
      <c r="AC629" s="231"/>
      <c r="AD629" s="231"/>
      <c r="AE629" s="244"/>
      <c r="AF629" s="1331"/>
      <c r="AG629" s="1332"/>
      <c r="AH629" s="1332"/>
      <c r="AI629" s="1331"/>
      <c r="AJ629" s="1332"/>
      <c r="AK629" s="1332"/>
      <c r="AL629" s="771"/>
    </row>
    <row r="630" spans="1:38" ht="11.25" customHeight="1">
      <c r="A630" t="s">
        <v>1021</v>
      </c>
      <c r="E630" s="556"/>
      <c r="F630" s="1354"/>
      <c r="G630" s="1326"/>
      <c r="H630" s="1327" t="s">
        <v>163</v>
      </c>
      <c r="I630" s="1328"/>
      <c r="J630" s="1341"/>
      <c r="K630" s="1330"/>
      <c r="L630" s="1058"/>
      <c r="M630" s="1060"/>
      <c r="N630" s="1333"/>
      <c r="O630" s="1334"/>
      <c r="P630" s="1336"/>
      <c r="Q630" s="1323"/>
      <c r="R630" s="1323"/>
      <c r="S630" s="1338"/>
      <c r="T630" s="1323"/>
      <c r="U630" s="1323"/>
      <c r="V630" s="1323"/>
      <c r="W630" s="1323"/>
      <c r="X630" s="1323"/>
      <c r="Y630" s="1323"/>
      <c r="AA630" s="777">
        <v>1</v>
      </c>
      <c r="AB630" s="778" t="s">
        <v>1127</v>
      </c>
      <c r="AC630" s="236">
        <v>1284.4252507183301</v>
      </c>
      <c r="AD630" s="778" t="str">
        <f>AB630</f>
        <v xml:space="preserve">  Средства, полученные за счет платы за подключение (технологическое присоединение)</v>
      </c>
      <c r="AE630" s="236">
        <v>192.71335999999999</v>
      </c>
      <c r="AF630" s="1331"/>
      <c r="AG630" s="1332"/>
      <c r="AH630" s="1332"/>
      <c r="AI630" s="1331"/>
      <c r="AJ630" s="1332"/>
      <c r="AK630" s="1332"/>
      <c r="AL630" s="771"/>
    </row>
    <row r="631" spans="1:38" ht="11.25" customHeight="1">
      <c r="A631" t="s">
        <v>1021</v>
      </c>
      <c r="E631" s="556"/>
      <c r="F631" s="1326"/>
      <c r="G631" s="1326"/>
      <c r="H631" s="1326"/>
      <c r="I631" s="1326"/>
      <c r="J631" s="1326"/>
      <c r="K631" s="1326"/>
      <c r="L631" s="1326"/>
      <c r="M631" s="1326"/>
      <c r="N631" s="1326"/>
      <c r="O631" s="1326"/>
      <c r="P631" s="1326"/>
      <c r="Q631" s="1326"/>
      <c r="R631" s="1326"/>
      <c r="S631" s="1326"/>
      <c r="T631" s="1326"/>
      <c r="U631" s="1326"/>
      <c r="V631" s="1326"/>
      <c r="W631" s="1326"/>
      <c r="X631" s="1326"/>
      <c r="Y631" s="1326"/>
      <c r="Z631" s="181" t="s">
        <v>103</v>
      </c>
      <c r="AA631" s="779" t="s">
        <v>102</v>
      </c>
      <c r="AB631" s="778" t="s">
        <v>1142</v>
      </c>
      <c r="AC631" s="236">
        <v>251.5028883</v>
      </c>
      <c r="AD631" s="778" t="str">
        <f>AB631</f>
        <v xml:space="preserve">  Прочие собственные средства</v>
      </c>
      <c r="AE631" s="236">
        <v>7.6714100000000096</v>
      </c>
      <c r="AF631" s="1343"/>
      <c r="AG631" s="1344"/>
      <c r="AH631" s="1344"/>
      <c r="AI631" s="1343"/>
      <c r="AJ631" s="1344"/>
      <c r="AK631" s="1345"/>
      <c r="AL631" s="771"/>
    </row>
    <row r="632" spans="1:38" ht="11.25" customHeight="1">
      <c r="A632" t="s">
        <v>1021</v>
      </c>
      <c r="E632" s="556"/>
      <c r="F632" s="1354"/>
      <c r="G632" s="1326"/>
      <c r="H632" s="1327" t="s">
        <v>163</v>
      </c>
      <c r="I632" s="1328"/>
      <c r="J632" s="1341"/>
      <c r="K632" s="1330"/>
      <c r="L632" s="1058"/>
      <c r="M632" s="1060"/>
      <c r="N632" s="1333"/>
      <c r="O632" s="1334"/>
      <c r="P632" s="1337"/>
      <c r="Q632" s="1323"/>
      <c r="R632" s="1323"/>
      <c r="S632" s="1338"/>
      <c r="T632" s="1323"/>
      <c r="U632" s="1323"/>
      <c r="V632" s="1323"/>
      <c r="W632" s="1323"/>
      <c r="X632" s="1323"/>
      <c r="Y632" s="1323"/>
      <c r="Z632" s="229"/>
      <c r="AA632" s="230"/>
      <c r="AB632" s="44" t="s">
        <v>1064</v>
      </c>
      <c r="AC632" s="231"/>
      <c r="AD632" s="231"/>
      <c r="AE632" s="245"/>
      <c r="AF632" s="1331"/>
      <c r="AG632" s="1332"/>
      <c r="AH632" s="1332"/>
      <c r="AI632" s="1331"/>
      <c r="AJ632" s="1332"/>
      <c r="AK632" s="1332"/>
      <c r="AL632" s="771"/>
    </row>
    <row r="633" spans="1:38" ht="11.25" customHeight="1">
      <c r="A633" t="s">
        <v>1021</v>
      </c>
      <c r="E633" s="556"/>
      <c r="F633" s="1354"/>
      <c r="G633" s="1326"/>
      <c r="H633" s="1327" t="s">
        <v>163</v>
      </c>
      <c r="I633" s="1328"/>
      <c r="J633" s="1341"/>
      <c r="K633" s="1330"/>
      <c r="L633" s="1058"/>
      <c r="M633" s="1060"/>
      <c r="N633" s="229"/>
      <c r="O633" s="230"/>
      <c r="P633" s="44" t="s">
        <v>1065</v>
      </c>
      <c r="Q633" s="230"/>
      <c r="R633" s="230"/>
      <c r="S633" s="230"/>
      <c r="T633" s="230"/>
      <c r="U633" s="230"/>
      <c r="V633" s="230"/>
      <c r="W633" s="230"/>
      <c r="X633" s="230"/>
      <c r="Y633" s="230"/>
      <c r="Z633" s="230"/>
      <c r="AA633" s="230"/>
      <c r="AB633" s="230"/>
      <c r="AC633" s="230"/>
      <c r="AD633" s="230"/>
      <c r="AE633" s="246"/>
      <c r="AF633" s="1331"/>
      <c r="AG633" s="1332"/>
      <c r="AH633" s="1332"/>
      <c r="AI633" s="1331"/>
      <c r="AJ633" s="1332"/>
      <c r="AK633" s="1332"/>
      <c r="AL633" s="771"/>
    </row>
    <row r="634" spans="1:38" ht="11.25" customHeight="1">
      <c r="A634" t="s">
        <v>1021</v>
      </c>
      <c r="B634" t="s">
        <v>1122</v>
      </c>
      <c r="E634" s="556"/>
      <c r="F634" s="1354"/>
      <c r="G634" s="1304" t="s">
        <v>103</v>
      </c>
      <c r="H634" s="1327" t="s">
        <v>165</v>
      </c>
      <c r="I634" s="1328" t="s">
        <v>1123</v>
      </c>
      <c r="J634" s="1341" t="s">
        <v>1124</v>
      </c>
      <c r="K634" s="1330" t="s">
        <v>1148</v>
      </c>
      <c r="L634" s="1058" t="s">
        <v>19</v>
      </c>
      <c r="M634" s="1060"/>
      <c r="N634" s="241"/>
      <c r="O634" s="242" t="s">
        <v>387</v>
      </c>
      <c r="P634" s="243"/>
      <c r="Q634" s="243"/>
      <c r="R634" s="243"/>
      <c r="S634" s="243"/>
      <c r="T634" s="243"/>
      <c r="U634" s="243"/>
      <c r="V634" s="243"/>
      <c r="W634" s="243"/>
      <c r="X634" s="243"/>
      <c r="Y634" s="243"/>
      <c r="Z634" s="243"/>
      <c r="AA634" s="243"/>
      <c r="AB634" s="243"/>
      <c r="AC634" s="243"/>
      <c r="AD634" s="243"/>
      <c r="AE634" s="243"/>
      <c r="AF634" s="1331">
        <v>1</v>
      </c>
      <c r="AG634" s="1332" t="s">
        <v>1055</v>
      </c>
      <c r="AH634" s="1332" t="s">
        <v>1126</v>
      </c>
      <c r="AI634" s="1331">
        <v>1</v>
      </c>
      <c r="AJ634" s="1332" t="s">
        <v>1055</v>
      </c>
      <c r="AK634" s="1332" t="s">
        <v>1126</v>
      </c>
      <c r="AL634" s="771"/>
    </row>
    <row r="635" spans="1:38" ht="11.25" customHeight="1">
      <c r="A635" t="s">
        <v>1021</v>
      </c>
      <c r="E635" s="556"/>
      <c r="F635" s="1354"/>
      <c r="G635" s="1326"/>
      <c r="H635" s="1327" t="s">
        <v>164</v>
      </c>
      <c r="I635" s="1328"/>
      <c r="J635" s="1341"/>
      <c r="K635" s="1330"/>
      <c r="L635" s="1058"/>
      <c r="M635" s="1060"/>
      <c r="N635" s="1333"/>
      <c r="O635" s="1334">
        <v>1</v>
      </c>
      <c r="P635" s="1335" t="s">
        <v>19</v>
      </c>
      <c r="Q635" s="1323" t="s">
        <v>22</v>
      </c>
      <c r="R635" s="1323" t="s">
        <v>22</v>
      </c>
      <c r="S635" s="1323" t="s">
        <v>22</v>
      </c>
      <c r="T635" s="1323" t="s">
        <v>22</v>
      </c>
      <c r="U635" s="1323" t="s">
        <v>22</v>
      </c>
      <c r="V635" s="1323" t="s">
        <v>22</v>
      </c>
      <c r="W635" s="1323" t="s">
        <v>22</v>
      </c>
      <c r="X635" s="1323" t="s">
        <v>22</v>
      </c>
      <c r="Y635" s="1323"/>
      <c r="Z635" s="229"/>
      <c r="AA635" s="230"/>
      <c r="AB635" s="230"/>
      <c r="AC635" s="231"/>
      <c r="AD635" s="231"/>
      <c r="AE635" s="244"/>
      <c r="AF635" s="1331"/>
      <c r="AG635" s="1332"/>
      <c r="AH635" s="1332"/>
      <c r="AI635" s="1331"/>
      <c r="AJ635" s="1332"/>
      <c r="AK635" s="1332"/>
      <c r="AL635" s="771"/>
    </row>
    <row r="636" spans="1:38" ht="11.25" customHeight="1">
      <c r="A636" t="s">
        <v>1021</v>
      </c>
      <c r="E636" s="556"/>
      <c r="F636" s="1354"/>
      <c r="G636" s="1326"/>
      <c r="H636" s="1327" t="s">
        <v>164</v>
      </c>
      <c r="I636" s="1328"/>
      <c r="J636" s="1341"/>
      <c r="K636" s="1330"/>
      <c r="L636" s="1058"/>
      <c r="M636" s="1060"/>
      <c r="N636" s="1333"/>
      <c r="O636" s="1334"/>
      <c r="P636" s="1336"/>
      <c r="Q636" s="1323"/>
      <c r="R636" s="1323"/>
      <c r="S636" s="1338"/>
      <c r="T636" s="1323"/>
      <c r="U636" s="1323"/>
      <c r="V636" s="1323"/>
      <c r="W636" s="1323"/>
      <c r="X636" s="1323"/>
      <c r="Y636" s="1323"/>
      <c r="AA636" s="777">
        <v>1</v>
      </c>
      <c r="AB636" s="778" t="s">
        <v>1127</v>
      </c>
      <c r="AC636" s="236">
        <v>966.67129412999998</v>
      </c>
      <c r="AD636" s="778" t="str">
        <f>AB636</f>
        <v xml:space="preserve">  Средства, полученные за счет платы за подключение (технологическое присоединение)</v>
      </c>
      <c r="AE636" s="236">
        <v>271.30473000000001</v>
      </c>
      <c r="AF636" s="1331"/>
      <c r="AG636" s="1332"/>
      <c r="AH636" s="1332"/>
      <c r="AI636" s="1331"/>
      <c r="AJ636" s="1332"/>
      <c r="AK636" s="1332"/>
      <c r="AL636" s="771"/>
    </row>
    <row r="637" spans="1:38" ht="11.25" customHeight="1">
      <c r="A637" t="s">
        <v>1021</v>
      </c>
      <c r="E637" s="556"/>
      <c r="F637" s="1326"/>
      <c r="G637" s="1326"/>
      <c r="H637" s="1326"/>
      <c r="I637" s="1326"/>
      <c r="J637" s="1326"/>
      <c r="K637" s="1326"/>
      <c r="L637" s="1326"/>
      <c r="M637" s="1326"/>
      <c r="N637" s="1326"/>
      <c r="O637" s="1326"/>
      <c r="P637" s="1326"/>
      <c r="Q637" s="1326"/>
      <c r="R637" s="1326"/>
      <c r="S637" s="1326"/>
      <c r="T637" s="1326"/>
      <c r="U637" s="1326"/>
      <c r="V637" s="1326"/>
      <c r="W637" s="1326"/>
      <c r="X637" s="1326"/>
      <c r="Y637" s="1326"/>
      <c r="Z637" s="181" t="s">
        <v>103</v>
      </c>
      <c r="AA637" s="779" t="s">
        <v>102</v>
      </c>
      <c r="AB637" s="778" t="s">
        <v>1142</v>
      </c>
      <c r="AC637" s="236">
        <v>189.28359</v>
      </c>
      <c r="AD637" s="778" t="str">
        <f>AB637</f>
        <v xml:space="preserve">  Прочие собственные средства</v>
      </c>
      <c r="AE637" s="236">
        <v>3.9077300000000199</v>
      </c>
      <c r="AF637" s="1343"/>
      <c r="AG637" s="1344"/>
      <c r="AH637" s="1344"/>
      <c r="AI637" s="1343"/>
      <c r="AJ637" s="1344"/>
      <c r="AK637" s="1345"/>
      <c r="AL637" s="771"/>
    </row>
    <row r="638" spans="1:38" ht="11.25" customHeight="1">
      <c r="A638" t="s">
        <v>1021</v>
      </c>
      <c r="E638" s="556"/>
      <c r="F638" s="1354"/>
      <c r="G638" s="1326"/>
      <c r="H638" s="1327" t="s">
        <v>164</v>
      </c>
      <c r="I638" s="1328"/>
      <c r="J638" s="1341"/>
      <c r="K638" s="1330"/>
      <c r="L638" s="1058"/>
      <c r="M638" s="1060"/>
      <c r="N638" s="1333"/>
      <c r="O638" s="1334"/>
      <c r="P638" s="1337"/>
      <c r="Q638" s="1323"/>
      <c r="R638" s="1323"/>
      <c r="S638" s="1338"/>
      <c r="T638" s="1323"/>
      <c r="U638" s="1323"/>
      <c r="V638" s="1323"/>
      <c r="W638" s="1323"/>
      <c r="X638" s="1323"/>
      <c r="Y638" s="1323"/>
      <c r="Z638" s="229"/>
      <c r="AA638" s="230"/>
      <c r="AB638" s="44" t="s">
        <v>1064</v>
      </c>
      <c r="AC638" s="231"/>
      <c r="AD638" s="231"/>
      <c r="AE638" s="245"/>
      <c r="AF638" s="1331"/>
      <c r="AG638" s="1332"/>
      <c r="AH638" s="1332"/>
      <c r="AI638" s="1331"/>
      <c r="AJ638" s="1332"/>
      <c r="AK638" s="1332"/>
      <c r="AL638" s="771"/>
    </row>
    <row r="639" spans="1:38" ht="11.25" customHeight="1">
      <c r="A639" t="s">
        <v>1021</v>
      </c>
      <c r="E639" s="556"/>
      <c r="F639" s="1354"/>
      <c r="G639" s="1326"/>
      <c r="H639" s="1327" t="s">
        <v>164</v>
      </c>
      <c r="I639" s="1328"/>
      <c r="J639" s="1341"/>
      <c r="K639" s="1330"/>
      <c r="L639" s="1058"/>
      <c r="M639" s="1060"/>
      <c r="N639" s="229"/>
      <c r="O639" s="230"/>
      <c r="P639" s="44" t="s">
        <v>1065</v>
      </c>
      <c r="Q639" s="230"/>
      <c r="R639" s="230"/>
      <c r="S639" s="230"/>
      <c r="T639" s="230"/>
      <c r="U639" s="230"/>
      <c r="V639" s="230"/>
      <c r="W639" s="230"/>
      <c r="X639" s="230"/>
      <c r="Y639" s="230"/>
      <c r="Z639" s="230"/>
      <c r="AA639" s="230"/>
      <c r="AB639" s="230"/>
      <c r="AC639" s="230"/>
      <c r="AD639" s="230"/>
      <c r="AE639" s="246"/>
      <c r="AF639" s="1331"/>
      <c r="AG639" s="1332"/>
      <c r="AH639" s="1332"/>
      <c r="AI639" s="1331"/>
      <c r="AJ639" s="1332"/>
      <c r="AK639" s="1332"/>
      <c r="AL639" s="771"/>
    </row>
    <row r="640" spans="1:38" ht="11.25" customHeight="1">
      <c r="A640" t="s">
        <v>1021</v>
      </c>
      <c r="B640" t="s">
        <v>1122</v>
      </c>
      <c r="E640" s="556"/>
      <c r="F640" s="1354"/>
      <c r="G640" s="1304" t="s">
        <v>103</v>
      </c>
      <c r="H640" s="1327" t="s">
        <v>166</v>
      </c>
      <c r="I640" s="1328" t="s">
        <v>1123</v>
      </c>
      <c r="J640" s="1341" t="s">
        <v>1124</v>
      </c>
      <c r="K640" s="1330" t="s">
        <v>1149</v>
      </c>
      <c r="L640" s="1058" t="s">
        <v>19</v>
      </c>
      <c r="M640" s="1060"/>
      <c r="N640" s="241"/>
      <c r="O640" s="242" t="s">
        <v>387</v>
      </c>
      <c r="P640" s="243"/>
      <c r="Q640" s="243"/>
      <c r="R640" s="243"/>
      <c r="S640" s="243"/>
      <c r="T640" s="243"/>
      <c r="U640" s="243"/>
      <c r="V640" s="243"/>
      <c r="W640" s="243"/>
      <c r="X640" s="243"/>
      <c r="Y640" s="243"/>
      <c r="Z640" s="243"/>
      <c r="AA640" s="243"/>
      <c r="AB640" s="243"/>
      <c r="AC640" s="243"/>
      <c r="AD640" s="243"/>
      <c r="AE640" s="243"/>
      <c r="AF640" s="1331">
        <v>1</v>
      </c>
      <c r="AG640" s="1332" t="s">
        <v>1055</v>
      </c>
      <c r="AH640" s="1332" t="s">
        <v>1126</v>
      </c>
      <c r="AI640" s="1331">
        <v>1</v>
      </c>
      <c r="AJ640" s="1332" t="s">
        <v>1055</v>
      </c>
      <c r="AK640" s="1332" t="s">
        <v>1126</v>
      </c>
      <c r="AL640" s="771"/>
    </row>
    <row r="641" spans="1:38" ht="11.25" customHeight="1">
      <c r="A641" t="s">
        <v>1021</v>
      </c>
      <c r="E641" s="556"/>
      <c r="F641" s="1354"/>
      <c r="G641" s="1326"/>
      <c r="H641" s="1327" t="s">
        <v>165</v>
      </c>
      <c r="I641" s="1328"/>
      <c r="J641" s="1341"/>
      <c r="K641" s="1330"/>
      <c r="L641" s="1058"/>
      <c r="M641" s="1060"/>
      <c r="N641" s="1333"/>
      <c r="O641" s="1334">
        <v>1</v>
      </c>
      <c r="P641" s="1335" t="s">
        <v>19</v>
      </c>
      <c r="Q641" s="1323" t="s">
        <v>22</v>
      </c>
      <c r="R641" s="1323" t="s">
        <v>22</v>
      </c>
      <c r="S641" s="1323" t="s">
        <v>22</v>
      </c>
      <c r="T641" s="1323" t="s">
        <v>22</v>
      </c>
      <c r="U641" s="1323" t="s">
        <v>22</v>
      </c>
      <c r="V641" s="1323" t="s">
        <v>22</v>
      </c>
      <c r="W641" s="1323" t="s">
        <v>22</v>
      </c>
      <c r="X641" s="1323" t="s">
        <v>22</v>
      </c>
      <c r="Y641" s="1323"/>
      <c r="Z641" s="229"/>
      <c r="AA641" s="230"/>
      <c r="AB641" s="230"/>
      <c r="AC641" s="231"/>
      <c r="AD641" s="231"/>
      <c r="AE641" s="244"/>
      <c r="AF641" s="1331"/>
      <c r="AG641" s="1332"/>
      <c r="AH641" s="1332"/>
      <c r="AI641" s="1331"/>
      <c r="AJ641" s="1332"/>
      <c r="AK641" s="1332"/>
      <c r="AL641" s="771"/>
    </row>
    <row r="642" spans="1:38" ht="11.25" customHeight="1">
      <c r="A642" t="s">
        <v>1021</v>
      </c>
      <c r="E642" s="556"/>
      <c r="F642" s="1354"/>
      <c r="G642" s="1326"/>
      <c r="H642" s="1327" t="s">
        <v>165</v>
      </c>
      <c r="I642" s="1328"/>
      <c r="J642" s="1341"/>
      <c r="K642" s="1330"/>
      <c r="L642" s="1058"/>
      <c r="M642" s="1060"/>
      <c r="N642" s="1333"/>
      <c r="O642" s="1334"/>
      <c r="P642" s="1336"/>
      <c r="Q642" s="1323"/>
      <c r="R642" s="1323"/>
      <c r="S642" s="1338"/>
      <c r="T642" s="1323"/>
      <c r="U642" s="1323"/>
      <c r="V642" s="1323"/>
      <c r="W642" s="1323"/>
      <c r="X642" s="1323"/>
      <c r="Y642" s="1323"/>
      <c r="AA642" s="777">
        <v>1</v>
      </c>
      <c r="AB642" s="778" t="s">
        <v>1127</v>
      </c>
      <c r="AC642" s="236">
        <v>686.77899278999996</v>
      </c>
      <c r="AD642" s="778" t="str">
        <f>AB642</f>
        <v xml:space="preserve">  Средства, полученные за счет платы за подключение (технологическое присоединение)</v>
      </c>
      <c r="AE642" s="236">
        <v>344.94655</v>
      </c>
      <c r="AF642" s="1331"/>
      <c r="AG642" s="1332"/>
      <c r="AH642" s="1332"/>
      <c r="AI642" s="1331"/>
      <c r="AJ642" s="1332"/>
      <c r="AK642" s="1332"/>
      <c r="AL642" s="771"/>
    </row>
    <row r="643" spans="1:38" ht="11.25" customHeight="1">
      <c r="A643" t="s">
        <v>1021</v>
      </c>
      <c r="E643" s="556"/>
      <c r="F643" s="1326"/>
      <c r="G643" s="1326"/>
      <c r="H643" s="1326"/>
      <c r="I643" s="1326"/>
      <c r="J643" s="1326"/>
      <c r="K643" s="1326"/>
      <c r="L643" s="1326"/>
      <c r="M643" s="1326"/>
      <c r="N643" s="1326"/>
      <c r="O643" s="1326"/>
      <c r="P643" s="1326"/>
      <c r="Q643" s="1326"/>
      <c r="R643" s="1326"/>
      <c r="S643" s="1326"/>
      <c r="T643" s="1326"/>
      <c r="U643" s="1326"/>
      <c r="V643" s="1326"/>
      <c r="W643" s="1326"/>
      <c r="X643" s="1326"/>
      <c r="Y643" s="1326"/>
      <c r="Z643" s="181" t="s">
        <v>103</v>
      </c>
      <c r="AA643" s="779" t="s">
        <v>102</v>
      </c>
      <c r="AB643" s="778" t="s">
        <v>1142</v>
      </c>
      <c r="AC643" s="236">
        <v>134.47797</v>
      </c>
      <c r="AD643" s="778" t="str">
        <f>AB643</f>
        <v xml:space="preserve">  Прочие собственные средства</v>
      </c>
      <c r="AE643" s="236">
        <v>56.037790000000001</v>
      </c>
      <c r="AF643" s="1343"/>
      <c r="AG643" s="1344"/>
      <c r="AH643" s="1344"/>
      <c r="AI643" s="1343"/>
      <c r="AJ643" s="1344"/>
      <c r="AK643" s="1345"/>
      <c r="AL643" s="771"/>
    </row>
    <row r="644" spans="1:38" ht="11.25" customHeight="1">
      <c r="A644" t="s">
        <v>1021</v>
      </c>
      <c r="E644" s="556"/>
      <c r="F644" s="1354"/>
      <c r="G644" s="1326"/>
      <c r="H644" s="1327" t="s">
        <v>165</v>
      </c>
      <c r="I644" s="1328"/>
      <c r="J644" s="1341"/>
      <c r="K644" s="1330"/>
      <c r="L644" s="1058"/>
      <c r="M644" s="1060"/>
      <c r="N644" s="1333"/>
      <c r="O644" s="1334"/>
      <c r="P644" s="1337"/>
      <c r="Q644" s="1323"/>
      <c r="R644" s="1323"/>
      <c r="S644" s="1338"/>
      <c r="T644" s="1323"/>
      <c r="U644" s="1323"/>
      <c r="V644" s="1323"/>
      <c r="W644" s="1323"/>
      <c r="X644" s="1323"/>
      <c r="Y644" s="1323"/>
      <c r="Z644" s="229"/>
      <c r="AA644" s="230"/>
      <c r="AB644" s="44" t="s">
        <v>1064</v>
      </c>
      <c r="AC644" s="231"/>
      <c r="AD644" s="231"/>
      <c r="AE644" s="245"/>
      <c r="AF644" s="1331"/>
      <c r="AG644" s="1332"/>
      <c r="AH644" s="1332"/>
      <c r="AI644" s="1331"/>
      <c r="AJ644" s="1332"/>
      <c r="AK644" s="1332"/>
      <c r="AL644" s="771"/>
    </row>
    <row r="645" spans="1:38" ht="11.25" customHeight="1">
      <c r="A645" t="s">
        <v>1021</v>
      </c>
      <c r="E645" s="556"/>
      <c r="F645" s="1354"/>
      <c r="G645" s="1326"/>
      <c r="H645" s="1327" t="s">
        <v>165</v>
      </c>
      <c r="I645" s="1328"/>
      <c r="J645" s="1341"/>
      <c r="K645" s="1330"/>
      <c r="L645" s="1058"/>
      <c r="M645" s="1060"/>
      <c r="N645" s="229"/>
      <c r="O645" s="230"/>
      <c r="P645" s="44" t="s">
        <v>1065</v>
      </c>
      <c r="Q645" s="230"/>
      <c r="R645" s="230"/>
      <c r="S645" s="230"/>
      <c r="T645" s="230"/>
      <c r="U645" s="230"/>
      <c r="V645" s="230"/>
      <c r="W645" s="230"/>
      <c r="X645" s="230"/>
      <c r="Y645" s="230"/>
      <c r="Z645" s="230"/>
      <c r="AA645" s="230"/>
      <c r="AB645" s="230"/>
      <c r="AC645" s="230"/>
      <c r="AD645" s="230"/>
      <c r="AE645" s="246"/>
      <c r="AF645" s="1331"/>
      <c r="AG645" s="1332"/>
      <c r="AH645" s="1332"/>
      <c r="AI645" s="1331"/>
      <c r="AJ645" s="1332"/>
      <c r="AK645" s="1332"/>
      <c r="AL645" s="771"/>
    </row>
    <row r="646" spans="1:38" ht="11.25" customHeight="1">
      <c r="A646" t="s">
        <v>1021</v>
      </c>
      <c r="B646" t="s">
        <v>1122</v>
      </c>
      <c r="E646" s="556"/>
      <c r="F646" s="1354"/>
      <c r="G646" s="1304" t="s">
        <v>103</v>
      </c>
      <c r="H646" s="1327" t="s">
        <v>1112</v>
      </c>
      <c r="I646" s="1328" t="s">
        <v>1123</v>
      </c>
      <c r="J646" s="1341" t="s">
        <v>1124</v>
      </c>
      <c r="K646" s="1330" t="s">
        <v>1150</v>
      </c>
      <c r="L646" s="1058" t="s">
        <v>19</v>
      </c>
      <c r="M646" s="1060"/>
      <c r="N646" s="241"/>
      <c r="O646" s="242" t="s">
        <v>387</v>
      </c>
      <c r="P646" s="243"/>
      <c r="Q646" s="243"/>
      <c r="R646" s="243"/>
      <c r="S646" s="243"/>
      <c r="T646" s="243"/>
      <c r="U646" s="243"/>
      <c r="V646" s="243"/>
      <c r="W646" s="243"/>
      <c r="X646" s="243"/>
      <c r="Y646" s="243"/>
      <c r="Z646" s="243"/>
      <c r="AA646" s="243"/>
      <c r="AB646" s="243"/>
      <c r="AC646" s="243"/>
      <c r="AD646" s="243"/>
      <c r="AE646" s="243"/>
      <c r="AF646" s="1331">
        <v>1</v>
      </c>
      <c r="AG646" s="1332" t="s">
        <v>1055</v>
      </c>
      <c r="AH646" s="1332" t="s">
        <v>1126</v>
      </c>
      <c r="AI646" s="1331">
        <v>1</v>
      </c>
      <c r="AJ646" s="1332" t="s">
        <v>1055</v>
      </c>
      <c r="AK646" s="1332" t="s">
        <v>1126</v>
      </c>
      <c r="AL646" s="771"/>
    </row>
    <row r="647" spans="1:38" ht="11.25" customHeight="1">
      <c r="A647" t="s">
        <v>1021</v>
      </c>
      <c r="E647" s="556"/>
      <c r="F647" s="1354"/>
      <c r="G647" s="1326"/>
      <c r="H647" s="1327" t="s">
        <v>166</v>
      </c>
      <c r="I647" s="1328"/>
      <c r="J647" s="1341"/>
      <c r="K647" s="1330"/>
      <c r="L647" s="1058"/>
      <c r="M647" s="1060"/>
      <c r="N647" s="1333"/>
      <c r="O647" s="1334">
        <v>1</v>
      </c>
      <c r="P647" s="1335" t="s">
        <v>19</v>
      </c>
      <c r="Q647" s="1323" t="s">
        <v>22</v>
      </c>
      <c r="R647" s="1323" t="s">
        <v>22</v>
      </c>
      <c r="S647" s="1323" t="s">
        <v>22</v>
      </c>
      <c r="T647" s="1323" t="s">
        <v>22</v>
      </c>
      <c r="U647" s="1323" t="s">
        <v>22</v>
      </c>
      <c r="V647" s="1323" t="s">
        <v>22</v>
      </c>
      <c r="W647" s="1323" t="s">
        <v>22</v>
      </c>
      <c r="X647" s="1323" t="s">
        <v>22</v>
      </c>
      <c r="Y647" s="1323"/>
      <c r="Z647" s="229"/>
      <c r="AA647" s="230"/>
      <c r="AB647" s="230"/>
      <c r="AC647" s="231"/>
      <c r="AD647" s="231"/>
      <c r="AE647" s="244"/>
      <c r="AF647" s="1331"/>
      <c r="AG647" s="1332"/>
      <c r="AH647" s="1332"/>
      <c r="AI647" s="1331"/>
      <c r="AJ647" s="1332"/>
      <c r="AK647" s="1332"/>
      <c r="AL647" s="771"/>
    </row>
    <row r="648" spans="1:38" ht="11.25" customHeight="1">
      <c r="A648" t="s">
        <v>1021</v>
      </c>
      <c r="E648" s="556"/>
      <c r="F648" s="1354"/>
      <c r="G648" s="1326"/>
      <c r="H648" s="1327" t="s">
        <v>166</v>
      </c>
      <c r="I648" s="1328"/>
      <c r="J648" s="1341"/>
      <c r="K648" s="1330"/>
      <c r="L648" s="1058"/>
      <c r="M648" s="1060"/>
      <c r="N648" s="1333"/>
      <c r="O648" s="1334"/>
      <c r="P648" s="1336"/>
      <c r="Q648" s="1323"/>
      <c r="R648" s="1323"/>
      <c r="S648" s="1338"/>
      <c r="T648" s="1323"/>
      <c r="U648" s="1323"/>
      <c r="V648" s="1323"/>
      <c r="W648" s="1323"/>
      <c r="X648" s="1323"/>
      <c r="Y648" s="1323"/>
      <c r="AA648" s="777">
        <v>1</v>
      </c>
      <c r="AB648" s="778" t="s">
        <v>1127</v>
      </c>
      <c r="AC648" s="236">
        <v>378.27239175333301</v>
      </c>
      <c r="AD648" s="778" t="str">
        <f>AB648</f>
        <v xml:space="preserve">  Средства, полученные за счет платы за подключение (технологическое присоединение)</v>
      </c>
      <c r="AE648" s="236">
        <v>51.924720000000001</v>
      </c>
      <c r="AF648" s="1331"/>
      <c r="AG648" s="1332"/>
      <c r="AH648" s="1332"/>
      <c r="AI648" s="1331"/>
      <c r="AJ648" s="1332"/>
      <c r="AK648" s="1332"/>
      <c r="AL648" s="771"/>
    </row>
    <row r="649" spans="1:38" ht="11.25" customHeight="1">
      <c r="A649" t="s">
        <v>1021</v>
      </c>
      <c r="E649" s="556"/>
      <c r="F649" s="1326"/>
      <c r="G649" s="1326"/>
      <c r="H649" s="1326"/>
      <c r="I649" s="1326"/>
      <c r="J649" s="1326"/>
      <c r="K649" s="1326"/>
      <c r="L649" s="1326"/>
      <c r="M649" s="1326"/>
      <c r="N649" s="1326"/>
      <c r="O649" s="1326"/>
      <c r="P649" s="1326"/>
      <c r="Q649" s="1326"/>
      <c r="R649" s="1326"/>
      <c r="S649" s="1326"/>
      <c r="T649" s="1326"/>
      <c r="U649" s="1326"/>
      <c r="V649" s="1326"/>
      <c r="W649" s="1326"/>
      <c r="X649" s="1326"/>
      <c r="Y649" s="1326"/>
      <c r="Z649" s="181" t="s">
        <v>103</v>
      </c>
      <c r="AA649" s="779" t="s">
        <v>102</v>
      </c>
      <c r="AB649" s="778" t="s">
        <v>1142</v>
      </c>
      <c r="AC649" s="236">
        <v>74.069393333333295</v>
      </c>
      <c r="AD649" s="778" t="str">
        <f>AB649</f>
        <v xml:space="preserve">  Прочие собственные средства</v>
      </c>
      <c r="AE649" s="236">
        <v>7.4065000000000003</v>
      </c>
      <c r="AF649" s="1343"/>
      <c r="AG649" s="1344"/>
      <c r="AH649" s="1344"/>
      <c r="AI649" s="1343"/>
      <c r="AJ649" s="1344"/>
      <c r="AK649" s="1345"/>
      <c r="AL649" s="771"/>
    </row>
    <row r="650" spans="1:38" ht="11.25" customHeight="1">
      <c r="A650" t="s">
        <v>1021</v>
      </c>
      <c r="E650" s="556"/>
      <c r="F650" s="1354"/>
      <c r="G650" s="1326"/>
      <c r="H650" s="1327" t="s">
        <v>166</v>
      </c>
      <c r="I650" s="1328"/>
      <c r="J650" s="1341"/>
      <c r="K650" s="1330"/>
      <c r="L650" s="1058"/>
      <c r="M650" s="1060"/>
      <c r="N650" s="1333"/>
      <c r="O650" s="1334"/>
      <c r="P650" s="1337"/>
      <c r="Q650" s="1323"/>
      <c r="R650" s="1323"/>
      <c r="S650" s="1338"/>
      <c r="T650" s="1323"/>
      <c r="U650" s="1323"/>
      <c r="V650" s="1323"/>
      <c r="W650" s="1323"/>
      <c r="X650" s="1323"/>
      <c r="Y650" s="1323"/>
      <c r="Z650" s="229"/>
      <c r="AA650" s="230"/>
      <c r="AB650" s="44" t="s">
        <v>1064</v>
      </c>
      <c r="AC650" s="231"/>
      <c r="AD650" s="231"/>
      <c r="AE650" s="245"/>
      <c r="AF650" s="1331"/>
      <c r="AG650" s="1332"/>
      <c r="AH650" s="1332"/>
      <c r="AI650" s="1331"/>
      <c r="AJ650" s="1332"/>
      <c r="AK650" s="1332"/>
      <c r="AL650" s="771"/>
    </row>
    <row r="651" spans="1:38" ht="11.25" customHeight="1">
      <c r="A651" t="s">
        <v>1021</v>
      </c>
      <c r="E651" s="556"/>
      <c r="F651" s="1354"/>
      <c r="G651" s="1326"/>
      <c r="H651" s="1327" t="s">
        <v>166</v>
      </c>
      <c r="I651" s="1328"/>
      <c r="J651" s="1341"/>
      <c r="K651" s="1330"/>
      <c r="L651" s="1058"/>
      <c r="M651" s="1060"/>
      <c r="N651" s="229"/>
      <c r="O651" s="230"/>
      <c r="P651" s="44" t="s">
        <v>1065</v>
      </c>
      <c r="Q651" s="230"/>
      <c r="R651" s="230"/>
      <c r="S651" s="230"/>
      <c r="T651" s="230"/>
      <c r="U651" s="230"/>
      <c r="V651" s="230"/>
      <c r="W651" s="230"/>
      <c r="X651" s="230"/>
      <c r="Y651" s="230"/>
      <c r="Z651" s="230"/>
      <c r="AA651" s="230"/>
      <c r="AB651" s="230"/>
      <c r="AC651" s="230"/>
      <c r="AD651" s="230"/>
      <c r="AE651" s="246"/>
      <c r="AF651" s="1331"/>
      <c r="AG651" s="1332"/>
      <c r="AH651" s="1332"/>
      <c r="AI651" s="1331"/>
      <c r="AJ651" s="1332"/>
      <c r="AK651" s="1332"/>
      <c r="AL651" s="771"/>
    </row>
    <row r="652" spans="1:38" ht="11.25" customHeight="1">
      <c r="A652" t="s">
        <v>1021</v>
      </c>
      <c r="B652" t="s">
        <v>1122</v>
      </c>
      <c r="E652" s="556"/>
      <c r="F652" s="1354"/>
      <c r="G652" s="1304" t="s">
        <v>103</v>
      </c>
      <c r="H652" s="1327" t="s">
        <v>1118</v>
      </c>
      <c r="I652" s="1328" t="s">
        <v>1123</v>
      </c>
      <c r="J652" s="1341" t="s">
        <v>1124</v>
      </c>
      <c r="K652" s="1330" t="s">
        <v>1151</v>
      </c>
      <c r="L652" s="1058" t="s">
        <v>19</v>
      </c>
      <c r="M652" s="1060"/>
      <c r="N652" s="241"/>
      <c r="O652" s="242" t="s">
        <v>387</v>
      </c>
      <c r="P652" s="243"/>
      <c r="Q652" s="243"/>
      <c r="R652" s="243"/>
      <c r="S652" s="243"/>
      <c r="T652" s="243"/>
      <c r="U652" s="243"/>
      <c r="V652" s="243"/>
      <c r="W652" s="243"/>
      <c r="X652" s="243"/>
      <c r="Y652" s="243"/>
      <c r="Z652" s="243"/>
      <c r="AA652" s="243"/>
      <c r="AB652" s="243"/>
      <c r="AC652" s="243"/>
      <c r="AD652" s="243"/>
      <c r="AE652" s="243"/>
      <c r="AF652" s="1331">
        <v>2</v>
      </c>
      <c r="AG652" s="1332" t="s">
        <v>1055</v>
      </c>
      <c r="AH652" s="1332" t="s">
        <v>1135</v>
      </c>
      <c r="AI652" s="1331">
        <v>2</v>
      </c>
      <c r="AJ652" s="1332" t="s">
        <v>1055</v>
      </c>
      <c r="AK652" s="1332" t="s">
        <v>1135</v>
      </c>
      <c r="AL652" s="771"/>
    </row>
    <row r="653" spans="1:38" ht="11.25" customHeight="1">
      <c r="A653" t="s">
        <v>1021</v>
      </c>
      <c r="E653" s="556"/>
      <c r="F653" s="1354"/>
      <c r="G653" s="1326"/>
      <c r="H653" s="1327" t="s">
        <v>1112</v>
      </c>
      <c r="I653" s="1328"/>
      <c r="J653" s="1341"/>
      <c r="K653" s="1330"/>
      <c r="L653" s="1058"/>
      <c r="M653" s="1060"/>
      <c r="N653" s="1333"/>
      <c r="O653" s="1334">
        <v>1</v>
      </c>
      <c r="P653" s="1335" t="s">
        <v>19</v>
      </c>
      <c r="Q653" s="1323" t="s">
        <v>22</v>
      </c>
      <c r="R653" s="1323" t="s">
        <v>22</v>
      </c>
      <c r="S653" s="1323" t="s">
        <v>22</v>
      </c>
      <c r="T653" s="1323" t="s">
        <v>22</v>
      </c>
      <c r="U653" s="1323" t="s">
        <v>22</v>
      </c>
      <c r="V653" s="1323" t="s">
        <v>22</v>
      </c>
      <c r="W653" s="1323" t="s">
        <v>22</v>
      </c>
      <c r="X653" s="1323" t="s">
        <v>22</v>
      </c>
      <c r="Y653" s="1323"/>
      <c r="Z653" s="229"/>
      <c r="AA653" s="230"/>
      <c r="AB653" s="230"/>
      <c r="AC653" s="231"/>
      <c r="AD653" s="231"/>
      <c r="AE653" s="244"/>
      <c r="AF653" s="1331"/>
      <c r="AG653" s="1332"/>
      <c r="AH653" s="1332"/>
      <c r="AI653" s="1331"/>
      <c r="AJ653" s="1332"/>
      <c r="AK653" s="1332"/>
      <c r="AL653" s="771"/>
    </row>
    <row r="654" spans="1:38" ht="11.25" customHeight="1">
      <c r="A654" t="s">
        <v>1021</v>
      </c>
      <c r="E654" s="556"/>
      <c r="F654" s="1354"/>
      <c r="G654" s="1326"/>
      <c r="H654" s="1327" t="s">
        <v>1112</v>
      </c>
      <c r="I654" s="1328"/>
      <c r="J654" s="1341"/>
      <c r="K654" s="1330"/>
      <c r="L654" s="1058"/>
      <c r="M654" s="1060"/>
      <c r="N654" s="1333"/>
      <c r="O654" s="1334"/>
      <c r="P654" s="1336"/>
      <c r="Q654" s="1323"/>
      <c r="R654" s="1323"/>
      <c r="S654" s="1338"/>
      <c r="T654" s="1323"/>
      <c r="U654" s="1323"/>
      <c r="V654" s="1323"/>
      <c r="W654" s="1323"/>
      <c r="X654" s="1323"/>
      <c r="Y654" s="1323"/>
      <c r="AA654" s="777">
        <v>1</v>
      </c>
      <c r="AB654" s="778" t="s">
        <v>1127</v>
      </c>
      <c r="AC654" s="236">
        <v>170.23333333333301</v>
      </c>
      <c r="AD654" s="778" t="str">
        <f>AB654</f>
        <v xml:space="preserve">  Средства, полученные за счет платы за подключение (технологическое присоединение)</v>
      </c>
      <c r="AE654" s="236">
        <v>184.08349999999999</v>
      </c>
      <c r="AF654" s="1331"/>
      <c r="AG654" s="1332"/>
      <c r="AH654" s="1332"/>
      <c r="AI654" s="1331"/>
      <c r="AJ654" s="1332"/>
      <c r="AK654" s="1332"/>
      <c r="AL654" s="771"/>
    </row>
    <row r="655" spans="1:38" ht="11.25" customHeight="1">
      <c r="A655" t="s">
        <v>1021</v>
      </c>
      <c r="E655" s="556"/>
      <c r="F655" s="1326"/>
      <c r="G655" s="1326"/>
      <c r="H655" s="1326"/>
      <c r="I655" s="1326"/>
      <c r="J655" s="1326"/>
      <c r="K655" s="1326"/>
      <c r="L655" s="1326"/>
      <c r="M655" s="1326"/>
      <c r="N655" s="1326"/>
      <c r="O655" s="1326"/>
      <c r="P655" s="1326"/>
      <c r="Q655" s="1326"/>
      <c r="R655" s="1326"/>
      <c r="S655" s="1326"/>
      <c r="T655" s="1326"/>
      <c r="U655" s="1326"/>
      <c r="V655" s="1326"/>
      <c r="W655" s="1326"/>
      <c r="X655" s="1326"/>
      <c r="Y655" s="1326"/>
      <c r="Z655" s="181" t="s">
        <v>103</v>
      </c>
      <c r="AA655" s="779" t="s">
        <v>102</v>
      </c>
      <c r="AB655" s="778" t="s">
        <v>1142</v>
      </c>
      <c r="AC655" s="236">
        <v>33.3333333333333</v>
      </c>
      <c r="AD655" s="778" t="str">
        <f>AB655</f>
        <v xml:space="preserve">  Прочие собственные средства</v>
      </c>
      <c r="AE655" s="236">
        <v>8.8384900000000002</v>
      </c>
      <c r="AF655" s="1343"/>
      <c r="AG655" s="1344"/>
      <c r="AH655" s="1344"/>
      <c r="AI655" s="1343"/>
      <c r="AJ655" s="1344"/>
      <c r="AK655" s="1345"/>
      <c r="AL655" s="771"/>
    </row>
    <row r="656" spans="1:38" ht="11.25" customHeight="1">
      <c r="A656" t="s">
        <v>1021</v>
      </c>
      <c r="E656" s="556"/>
      <c r="F656" s="1354"/>
      <c r="G656" s="1326"/>
      <c r="H656" s="1327" t="s">
        <v>1112</v>
      </c>
      <c r="I656" s="1328"/>
      <c r="J656" s="1341"/>
      <c r="K656" s="1330"/>
      <c r="L656" s="1058"/>
      <c r="M656" s="1060"/>
      <c r="N656" s="1333"/>
      <c r="O656" s="1334"/>
      <c r="P656" s="1337"/>
      <c r="Q656" s="1323"/>
      <c r="R656" s="1323"/>
      <c r="S656" s="1338"/>
      <c r="T656" s="1323"/>
      <c r="U656" s="1323"/>
      <c r="V656" s="1323"/>
      <c r="W656" s="1323"/>
      <c r="X656" s="1323"/>
      <c r="Y656" s="1323"/>
      <c r="Z656" s="229"/>
      <c r="AA656" s="230"/>
      <c r="AB656" s="44" t="s">
        <v>1064</v>
      </c>
      <c r="AC656" s="231"/>
      <c r="AD656" s="231"/>
      <c r="AE656" s="245"/>
      <c r="AF656" s="1331"/>
      <c r="AG656" s="1332"/>
      <c r="AH656" s="1332"/>
      <c r="AI656" s="1331"/>
      <c r="AJ656" s="1332"/>
      <c r="AK656" s="1332"/>
      <c r="AL656" s="771"/>
    </row>
    <row r="657" spans="1:38" ht="11.25" customHeight="1">
      <c r="A657" t="s">
        <v>1021</v>
      </c>
      <c r="E657" s="556"/>
      <c r="F657" s="1354"/>
      <c r="G657" s="1326"/>
      <c r="H657" s="1327" t="s">
        <v>1112</v>
      </c>
      <c r="I657" s="1328"/>
      <c r="J657" s="1341"/>
      <c r="K657" s="1330"/>
      <c r="L657" s="1058"/>
      <c r="M657" s="1060"/>
      <c r="N657" s="229"/>
      <c r="O657" s="230"/>
      <c r="P657" s="44" t="s">
        <v>1065</v>
      </c>
      <c r="Q657" s="230"/>
      <c r="R657" s="230"/>
      <c r="S657" s="230"/>
      <c r="T657" s="230"/>
      <c r="U657" s="230"/>
      <c r="V657" s="230"/>
      <c r="W657" s="230"/>
      <c r="X657" s="230"/>
      <c r="Y657" s="230"/>
      <c r="Z657" s="230"/>
      <c r="AA657" s="230"/>
      <c r="AB657" s="230"/>
      <c r="AC657" s="230"/>
      <c r="AD657" s="230"/>
      <c r="AE657" s="246"/>
      <c r="AF657" s="1331"/>
      <c r="AG657" s="1332"/>
      <c r="AH657" s="1332"/>
      <c r="AI657" s="1331"/>
      <c r="AJ657" s="1332"/>
      <c r="AK657" s="1332"/>
      <c r="AL657" s="771"/>
    </row>
    <row r="658" spans="1:38" ht="11.25" customHeight="1">
      <c r="A658" t="s">
        <v>1021</v>
      </c>
      <c r="B658" t="s">
        <v>1122</v>
      </c>
      <c r="E658" s="556"/>
      <c r="F658" s="1354"/>
      <c r="G658" s="1304" t="s">
        <v>103</v>
      </c>
      <c r="H658" s="1327" t="s">
        <v>1120</v>
      </c>
      <c r="I658" s="1328" t="s">
        <v>1123</v>
      </c>
      <c r="J658" s="1341" t="s">
        <v>1124</v>
      </c>
      <c r="K658" s="1330" t="s">
        <v>1152</v>
      </c>
      <c r="L658" s="1058" t="s">
        <v>19</v>
      </c>
      <c r="M658" s="1060"/>
      <c r="N658" s="241"/>
      <c r="O658" s="242" t="s">
        <v>387</v>
      </c>
      <c r="P658" s="243"/>
      <c r="Q658" s="243"/>
      <c r="R658" s="243"/>
      <c r="S658" s="243"/>
      <c r="T658" s="243"/>
      <c r="U658" s="243"/>
      <c r="V658" s="243"/>
      <c r="W658" s="243"/>
      <c r="X658" s="243"/>
      <c r="Y658" s="243"/>
      <c r="Z658" s="243"/>
      <c r="AA658" s="243"/>
      <c r="AB658" s="243"/>
      <c r="AC658" s="243"/>
      <c r="AD658" s="243"/>
      <c r="AE658" s="243"/>
      <c r="AF658" s="1331">
        <v>1</v>
      </c>
      <c r="AG658" s="1332" t="s">
        <v>1055</v>
      </c>
      <c r="AH658" s="1332" t="s">
        <v>1126</v>
      </c>
      <c r="AI658" s="1331">
        <v>1</v>
      </c>
      <c r="AJ658" s="1332" t="s">
        <v>1055</v>
      </c>
      <c r="AK658" s="1332" t="s">
        <v>1126</v>
      </c>
      <c r="AL658" s="771"/>
    </row>
    <row r="659" spans="1:38" ht="11.25" customHeight="1">
      <c r="A659" t="s">
        <v>1021</v>
      </c>
      <c r="E659" s="556"/>
      <c r="F659" s="1354"/>
      <c r="G659" s="1326"/>
      <c r="H659" s="1327" t="s">
        <v>1118</v>
      </c>
      <c r="I659" s="1328"/>
      <c r="J659" s="1341"/>
      <c r="K659" s="1330"/>
      <c r="L659" s="1058"/>
      <c r="M659" s="1060"/>
      <c r="N659" s="1333"/>
      <c r="O659" s="1334">
        <v>1</v>
      </c>
      <c r="P659" s="1335" t="s">
        <v>19</v>
      </c>
      <c r="Q659" s="1323" t="s">
        <v>22</v>
      </c>
      <c r="R659" s="1323" t="s">
        <v>22</v>
      </c>
      <c r="S659" s="1323" t="s">
        <v>22</v>
      </c>
      <c r="T659" s="1323" t="s">
        <v>22</v>
      </c>
      <c r="U659" s="1323" t="s">
        <v>22</v>
      </c>
      <c r="V659" s="1323" t="s">
        <v>22</v>
      </c>
      <c r="W659" s="1323" t="s">
        <v>22</v>
      </c>
      <c r="X659" s="1323" t="s">
        <v>22</v>
      </c>
      <c r="Y659" s="1323"/>
      <c r="Z659" s="229"/>
      <c r="AA659" s="230"/>
      <c r="AB659" s="230"/>
      <c r="AC659" s="231"/>
      <c r="AD659" s="231"/>
      <c r="AE659" s="244"/>
      <c r="AF659" s="1331"/>
      <c r="AG659" s="1332"/>
      <c r="AH659" s="1332"/>
      <c r="AI659" s="1331"/>
      <c r="AJ659" s="1332"/>
      <c r="AK659" s="1332"/>
      <c r="AL659" s="771"/>
    </row>
    <row r="660" spans="1:38" ht="11.25" customHeight="1">
      <c r="A660" t="s">
        <v>1021</v>
      </c>
      <c r="E660" s="556"/>
      <c r="F660" s="1354"/>
      <c r="G660" s="1326"/>
      <c r="H660" s="1327" t="s">
        <v>1118</v>
      </c>
      <c r="I660" s="1328"/>
      <c r="J660" s="1341"/>
      <c r="K660" s="1330"/>
      <c r="L660" s="1058"/>
      <c r="M660" s="1060"/>
      <c r="N660" s="1333"/>
      <c r="O660" s="1334"/>
      <c r="P660" s="1336"/>
      <c r="Q660" s="1323"/>
      <c r="R660" s="1323"/>
      <c r="S660" s="1338"/>
      <c r="T660" s="1323"/>
      <c r="U660" s="1323"/>
      <c r="V660" s="1323"/>
      <c r="W660" s="1323"/>
      <c r="X660" s="1323"/>
      <c r="Y660" s="1323"/>
      <c r="AA660" s="777">
        <v>1</v>
      </c>
      <c r="AB660" s="778" t="s">
        <v>1127</v>
      </c>
      <c r="AC660" s="236">
        <v>3561.5267331949999</v>
      </c>
      <c r="AD660" s="778" t="str">
        <f>AB660</f>
        <v xml:space="preserve">  Средства, полученные за счет платы за подключение (технологическое присоединение)</v>
      </c>
      <c r="AE660" s="236">
        <v>153.77874</v>
      </c>
      <c r="AF660" s="1331"/>
      <c r="AG660" s="1332"/>
      <c r="AH660" s="1332"/>
      <c r="AI660" s="1331"/>
      <c r="AJ660" s="1332"/>
      <c r="AK660" s="1332"/>
      <c r="AL660" s="771"/>
    </row>
    <row r="661" spans="1:38" ht="11.25" customHeight="1">
      <c r="A661" t="s">
        <v>1021</v>
      </c>
      <c r="E661" s="556"/>
      <c r="F661" s="1326"/>
      <c r="G661" s="1326"/>
      <c r="H661" s="1326"/>
      <c r="I661" s="1326"/>
      <c r="J661" s="1326"/>
      <c r="K661" s="1326"/>
      <c r="L661" s="1326"/>
      <c r="M661" s="1326"/>
      <c r="N661" s="1326"/>
      <c r="O661" s="1326"/>
      <c r="P661" s="1326"/>
      <c r="Q661" s="1326"/>
      <c r="R661" s="1326"/>
      <c r="S661" s="1326"/>
      <c r="T661" s="1326"/>
      <c r="U661" s="1326"/>
      <c r="V661" s="1326"/>
      <c r="W661" s="1326"/>
      <c r="X661" s="1326"/>
      <c r="Y661" s="1326"/>
      <c r="Z661" s="181" t="s">
        <v>103</v>
      </c>
      <c r="AA661" s="779" t="s">
        <v>102</v>
      </c>
      <c r="AB661" s="778" t="s">
        <v>1142</v>
      </c>
      <c r="AC661" s="236">
        <v>697.381384999999</v>
      </c>
      <c r="AD661" s="778" t="str">
        <f>AB661</f>
        <v xml:space="preserve">  Прочие собственные средства</v>
      </c>
      <c r="AE661" s="236">
        <v>9.6903599999999894</v>
      </c>
      <c r="AF661" s="1343"/>
      <c r="AG661" s="1344"/>
      <c r="AH661" s="1344"/>
      <c r="AI661" s="1343"/>
      <c r="AJ661" s="1344"/>
      <c r="AK661" s="1345"/>
      <c r="AL661" s="771"/>
    </row>
    <row r="662" spans="1:38" ht="11.25" customHeight="1">
      <c r="A662" t="s">
        <v>1021</v>
      </c>
      <c r="E662" s="556"/>
      <c r="F662" s="1354"/>
      <c r="G662" s="1326"/>
      <c r="H662" s="1327" t="s">
        <v>1118</v>
      </c>
      <c r="I662" s="1328"/>
      <c r="J662" s="1341"/>
      <c r="K662" s="1330"/>
      <c r="L662" s="1058"/>
      <c r="M662" s="1060"/>
      <c r="N662" s="1333"/>
      <c r="O662" s="1334"/>
      <c r="P662" s="1337"/>
      <c r="Q662" s="1323"/>
      <c r="R662" s="1323"/>
      <c r="S662" s="1338"/>
      <c r="T662" s="1323"/>
      <c r="U662" s="1323"/>
      <c r="V662" s="1323"/>
      <c r="W662" s="1323"/>
      <c r="X662" s="1323"/>
      <c r="Y662" s="1323"/>
      <c r="Z662" s="229"/>
      <c r="AA662" s="230"/>
      <c r="AB662" s="44" t="s">
        <v>1064</v>
      </c>
      <c r="AC662" s="231"/>
      <c r="AD662" s="231"/>
      <c r="AE662" s="245"/>
      <c r="AF662" s="1331"/>
      <c r="AG662" s="1332"/>
      <c r="AH662" s="1332"/>
      <c r="AI662" s="1331"/>
      <c r="AJ662" s="1332"/>
      <c r="AK662" s="1332"/>
      <c r="AL662" s="771"/>
    </row>
    <row r="663" spans="1:38" ht="11.25" customHeight="1">
      <c r="A663" t="s">
        <v>1021</v>
      </c>
      <c r="E663" s="556"/>
      <c r="F663" s="1354"/>
      <c r="G663" s="1326"/>
      <c r="H663" s="1327" t="s">
        <v>1118</v>
      </c>
      <c r="I663" s="1328"/>
      <c r="J663" s="1341"/>
      <c r="K663" s="1330"/>
      <c r="L663" s="1058"/>
      <c r="M663" s="1060"/>
      <c r="N663" s="229"/>
      <c r="O663" s="230"/>
      <c r="P663" s="44" t="s">
        <v>1065</v>
      </c>
      <c r="Q663" s="230"/>
      <c r="R663" s="230"/>
      <c r="S663" s="230"/>
      <c r="T663" s="230"/>
      <c r="U663" s="230"/>
      <c r="V663" s="230"/>
      <c r="W663" s="230"/>
      <c r="X663" s="230"/>
      <c r="Y663" s="230"/>
      <c r="Z663" s="230"/>
      <c r="AA663" s="230"/>
      <c r="AB663" s="230"/>
      <c r="AC663" s="230"/>
      <c r="AD663" s="230"/>
      <c r="AE663" s="246"/>
      <c r="AF663" s="1331"/>
      <c r="AG663" s="1332"/>
      <c r="AH663" s="1332"/>
      <c r="AI663" s="1331"/>
      <c r="AJ663" s="1332"/>
      <c r="AK663" s="1332"/>
      <c r="AL663" s="771"/>
    </row>
    <row r="664" spans="1:38" ht="11.25" customHeight="1">
      <c r="A664" t="s">
        <v>1021</v>
      </c>
      <c r="B664" t="s">
        <v>1122</v>
      </c>
      <c r="E664" s="556"/>
      <c r="F664" s="1354"/>
      <c r="G664" s="1304" t="s">
        <v>103</v>
      </c>
      <c r="H664" s="1327" t="s">
        <v>1153</v>
      </c>
      <c r="I664" s="1328" t="s">
        <v>1123</v>
      </c>
      <c r="J664" s="1341" t="s">
        <v>1124</v>
      </c>
      <c r="K664" s="1330" t="s">
        <v>1154</v>
      </c>
      <c r="L664" s="1058" t="s">
        <v>19</v>
      </c>
      <c r="M664" s="1060"/>
      <c r="N664" s="241"/>
      <c r="O664" s="242" t="s">
        <v>387</v>
      </c>
      <c r="P664" s="243"/>
      <c r="Q664" s="243"/>
      <c r="R664" s="243"/>
      <c r="S664" s="243"/>
      <c r="T664" s="243"/>
      <c r="U664" s="243"/>
      <c r="V664" s="243"/>
      <c r="W664" s="243"/>
      <c r="X664" s="243"/>
      <c r="Y664" s="243"/>
      <c r="Z664" s="243"/>
      <c r="AA664" s="243"/>
      <c r="AB664" s="243"/>
      <c r="AC664" s="243"/>
      <c r="AD664" s="243"/>
      <c r="AE664" s="243"/>
      <c r="AF664" s="1331">
        <v>1</v>
      </c>
      <c r="AG664" s="1332" t="s">
        <v>1055</v>
      </c>
      <c r="AH664" s="1332" t="s">
        <v>1126</v>
      </c>
      <c r="AI664" s="1331">
        <v>1</v>
      </c>
      <c r="AJ664" s="1332" t="s">
        <v>1055</v>
      </c>
      <c r="AK664" s="1332" t="s">
        <v>1126</v>
      </c>
      <c r="AL664" s="771"/>
    </row>
    <row r="665" spans="1:38" ht="11.25" customHeight="1">
      <c r="A665" t="s">
        <v>1021</v>
      </c>
      <c r="E665" s="556"/>
      <c r="F665" s="1354"/>
      <c r="G665" s="1326"/>
      <c r="H665" s="1327" t="s">
        <v>1120</v>
      </c>
      <c r="I665" s="1328"/>
      <c r="J665" s="1341"/>
      <c r="K665" s="1330"/>
      <c r="L665" s="1058"/>
      <c r="M665" s="1060"/>
      <c r="N665" s="1333"/>
      <c r="O665" s="1334">
        <v>1</v>
      </c>
      <c r="P665" s="1335" t="s">
        <v>19</v>
      </c>
      <c r="Q665" s="1323" t="s">
        <v>22</v>
      </c>
      <c r="R665" s="1323" t="s">
        <v>22</v>
      </c>
      <c r="S665" s="1323" t="s">
        <v>22</v>
      </c>
      <c r="T665" s="1323" t="s">
        <v>22</v>
      </c>
      <c r="U665" s="1323" t="s">
        <v>22</v>
      </c>
      <c r="V665" s="1323" t="s">
        <v>22</v>
      </c>
      <c r="W665" s="1323" t="s">
        <v>22</v>
      </c>
      <c r="X665" s="1323" t="s">
        <v>22</v>
      </c>
      <c r="Y665" s="1323"/>
      <c r="Z665" s="229"/>
      <c r="AA665" s="230"/>
      <c r="AB665" s="230"/>
      <c r="AC665" s="231"/>
      <c r="AD665" s="231"/>
      <c r="AE665" s="244"/>
      <c r="AF665" s="1331"/>
      <c r="AG665" s="1332"/>
      <c r="AH665" s="1332"/>
      <c r="AI665" s="1331"/>
      <c r="AJ665" s="1332"/>
      <c r="AK665" s="1332"/>
      <c r="AL665" s="771"/>
    </row>
    <row r="666" spans="1:38" ht="11.25" customHeight="1">
      <c r="A666" t="s">
        <v>1021</v>
      </c>
      <c r="E666" s="556"/>
      <c r="F666" s="1354"/>
      <c r="G666" s="1326"/>
      <c r="H666" s="1327" t="s">
        <v>1120</v>
      </c>
      <c r="I666" s="1328"/>
      <c r="J666" s="1341"/>
      <c r="K666" s="1330"/>
      <c r="L666" s="1058"/>
      <c r="M666" s="1060"/>
      <c r="N666" s="1333"/>
      <c r="O666" s="1334"/>
      <c r="P666" s="1336"/>
      <c r="Q666" s="1323"/>
      <c r="R666" s="1323"/>
      <c r="S666" s="1338"/>
      <c r="T666" s="1323"/>
      <c r="U666" s="1323"/>
      <c r="V666" s="1323"/>
      <c r="W666" s="1323"/>
      <c r="X666" s="1323"/>
      <c r="Y666" s="1323"/>
      <c r="AA666" s="777">
        <v>1</v>
      </c>
      <c r="AB666" s="778" t="s">
        <v>1127</v>
      </c>
      <c r="AC666" s="236">
        <v>664.32909744333301</v>
      </c>
      <c r="AD666" s="778" t="str">
        <f>AB666</f>
        <v xml:space="preserve">  Средства, полученные за счет платы за подключение (технологическое присоединение)</v>
      </c>
      <c r="AE666" s="236">
        <v>0</v>
      </c>
      <c r="AF666" s="1331"/>
      <c r="AG666" s="1332"/>
      <c r="AH666" s="1332"/>
      <c r="AI666" s="1331"/>
      <c r="AJ666" s="1332"/>
      <c r="AK666" s="1332"/>
      <c r="AL666" s="771"/>
    </row>
    <row r="667" spans="1:38" ht="11.25" customHeight="1">
      <c r="A667" t="s">
        <v>1021</v>
      </c>
      <c r="E667" s="556"/>
      <c r="F667" s="1326"/>
      <c r="G667" s="1326"/>
      <c r="H667" s="1326"/>
      <c r="I667" s="1326"/>
      <c r="J667" s="1326"/>
      <c r="K667" s="1326"/>
      <c r="L667" s="1326"/>
      <c r="M667" s="1326"/>
      <c r="N667" s="1326"/>
      <c r="O667" s="1326"/>
      <c r="P667" s="1326"/>
      <c r="Q667" s="1326"/>
      <c r="R667" s="1326"/>
      <c r="S667" s="1326"/>
      <c r="T667" s="1326"/>
      <c r="U667" s="1326"/>
      <c r="V667" s="1326"/>
      <c r="W667" s="1326"/>
      <c r="X667" s="1326"/>
      <c r="Y667" s="1326"/>
      <c r="Z667" s="181" t="s">
        <v>103</v>
      </c>
      <c r="AA667" s="779" t="s">
        <v>102</v>
      </c>
      <c r="AB667" s="778" t="s">
        <v>1142</v>
      </c>
      <c r="AC667" s="236">
        <v>130.082063333333</v>
      </c>
      <c r="AD667" s="778" t="str">
        <f>AB667</f>
        <v xml:space="preserve">  Прочие собственные средства</v>
      </c>
      <c r="AE667" s="236">
        <v>0</v>
      </c>
      <c r="AF667" s="1343"/>
      <c r="AG667" s="1344"/>
      <c r="AH667" s="1344"/>
      <c r="AI667" s="1343"/>
      <c r="AJ667" s="1344"/>
      <c r="AK667" s="1345"/>
      <c r="AL667" s="771"/>
    </row>
    <row r="668" spans="1:38" ht="11.25" customHeight="1">
      <c r="A668" t="s">
        <v>1021</v>
      </c>
      <c r="E668" s="556"/>
      <c r="F668" s="1354"/>
      <c r="G668" s="1326"/>
      <c r="H668" s="1327" t="s">
        <v>1120</v>
      </c>
      <c r="I668" s="1328"/>
      <c r="J668" s="1341"/>
      <c r="K668" s="1330"/>
      <c r="L668" s="1058"/>
      <c r="M668" s="1060"/>
      <c r="N668" s="1333"/>
      <c r="O668" s="1334"/>
      <c r="P668" s="1337"/>
      <c r="Q668" s="1323"/>
      <c r="R668" s="1323"/>
      <c r="S668" s="1338"/>
      <c r="T668" s="1323"/>
      <c r="U668" s="1323"/>
      <c r="V668" s="1323"/>
      <c r="W668" s="1323"/>
      <c r="X668" s="1323"/>
      <c r="Y668" s="1323"/>
      <c r="Z668" s="229"/>
      <c r="AA668" s="230"/>
      <c r="AB668" s="44" t="s">
        <v>1064</v>
      </c>
      <c r="AC668" s="231"/>
      <c r="AD668" s="231"/>
      <c r="AE668" s="245"/>
      <c r="AF668" s="1331"/>
      <c r="AG668" s="1332"/>
      <c r="AH668" s="1332"/>
      <c r="AI668" s="1331"/>
      <c r="AJ668" s="1332"/>
      <c r="AK668" s="1332"/>
      <c r="AL668" s="771"/>
    </row>
    <row r="669" spans="1:38" ht="11.25" customHeight="1">
      <c r="A669" t="s">
        <v>1021</v>
      </c>
      <c r="E669" s="556"/>
      <c r="F669" s="1354"/>
      <c r="G669" s="1326"/>
      <c r="H669" s="1327" t="s">
        <v>1120</v>
      </c>
      <c r="I669" s="1328"/>
      <c r="J669" s="1341"/>
      <c r="K669" s="1330"/>
      <c r="L669" s="1058"/>
      <c r="M669" s="1060"/>
      <c r="N669" s="229"/>
      <c r="O669" s="230"/>
      <c r="P669" s="44" t="s">
        <v>1065</v>
      </c>
      <c r="Q669" s="230"/>
      <c r="R669" s="230"/>
      <c r="S669" s="230"/>
      <c r="T669" s="230"/>
      <c r="U669" s="230"/>
      <c r="V669" s="230"/>
      <c r="W669" s="230"/>
      <c r="X669" s="230"/>
      <c r="Y669" s="230"/>
      <c r="Z669" s="230"/>
      <c r="AA669" s="230"/>
      <c r="AB669" s="230"/>
      <c r="AC669" s="230"/>
      <c r="AD669" s="230"/>
      <c r="AE669" s="246"/>
      <c r="AF669" s="1331"/>
      <c r="AG669" s="1332"/>
      <c r="AH669" s="1332"/>
      <c r="AI669" s="1331"/>
      <c r="AJ669" s="1332"/>
      <c r="AK669" s="1332"/>
      <c r="AL669" s="771"/>
    </row>
    <row r="670" spans="1:38" ht="11.25" customHeight="1">
      <c r="A670" t="s">
        <v>1021</v>
      </c>
      <c r="B670" t="s">
        <v>1122</v>
      </c>
      <c r="E670" s="556"/>
      <c r="F670" s="1354"/>
      <c r="G670" s="1304" t="s">
        <v>103</v>
      </c>
      <c r="H670" s="1327" t="s">
        <v>1155</v>
      </c>
      <c r="I670" s="1328" t="s">
        <v>1123</v>
      </c>
      <c r="J670" s="1341" t="s">
        <v>1124</v>
      </c>
      <c r="K670" s="1330" t="s">
        <v>1156</v>
      </c>
      <c r="L670" s="1058" t="s">
        <v>19</v>
      </c>
      <c r="M670" s="1060"/>
      <c r="N670" s="241"/>
      <c r="O670" s="242" t="s">
        <v>387</v>
      </c>
      <c r="P670" s="243"/>
      <c r="Q670" s="243"/>
      <c r="R670" s="243"/>
      <c r="S670" s="243"/>
      <c r="T670" s="243"/>
      <c r="U670" s="243"/>
      <c r="V670" s="243"/>
      <c r="W670" s="243"/>
      <c r="X670" s="243"/>
      <c r="Y670" s="243"/>
      <c r="Z670" s="243"/>
      <c r="AA670" s="243"/>
      <c r="AB670" s="243"/>
      <c r="AC670" s="243"/>
      <c r="AD670" s="243"/>
      <c r="AE670" s="243"/>
      <c r="AF670" s="1331">
        <v>1</v>
      </c>
      <c r="AG670" s="1332" t="s">
        <v>1055</v>
      </c>
      <c r="AH670" s="1332" t="s">
        <v>1126</v>
      </c>
      <c r="AI670" s="1331">
        <v>1</v>
      </c>
      <c r="AJ670" s="1332" t="s">
        <v>1055</v>
      </c>
      <c r="AK670" s="1332" t="s">
        <v>1126</v>
      </c>
      <c r="AL670" s="771"/>
    </row>
    <row r="671" spans="1:38" ht="11.25" customHeight="1">
      <c r="A671" t="s">
        <v>1021</v>
      </c>
      <c r="E671" s="556"/>
      <c r="F671" s="1354"/>
      <c r="G671" s="1326"/>
      <c r="H671" s="1327" t="s">
        <v>1153</v>
      </c>
      <c r="I671" s="1328"/>
      <c r="J671" s="1341"/>
      <c r="K671" s="1330"/>
      <c r="L671" s="1058"/>
      <c r="M671" s="1060"/>
      <c r="N671" s="1333"/>
      <c r="O671" s="1334">
        <v>1</v>
      </c>
      <c r="P671" s="1335" t="s">
        <v>19</v>
      </c>
      <c r="Q671" s="1323" t="s">
        <v>22</v>
      </c>
      <c r="R671" s="1323" t="s">
        <v>22</v>
      </c>
      <c r="S671" s="1323" t="s">
        <v>22</v>
      </c>
      <c r="T671" s="1323" t="s">
        <v>22</v>
      </c>
      <c r="U671" s="1323" t="s">
        <v>22</v>
      </c>
      <c r="V671" s="1323" t="s">
        <v>22</v>
      </c>
      <c r="W671" s="1323" t="s">
        <v>22</v>
      </c>
      <c r="X671" s="1323" t="s">
        <v>22</v>
      </c>
      <c r="Y671" s="1323"/>
      <c r="Z671" s="229"/>
      <c r="AA671" s="230"/>
      <c r="AB671" s="230"/>
      <c r="AC671" s="231"/>
      <c r="AD671" s="231"/>
      <c r="AE671" s="244"/>
      <c r="AF671" s="1331"/>
      <c r="AG671" s="1332"/>
      <c r="AH671" s="1332"/>
      <c r="AI671" s="1331"/>
      <c r="AJ671" s="1332"/>
      <c r="AK671" s="1332"/>
      <c r="AL671" s="771"/>
    </row>
    <row r="672" spans="1:38" ht="11.25" customHeight="1">
      <c r="A672" t="s">
        <v>1021</v>
      </c>
      <c r="E672" s="556"/>
      <c r="F672" s="1354"/>
      <c r="G672" s="1326"/>
      <c r="H672" s="1327" t="s">
        <v>1153</v>
      </c>
      <c r="I672" s="1328"/>
      <c r="J672" s="1341"/>
      <c r="K672" s="1330"/>
      <c r="L672" s="1058"/>
      <c r="M672" s="1060"/>
      <c r="N672" s="1333"/>
      <c r="O672" s="1334"/>
      <c r="P672" s="1336"/>
      <c r="Q672" s="1323"/>
      <c r="R672" s="1323"/>
      <c r="S672" s="1338"/>
      <c r="T672" s="1323"/>
      <c r="U672" s="1323"/>
      <c r="V672" s="1323"/>
      <c r="W672" s="1323"/>
      <c r="X672" s="1323"/>
      <c r="Y672" s="1323"/>
      <c r="AA672" s="777">
        <v>1</v>
      </c>
      <c r="AB672" s="778" t="s">
        <v>1127</v>
      </c>
      <c r="AC672" s="236">
        <v>499.02939848333301</v>
      </c>
      <c r="AD672" s="778" t="str">
        <f>AB672</f>
        <v xml:space="preserve">  Средства, полученные за счет платы за подключение (технологическое присоединение)</v>
      </c>
      <c r="AE672" s="236">
        <v>429.74779999999998</v>
      </c>
      <c r="AF672" s="1331"/>
      <c r="AG672" s="1332"/>
      <c r="AH672" s="1332"/>
      <c r="AI672" s="1331"/>
      <c r="AJ672" s="1332"/>
      <c r="AK672" s="1332"/>
      <c r="AL672" s="771"/>
    </row>
    <row r="673" spans="1:38" ht="11.25" customHeight="1">
      <c r="A673" t="s">
        <v>1021</v>
      </c>
      <c r="E673" s="556"/>
      <c r="F673" s="1326"/>
      <c r="G673" s="1326"/>
      <c r="H673" s="1326"/>
      <c r="I673" s="1326"/>
      <c r="J673" s="1326"/>
      <c r="K673" s="1326"/>
      <c r="L673" s="1326"/>
      <c r="M673" s="1326"/>
      <c r="N673" s="1326"/>
      <c r="O673" s="1326"/>
      <c r="P673" s="1326"/>
      <c r="Q673" s="1326"/>
      <c r="R673" s="1326"/>
      <c r="S673" s="1326"/>
      <c r="T673" s="1326"/>
      <c r="U673" s="1326"/>
      <c r="V673" s="1326"/>
      <c r="W673" s="1326"/>
      <c r="X673" s="1326"/>
      <c r="Y673" s="1326"/>
      <c r="Z673" s="181" t="s">
        <v>103</v>
      </c>
      <c r="AA673" s="779" t="s">
        <v>102</v>
      </c>
      <c r="AB673" s="778" t="s">
        <v>1142</v>
      </c>
      <c r="AC673" s="236">
        <v>97.714783333333202</v>
      </c>
      <c r="AD673" s="778" t="str">
        <f>AB673</f>
        <v xml:space="preserve">  Прочие собственные средства</v>
      </c>
      <c r="AE673" s="236">
        <v>52.878760000000099</v>
      </c>
      <c r="AF673" s="1343"/>
      <c r="AG673" s="1344"/>
      <c r="AH673" s="1344"/>
      <c r="AI673" s="1343"/>
      <c r="AJ673" s="1344"/>
      <c r="AK673" s="1345"/>
      <c r="AL673" s="771"/>
    </row>
    <row r="674" spans="1:38" ht="11.25" customHeight="1">
      <c r="A674" t="s">
        <v>1021</v>
      </c>
      <c r="E674" s="556"/>
      <c r="F674" s="1354"/>
      <c r="G674" s="1326"/>
      <c r="H674" s="1327" t="s">
        <v>1153</v>
      </c>
      <c r="I674" s="1328"/>
      <c r="J674" s="1341"/>
      <c r="K674" s="1330"/>
      <c r="L674" s="1058"/>
      <c r="M674" s="1060"/>
      <c r="N674" s="1333"/>
      <c r="O674" s="1334"/>
      <c r="P674" s="1337"/>
      <c r="Q674" s="1323"/>
      <c r="R674" s="1323"/>
      <c r="S674" s="1338"/>
      <c r="T674" s="1323"/>
      <c r="U674" s="1323"/>
      <c r="V674" s="1323"/>
      <c r="W674" s="1323"/>
      <c r="X674" s="1323"/>
      <c r="Y674" s="1323"/>
      <c r="Z674" s="229"/>
      <c r="AA674" s="230"/>
      <c r="AB674" s="44" t="s">
        <v>1064</v>
      </c>
      <c r="AC674" s="231"/>
      <c r="AD674" s="231"/>
      <c r="AE674" s="245"/>
      <c r="AF674" s="1331"/>
      <c r="AG674" s="1332"/>
      <c r="AH674" s="1332"/>
      <c r="AI674" s="1331"/>
      <c r="AJ674" s="1332"/>
      <c r="AK674" s="1332"/>
      <c r="AL674" s="771"/>
    </row>
    <row r="675" spans="1:38" ht="11.25" customHeight="1">
      <c r="A675" t="s">
        <v>1021</v>
      </c>
      <c r="E675" s="556"/>
      <c r="F675" s="1354"/>
      <c r="G675" s="1326"/>
      <c r="H675" s="1327" t="s">
        <v>1153</v>
      </c>
      <c r="I675" s="1328"/>
      <c r="J675" s="1341"/>
      <c r="K675" s="1330"/>
      <c r="L675" s="1058"/>
      <c r="M675" s="1060"/>
      <c r="N675" s="229"/>
      <c r="O675" s="230"/>
      <c r="P675" s="44" t="s">
        <v>1065</v>
      </c>
      <c r="Q675" s="230"/>
      <c r="R675" s="230"/>
      <c r="S675" s="230"/>
      <c r="T675" s="230"/>
      <c r="U675" s="230"/>
      <c r="V675" s="230"/>
      <c r="W675" s="230"/>
      <c r="X675" s="230"/>
      <c r="Y675" s="230"/>
      <c r="Z675" s="230"/>
      <c r="AA675" s="230"/>
      <c r="AB675" s="230"/>
      <c r="AC675" s="230"/>
      <c r="AD675" s="230"/>
      <c r="AE675" s="246"/>
      <c r="AF675" s="1331"/>
      <c r="AG675" s="1332"/>
      <c r="AH675" s="1332"/>
      <c r="AI675" s="1331"/>
      <c r="AJ675" s="1332"/>
      <c r="AK675" s="1332"/>
      <c r="AL675" s="771"/>
    </row>
    <row r="676" spans="1:38" ht="11.25" customHeight="1">
      <c r="A676" t="s">
        <v>1021</v>
      </c>
      <c r="B676" t="s">
        <v>1122</v>
      </c>
      <c r="E676" s="556"/>
      <c r="F676" s="1354"/>
      <c r="G676" s="1304" t="s">
        <v>103</v>
      </c>
      <c r="H676" s="1327" t="s">
        <v>1157</v>
      </c>
      <c r="I676" s="1328" t="s">
        <v>1123</v>
      </c>
      <c r="J676" s="1341" t="s">
        <v>1124</v>
      </c>
      <c r="K676" s="1330" t="s">
        <v>1158</v>
      </c>
      <c r="L676" s="1058" t="s">
        <v>19</v>
      </c>
      <c r="M676" s="1060"/>
      <c r="N676" s="241"/>
      <c r="O676" s="242" t="s">
        <v>387</v>
      </c>
      <c r="P676" s="243"/>
      <c r="Q676" s="243"/>
      <c r="R676" s="243"/>
      <c r="S676" s="243"/>
      <c r="T676" s="243"/>
      <c r="U676" s="243"/>
      <c r="V676" s="243"/>
      <c r="W676" s="243"/>
      <c r="X676" s="243"/>
      <c r="Y676" s="243"/>
      <c r="Z676" s="243"/>
      <c r="AA676" s="243"/>
      <c r="AB676" s="243"/>
      <c r="AC676" s="243"/>
      <c r="AD676" s="243"/>
      <c r="AE676" s="243"/>
      <c r="AF676" s="1331">
        <v>1</v>
      </c>
      <c r="AG676" s="1332" t="s">
        <v>1055</v>
      </c>
      <c r="AH676" s="1332" t="s">
        <v>1126</v>
      </c>
      <c r="AI676" s="1331">
        <v>1</v>
      </c>
      <c r="AJ676" s="1332" t="s">
        <v>1055</v>
      </c>
      <c r="AK676" s="1332" t="s">
        <v>1126</v>
      </c>
      <c r="AL676" s="771"/>
    </row>
    <row r="677" spans="1:38" ht="11.25" customHeight="1">
      <c r="A677" t="s">
        <v>1021</v>
      </c>
      <c r="E677" s="556"/>
      <c r="F677" s="1354"/>
      <c r="G677" s="1326"/>
      <c r="H677" s="1327" t="s">
        <v>1155</v>
      </c>
      <c r="I677" s="1328"/>
      <c r="J677" s="1341"/>
      <c r="K677" s="1330"/>
      <c r="L677" s="1058"/>
      <c r="M677" s="1060"/>
      <c r="N677" s="1333"/>
      <c r="O677" s="1334">
        <v>1</v>
      </c>
      <c r="P677" s="1335" t="s">
        <v>19</v>
      </c>
      <c r="Q677" s="1323" t="s">
        <v>22</v>
      </c>
      <c r="R677" s="1323" t="s">
        <v>22</v>
      </c>
      <c r="S677" s="1323" t="s">
        <v>22</v>
      </c>
      <c r="T677" s="1323" t="s">
        <v>22</v>
      </c>
      <c r="U677" s="1323" t="s">
        <v>22</v>
      </c>
      <c r="V677" s="1323" t="s">
        <v>22</v>
      </c>
      <c r="W677" s="1323" t="s">
        <v>22</v>
      </c>
      <c r="X677" s="1323" t="s">
        <v>22</v>
      </c>
      <c r="Y677" s="1323"/>
      <c r="Z677" s="229"/>
      <c r="AA677" s="230"/>
      <c r="AB677" s="230"/>
      <c r="AC677" s="231"/>
      <c r="AD677" s="231"/>
      <c r="AE677" s="244"/>
      <c r="AF677" s="1331"/>
      <c r="AG677" s="1332"/>
      <c r="AH677" s="1332"/>
      <c r="AI677" s="1331"/>
      <c r="AJ677" s="1332"/>
      <c r="AK677" s="1332"/>
      <c r="AL677" s="771"/>
    </row>
    <row r="678" spans="1:38" ht="11.25" customHeight="1">
      <c r="A678" t="s">
        <v>1021</v>
      </c>
      <c r="E678" s="556"/>
      <c r="F678" s="1354"/>
      <c r="G678" s="1326"/>
      <c r="H678" s="1327" t="s">
        <v>1155</v>
      </c>
      <c r="I678" s="1328"/>
      <c r="J678" s="1341"/>
      <c r="K678" s="1330"/>
      <c r="L678" s="1058"/>
      <c r="M678" s="1060"/>
      <c r="N678" s="1333"/>
      <c r="O678" s="1334"/>
      <c r="P678" s="1336"/>
      <c r="Q678" s="1323"/>
      <c r="R678" s="1323"/>
      <c r="S678" s="1338"/>
      <c r="T678" s="1323"/>
      <c r="U678" s="1323"/>
      <c r="V678" s="1323"/>
      <c r="W678" s="1323"/>
      <c r="X678" s="1323"/>
      <c r="Y678" s="1323"/>
      <c r="AA678" s="777">
        <v>1</v>
      </c>
      <c r="AB678" s="778" t="s">
        <v>1127</v>
      </c>
      <c r="AC678" s="236">
        <v>6670.4035267333302</v>
      </c>
      <c r="AD678" s="778" t="str">
        <f>AB678</f>
        <v xml:space="preserve">  Средства, полученные за счет платы за подключение (технологическое присоединение)</v>
      </c>
      <c r="AE678" s="236">
        <v>6094.8196900000003</v>
      </c>
      <c r="AF678" s="1331"/>
      <c r="AG678" s="1332"/>
      <c r="AH678" s="1332"/>
      <c r="AI678" s="1331"/>
      <c r="AJ678" s="1332"/>
      <c r="AK678" s="1332"/>
      <c r="AL678" s="771"/>
    </row>
    <row r="679" spans="1:38" ht="11.25" customHeight="1">
      <c r="A679" t="s">
        <v>1021</v>
      </c>
      <c r="E679" s="556"/>
      <c r="F679" s="1326"/>
      <c r="G679" s="1326"/>
      <c r="H679" s="1326"/>
      <c r="I679" s="1326"/>
      <c r="J679" s="1326"/>
      <c r="K679" s="1326"/>
      <c r="L679" s="1326"/>
      <c r="M679" s="1326"/>
      <c r="N679" s="1326"/>
      <c r="O679" s="1326"/>
      <c r="P679" s="1326"/>
      <c r="Q679" s="1326"/>
      <c r="R679" s="1326"/>
      <c r="S679" s="1326"/>
      <c r="T679" s="1326"/>
      <c r="U679" s="1326"/>
      <c r="V679" s="1326"/>
      <c r="W679" s="1326"/>
      <c r="X679" s="1326"/>
      <c r="Y679" s="1326"/>
      <c r="Z679" s="181" t="s">
        <v>103</v>
      </c>
      <c r="AA679" s="779" t="s">
        <v>102</v>
      </c>
      <c r="AB679" s="778" t="s">
        <v>1142</v>
      </c>
      <c r="AC679" s="236">
        <v>1306.1295333333401</v>
      </c>
      <c r="AD679" s="778" t="str">
        <f>AB679</f>
        <v xml:space="preserve">  Прочие собственные средства</v>
      </c>
      <c r="AE679" s="236">
        <v>1068.26457</v>
      </c>
      <c r="AF679" s="1343"/>
      <c r="AG679" s="1344"/>
      <c r="AH679" s="1344"/>
      <c r="AI679" s="1343"/>
      <c r="AJ679" s="1344"/>
      <c r="AK679" s="1345"/>
      <c r="AL679" s="771"/>
    </row>
    <row r="680" spans="1:38" ht="11.25" customHeight="1">
      <c r="A680" t="s">
        <v>1021</v>
      </c>
      <c r="E680" s="556"/>
      <c r="F680" s="1354"/>
      <c r="G680" s="1326"/>
      <c r="H680" s="1327" t="s">
        <v>1155</v>
      </c>
      <c r="I680" s="1328"/>
      <c r="J680" s="1341"/>
      <c r="K680" s="1330"/>
      <c r="L680" s="1058"/>
      <c r="M680" s="1060"/>
      <c r="N680" s="1333"/>
      <c r="O680" s="1334"/>
      <c r="P680" s="1337"/>
      <c r="Q680" s="1323"/>
      <c r="R680" s="1323"/>
      <c r="S680" s="1338"/>
      <c r="T680" s="1323"/>
      <c r="U680" s="1323"/>
      <c r="V680" s="1323"/>
      <c r="W680" s="1323"/>
      <c r="X680" s="1323"/>
      <c r="Y680" s="1323"/>
      <c r="Z680" s="229"/>
      <c r="AA680" s="230"/>
      <c r="AB680" s="44" t="s">
        <v>1064</v>
      </c>
      <c r="AC680" s="231"/>
      <c r="AD680" s="231"/>
      <c r="AE680" s="245"/>
      <c r="AF680" s="1331"/>
      <c r="AG680" s="1332"/>
      <c r="AH680" s="1332"/>
      <c r="AI680" s="1331"/>
      <c r="AJ680" s="1332"/>
      <c r="AK680" s="1332"/>
      <c r="AL680" s="771"/>
    </row>
    <row r="681" spans="1:38" ht="11.25" customHeight="1">
      <c r="A681" t="s">
        <v>1021</v>
      </c>
      <c r="E681" s="556"/>
      <c r="F681" s="1354"/>
      <c r="G681" s="1326"/>
      <c r="H681" s="1327" t="s">
        <v>1155</v>
      </c>
      <c r="I681" s="1328"/>
      <c r="J681" s="1341"/>
      <c r="K681" s="1330"/>
      <c r="L681" s="1058"/>
      <c r="M681" s="1060"/>
      <c r="N681" s="229"/>
      <c r="O681" s="230"/>
      <c r="P681" s="44" t="s">
        <v>1065</v>
      </c>
      <c r="Q681" s="230"/>
      <c r="R681" s="230"/>
      <c r="S681" s="230"/>
      <c r="T681" s="230"/>
      <c r="U681" s="230"/>
      <c r="V681" s="230"/>
      <c r="W681" s="230"/>
      <c r="X681" s="230"/>
      <c r="Y681" s="230"/>
      <c r="Z681" s="230"/>
      <c r="AA681" s="230"/>
      <c r="AB681" s="230"/>
      <c r="AC681" s="230"/>
      <c r="AD681" s="230"/>
      <c r="AE681" s="246"/>
      <c r="AF681" s="1331"/>
      <c r="AG681" s="1332"/>
      <c r="AH681" s="1332"/>
      <c r="AI681" s="1331"/>
      <c r="AJ681" s="1332"/>
      <c r="AK681" s="1332"/>
      <c r="AL681" s="771"/>
    </row>
    <row r="682" spans="1:38" ht="11.25" customHeight="1">
      <c r="A682" t="s">
        <v>1021</v>
      </c>
      <c r="B682" t="s">
        <v>1122</v>
      </c>
      <c r="E682" s="556"/>
      <c r="F682" s="1354"/>
      <c r="G682" s="1304" t="s">
        <v>103</v>
      </c>
      <c r="H682" s="1327" t="s">
        <v>1159</v>
      </c>
      <c r="I682" s="1328" t="s">
        <v>1123</v>
      </c>
      <c r="J682" s="1341" t="s">
        <v>1124</v>
      </c>
      <c r="K682" s="1330" t="s">
        <v>1160</v>
      </c>
      <c r="L682" s="1058" t="s">
        <v>19</v>
      </c>
      <c r="M682" s="1060"/>
      <c r="N682" s="241"/>
      <c r="O682" s="242" t="s">
        <v>387</v>
      </c>
      <c r="P682" s="243"/>
      <c r="Q682" s="243"/>
      <c r="R682" s="243"/>
      <c r="S682" s="243"/>
      <c r="T682" s="243"/>
      <c r="U682" s="243"/>
      <c r="V682" s="243"/>
      <c r="W682" s="243"/>
      <c r="X682" s="243"/>
      <c r="Y682" s="243"/>
      <c r="Z682" s="243"/>
      <c r="AA682" s="243"/>
      <c r="AB682" s="243"/>
      <c r="AC682" s="243"/>
      <c r="AD682" s="243"/>
      <c r="AE682" s="243"/>
      <c r="AF682" s="1331">
        <v>1</v>
      </c>
      <c r="AG682" s="1332" t="s">
        <v>1055</v>
      </c>
      <c r="AH682" s="1332" t="s">
        <v>1126</v>
      </c>
      <c r="AI682" s="1331">
        <v>1</v>
      </c>
      <c r="AJ682" s="1332" t="s">
        <v>1055</v>
      </c>
      <c r="AK682" s="1332" t="s">
        <v>1126</v>
      </c>
      <c r="AL682" s="771"/>
    </row>
    <row r="683" spans="1:38" ht="11.25" customHeight="1">
      <c r="A683" t="s">
        <v>1021</v>
      </c>
      <c r="E683" s="556"/>
      <c r="F683" s="1354"/>
      <c r="G683" s="1326"/>
      <c r="H683" s="1327" t="s">
        <v>1157</v>
      </c>
      <c r="I683" s="1328"/>
      <c r="J683" s="1341"/>
      <c r="K683" s="1330"/>
      <c r="L683" s="1058"/>
      <c r="M683" s="1060"/>
      <c r="N683" s="1333"/>
      <c r="O683" s="1334">
        <v>1</v>
      </c>
      <c r="P683" s="1335" t="s">
        <v>19</v>
      </c>
      <c r="Q683" s="1323" t="s">
        <v>22</v>
      </c>
      <c r="R683" s="1323" t="s">
        <v>22</v>
      </c>
      <c r="S683" s="1323" t="s">
        <v>22</v>
      </c>
      <c r="T683" s="1323" t="s">
        <v>22</v>
      </c>
      <c r="U683" s="1323" t="s">
        <v>22</v>
      </c>
      <c r="V683" s="1323" t="s">
        <v>22</v>
      </c>
      <c r="W683" s="1323" t="s">
        <v>22</v>
      </c>
      <c r="X683" s="1323" t="s">
        <v>22</v>
      </c>
      <c r="Y683" s="1323"/>
      <c r="Z683" s="229"/>
      <c r="AA683" s="230"/>
      <c r="AB683" s="230"/>
      <c r="AC683" s="231"/>
      <c r="AD683" s="231"/>
      <c r="AE683" s="244"/>
      <c r="AF683" s="1331"/>
      <c r="AG683" s="1332"/>
      <c r="AH683" s="1332"/>
      <c r="AI683" s="1331"/>
      <c r="AJ683" s="1332"/>
      <c r="AK683" s="1332"/>
      <c r="AL683" s="771"/>
    </row>
    <row r="684" spans="1:38" ht="11.25" customHeight="1">
      <c r="A684" t="s">
        <v>1021</v>
      </c>
      <c r="E684" s="556"/>
      <c r="F684" s="1354"/>
      <c r="G684" s="1326"/>
      <c r="H684" s="1327" t="s">
        <v>1157</v>
      </c>
      <c r="I684" s="1328"/>
      <c r="J684" s="1341"/>
      <c r="K684" s="1330"/>
      <c r="L684" s="1058"/>
      <c r="M684" s="1060"/>
      <c r="N684" s="1333"/>
      <c r="O684" s="1334"/>
      <c r="P684" s="1336"/>
      <c r="Q684" s="1323"/>
      <c r="R684" s="1323"/>
      <c r="S684" s="1338"/>
      <c r="T684" s="1323"/>
      <c r="U684" s="1323"/>
      <c r="V684" s="1323"/>
      <c r="W684" s="1323"/>
      <c r="X684" s="1323"/>
      <c r="Y684" s="1323"/>
      <c r="AA684" s="777">
        <v>1</v>
      </c>
      <c r="AB684" s="778" t="s">
        <v>1127</v>
      </c>
      <c r="AC684" s="236">
        <v>13279.570378333299</v>
      </c>
      <c r="AD684" s="778" t="str">
        <f>AB684</f>
        <v xml:space="preserve">  Средства, полученные за счет платы за подключение (технологическое присоединение)</v>
      </c>
      <c r="AE684" s="236">
        <v>60.163969999999999</v>
      </c>
      <c r="AF684" s="1331"/>
      <c r="AG684" s="1332"/>
      <c r="AH684" s="1332"/>
      <c r="AI684" s="1331"/>
      <c r="AJ684" s="1332"/>
      <c r="AK684" s="1332"/>
      <c r="AL684" s="771"/>
    </row>
    <row r="685" spans="1:38" ht="11.25" customHeight="1">
      <c r="A685" t="s">
        <v>1021</v>
      </c>
      <c r="E685" s="556"/>
      <c r="F685" s="1326"/>
      <c r="G685" s="1326"/>
      <c r="H685" s="1326"/>
      <c r="I685" s="1326"/>
      <c r="J685" s="1326"/>
      <c r="K685" s="1326"/>
      <c r="L685" s="1326"/>
      <c r="M685" s="1326"/>
      <c r="N685" s="1326"/>
      <c r="O685" s="1326"/>
      <c r="P685" s="1326"/>
      <c r="Q685" s="1326"/>
      <c r="R685" s="1326"/>
      <c r="S685" s="1326"/>
      <c r="T685" s="1326"/>
      <c r="U685" s="1326"/>
      <c r="V685" s="1326"/>
      <c r="W685" s="1326"/>
      <c r="X685" s="1326"/>
      <c r="Y685" s="1326"/>
      <c r="Z685" s="181" t="s">
        <v>103</v>
      </c>
      <c r="AA685" s="779" t="s">
        <v>102</v>
      </c>
      <c r="AB685" s="778" t="s">
        <v>1142</v>
      </c>
      <c r="AC685" s="236">
        <v>2600.2683333333298</v>
      </c>
      <c r="AD685" s="778" t="str">
        <f>AB685</f>
        <v xml:space="preserve">  Прочие собственные средства</v>
      </c>
      <c r="AE685" s="236">
        <v>8.4450299999999991</v>
      </c>
      <c r="AF685" s="1343"/>
      <c r="AG685" s="1344"/>
      <c r="AH685" s="1344"/>
      <c r="AI685" s="1343"/>
      <c r="AJ685" s="1344"/>
      <c r="AK685" s="1345"/>
      <c r="AL685" s="771"/>
    </row>
    <row r="686" spans="1:38" ht="11.25" customHeight="1">
      <c r="A686" t="s">
        <v>1021</v>
      </c>
      <c r="E686" s="556"/>
      <c r="F686" s="1354"/>
      <c r="G686" s="1326"/>
      <c r="H686" s="1327" t="s">
        <v>1157</v>
      </c>
      <c r="I686" s="1328"/>
      <c r="J686" s="1341"/>
      <c r="K686" s="1330"/>
      <c r="L686" s="1058"/>
      <c r="M686" s="1060"/>
      <c r="N686" s="1333"/>
      <c r="O686" s="1334"/>
      <c r="P686" s="1337"/>
      <c r="Q686" s="1323"/>
      <c r="R686" s="1323"/>
      <c r="S686" s="1338"/>
      <c r="T686" s="1323"/>
      <c r="U686" s="1323"/>
      <c r="V686" s="1323"/>
      <c r="W686" s="1323"/>
      <c r="X686" s="1323"/>
      <c r="Y686" s="1323"/>
      <c r="Z686" s="229"/>
      <c r="AA686" s="230"/>
      <c r="AB686" s="44" t="s">
        <v>1064</v>
      </c>
      <c r="AC686" s="231"/>
      <c r="AD686" s="231"/>
      <c r="AE686" s="245"/>
      <c r="AF686" s="1331"/>
      <c r="AG686" s="1332"/>
      <c r="AH686" s="1332"/>
      <c r="AI686" s="1331"/>
      <c r="AJ686" s="1332"/>
      <c r="AK686" s="1332"/>
      <c r="AL686" s="771"/>
    </row>
    <row r="687" spans="1:38" ht="11.25" customHeight="1">
      <c r="A687" t="s">
        <v>1021</v>
      </c>
      <c r="E687" s="556"/>
      <c r="F687" s="1354"/>
      <c r="G687" s="1326"/>
      <c r="H687" s="1327" t="s">
        <v>1157</v>
      </c>
      <c r="I687" s="1328"/>
      <c r="J687" s="1341"/>
      <c r="K687" s="1330"/>
      <c r="L687" s="1058"/>
      <c r="M687" s="1060"/>
      <c r="N687" s="229"/>
      <c r="O687" s="230"/>
      <c r="P687" s="44" t="s">
        <v>1065</v>
      </c>
      <c r="Q687" s="230"/>
      <c r="R687" s="230"/>
      <c r="S687" s="230"/>
      <c r="T687" s="230"/>
      <c r="U687" s="230"/>
      <c r="V687" s="230"/>
      <c r="W687" s="230"/>
      <c r="X687" s="230"/>
      <c r="Y687" s="230"/>
      <c r="Z687" s="230"/>
      <c r="AA687" s="230"/>
      <c r="AB687" s="230"/>
      <c r="AC687" s="230"/>
      <c r="AD687" s="230"/>
      <c r="AE687" s="246"/>
      <c r="AF687" s="1331"/>
      <c r="AG687" s="1332"/>
      <c r="AH687" s="1332"/>
      <c r="AI687" s="1331"/>
      <c r="AJ687" s="1332"/>
      <c r="AK687" s="1332"/>
      <c r="AL687" s="771"/>
    </row>
    <row r="688" spans="1:38" ht="11.25" customHeight="1">
      <c r="A688" t="s">
        <v>1021</v>
      </c>
      <c r="B688" t="s">
        <v>1122</v>
      </c>
      <c r="E688" s="556"/>
      <c r="F688" s="1354"/>
      <c r="G688" s="1304" t="s">
        <v>103</v>
      </c>
      <c r="H688" s="1327" t="s">
        <v>1161</v>
      </c>
      <c r="I688" s="1328" t="s">
        <v>1123</v>
      </c>
      <c r="J688" s="1341" t="s">
        <v>1124</v>
      </c>
      <c r="K688" s="1330" t="s">
        <v>1162</v>
      </c>
      <c r="L688" s="1058" t="s">
        <v>19</v>
      </c>
      <c r="M688" s="1060"/>
      <c r="N688" s="241"/>
      <c r="O688" s="242" t="s">
        <v>387</v>
      </c>
      <c r="P688" s="243"/>
      <c r="Q688" s="243"/>
      <c r="R688" s="243"/>
      <c r="S688" s="243"/>
      <c r="T688" s="243"/>
      <c r="U688" s="243"/>
      <c r="V688" s="243"/>
      <c r="W688" s="243"/>
      <c r="X688" s="243"/>
      <c r="Y688" s="243"/>
      <c r="Z688" s="243"/>
      <c r="AA688" s="243"/>
      <c r="AB688" s="243"/>
      <c r="AC688" s="243"/>
      <c r="AD688" s="243"/>
      <c r="AE688" s="243"/>
      <c r="AF688" s="1331">
        <v>1</v>
      </c>
      <c r="AG688" s="1332" t="s">
        <v>1055</v>
      </c>
      <c r="AH688" s="1332" t="s">
        <v>1126</v>
      </c>
      <c r="AI688" s="1331">
        <v>1</v>
      </c>
      <c r="AJ688" s="1332" t="s">
        <v>1055</v>
      </c>
      <c r="AK688" s="1332" t="s">
        <v>1126</v>
      </c>
      <c r="AL688" s="771"/>
    </row>
    <row r="689" spans="1:38" ht="11.25" customHeight="1">
      <c r="A689" t="s">
        <v>1021</v>
      </c>
      <c r="E689" s="556"/>
      <c r="F689" s="1354"/>
      <c r="G689" s="1326"/>
      <c r="H689" s="1327" t="s">
        <v>1159</v>
      </c>
      <c r="I689" s="1328"/>
      <c r="J689" s="1341"/>
      <c r="K689" s="1330"/>
      <c r="L689" s="1058"/>
      <c r="M689" s="1060"/>
      <c r="N689" s="1333"/>
      <c r="O689" s="1334">
        <v>1</v>
      </c>
      <c r="P689" s="1335" t="s">
        <v>19</v>
      </c>
      <c r="Q689" s="1323" t="s">
        <v>22</v>
      </c>
      <c r="R689" s="1323" t="s">
        <v>22</v>
      </c>
      <c r="S689" s="1323" t="s">
        <v>22</v>
      </c>
      <c r="T689" s="1323" t="s">
        <v>22</v>
      </c>
      <c r="U689" s="1323" t="s">
        <v>22</v>
      </c>
      <c r="V689" s="1323" t="s">
        <v>22</v>
      </c>
      <c r="W689" s="1323" t="s">
        <v>22</v>
      </c>
      <c r="X689" s="1323" t="s">
        <v>22</v>
      </c>
      <c r="Y689" s="1323"/>
      <c r="Z689" s="229"/>
      <c r="AA689" s="230"/>
      <c r="AB689" s="230"/>
      <c r="AC689" s="231"/>
      <c r="AD689" s="231"/>
      <c r="AE689" s="244"/>
      <c r="AF689" s="1331"/>
      <c r="AG689" s="1332"/>
      <c r="AH689" s="1332"/>
      <c r="AI689" s="1331"/>
      <c r="AJ689" s="1332"/>
      <c r="AK689" s="1332"/>
      <c r="AL689" s="771"/>
    </row>
    <row r="690" spans="1:38" ht="11.25" customHeight="1">
      <c r="A690" t="s">
        <v>1021</v>
      </c>
      <c r="E690" s="556"/>
      <c r="F690" s="1354"/>
      <c r="G690" s="1326"/>
      <c r="H690" s="1327" t="s">
        <v>1159</v>
      </c>
      <c r="I690" s="1328"/>
      <c r="J690" s="1341"/>
      <c r="K690" s="1330"/>
      <c r="L690" s="1058"/>
      <c r="M690" s="1060"/>
      <c r="N690" s="1333"/>
      <c r="O690" s="1334"/>
      <c r="P690" s="1336"/>
      <c r="Q690" s="1323"/>
      <c r="R690" s="1323"/>
      <c r="S690" s="1338"/>
      <c r="T690" s="1323"/>
      <c r="U690" s="1323"/>
      <c r="V690" s="1323"/>
      <c r="W690" s="1323"/>
      <c r="X690" s="1323"/>
      <c r="Y690" s="1323"/>
      <c r="AA690" s="777">
        <v>1</v>
      </c>
      <c r="AB690" s="778" t="s">
        <v>1127</v>
      </c>
      <c r="AC690" s="236">
        <v>3113.9415501366698</v>
      </c>
      <c r="AD690" s="778" t="str">
        <f>AB690</f>
        <v xml:space="preserve">  Средства, полученные за счет платы за подключение (технологическое присоединение)</v>
      </c>
      <c r="AE690" s="236">
        <v>2151.85581</v>
      </c>
      <c r="AF690" s="1331"/>
      <c r="AG690" s="1332"/>
      <c r="AH690" s="1332"/>
      <c r="AI690" s="1331"/>
      <c r="AJ690" s="1332"/>
      <c r="AK690" s="1332"/>
      <c r="AL690" s="771"/>
    </row>
    <row r="691" spans="1:38" ht="11.25" customHeight="1">
      <c r="A691" t="s">
        <v>1021</v>
      </c>
      <c r="E691" s="556"/>
      <c r="F691" s="1326"/>
      <c r="G691" s="1326"/>
      <c r="H691" s="1326"/>
      <c r="I691" s="1326"/>
      <c r="J691" s="1326"/>
      <c r="K691" s="1326"/>
      <c r="L691" s="1326"/>
      <c r="M691" s="1326"/>
      <c r="N691" s="1326"/>
      <c r="O691" s="1326"/>
      <c r="P691" s="1326"/>
      <c r="Q691" s="1326"/>
      <c r="R691" s="1326"/>
      <c r="S691" s="1326"/>
      <c r="T691" s="1326"/>
      <c r="U691" s="1326"/>
      <c r="V691" s="1326"/>
      <c r="W691" s="1326"/>
      <c r="X691" s="1326"/>
      <c r="Y691" s="1326"/>
      <c r="Z691" s="181" t="s">
        <v>103</v>
      </c>
      <c r="AA691" s="779" t="s">
        <v>102</v>
      </c>
      <c r="AB691" s="778" t="s">
        <v>1142</v>
      </c>
      <c r="AC691" s="236">
        <v>609.73987666666699</v>
      </c>
      <c r="AD691" s="778" t="str">
        <f>AB691</f>
        <v xml:space="preserve">  Прочие собственные средства</v>
      </c>
      <c r="AE691" s="236">
        <v>325.71778999999998</v>
      </c>
      <c r="AF691" s="1343"/>
      <c r="AG691" s="1344"/>
      <c r="AH691" s="1344"/>
      <c r="AI691" s="1343"/>
      <c r="AJ691" s="1344"/>
      <c r="AK691" s="1345"/>
      <c r="AL691" s="771"/>
    </row>
    <row r="692" spans="1:38" ht="11.25" customHeight="1">
      <c r="A692" t="s">
        <v>1021</v>
      </c>
      <c r="E692" s="556"/>
      <c r="F692" s="1354"/>
      <c r="G692" s="1326"/>
      <c r="H692" s="1327" t="s">
        <v>1159</v>
      </c>
      <c r="I692" s="1328"/>
      <c r="J692" s="1341"/>
      <c r="K692" s="1330"/>
      <c r="L692" s="1058"/>
      <c r="M692" s="1060"/>
      <c r="N692" s="1333"/>
      <c r="O692" s="1334"/>
      <c r="P692" s="1337"/>
      <c r="Q692" s="1323"/>
      <c r="R692" s="1323"/>
      <c r="S692" s="1338"/>
      <c r="T692" s="1323"/>
      <c r="U692" s="1323"/>
      <c r="V692" s="1323"/>
      <c r="W692" s="1323"/>
      <c r="X692" s="1323"/>
      <c r="Y692" s="1323"/>
      <c r="Z692" s="229"/>
      <c r="AA692" s="230"/>
      <c r="AB692" s="44" t="s">
        <v>1064</v>
      </c>
      <c r="AC692" s="231"/>
      <c r="AD692" s="231"/>
      <c r="AE692" s="245"/>
      <c r="AF692" s="1331"/>
      <c r="AG692" s="1332"/>
      <c r="AH692" s="1332"/>
      <c r="AI692" s="1331"/>
      <c r="AJ692" s="1332"/>
      <c r="AK692" s="1332"/>
      <c r="AL692" s="771"/>
    </row>
    <row r="693" spans="1:38" ht="11.25" customHeight="1">
      <c r="A693" t="s">
        <v>1021</v>
      </c>
      <c r="E693" s="556"/>
      <c r="F693" s="1354"/>
      <c r="G693" s="1326"/>
      <c r="H693" s="1327" t="s">
        <v>1159</v>
      </c>
      <c r="I693" s="1328"/>
      <c r="J693" s="1341"/>
      <c r="K693" s="1330"/>
      <c r="L693" s="1058"/>
      <c r="M693" s="1060"/>
      <c r="N693" s="229"/>
      <c r="O693" s="230"/>
      <c r="P693" s="44" t="s">
        <v>1065</v>
      </c>
      <c r="Q693" s="230"/>
      <c r="R693" s="230"/>
      <c r="S693" s="230"/>
      <c r="T693" s="230"/>
      <c r="U693" s="230"/>
      <c r="V693" s="230"/>
      <c r="W693" s="230"/>
      <c r="X693" s="230"/>
      <c r="Y693" s="230"/>
      <c r="Z693" s="230"/>
      <c r="AA693" s="230"/>
      <c r="AB693" s="230"/>
      <c r="AC693" s="230"/>
      <c r="AD693" s="230"/>
      <c r="AE693" s="246"/>
      <c r="AF693" s="1331"/>
      <c r="AG693" s="1332"/>
      <c r="AH693" s="1332"/>
      <c r="AI693" s="1331"/>
      <c r="AJ693" s="1332"/>
      <c r="AK693" s="1332"/>
      <c r="AL693" s="771"/>
    </row>
    <row r="694" spans="1:38" ht="11.25" customHeight="1">
      <c r="A694" t="s">
        <v>1021</v>
      </c>
      <c r="B694" t="s">
        <v>1122</v>
      </c>
      <c r="E694" s="556"/>
      <c r="F694" s="1354"/>
      <c r="G694" s="1304" t="s">
        <v>103</v>
      </c>
      <c r="H694" s="1327" t="s">
        <v>1163</v>
      </c>
      <c r="I694" s="1328" t="s">
        <v>1123</v>
      </c>
      <c r="J694" s="1341" t="s">
        <v>1124</v>
      </c>
      <c r="K694" s="1330" t="s">
        <v>1164</v>
      </c>
      <c r="L694" s="1058" t="s">
        <v>19</v>
      </c>
      <c r="M694" s="1060"/>
      <c r="N694" s="241"/>
      <c r="O694" s="242" t="s">
        <v>387</v>
      </c>
      <c r="P694" s="243"/>
      <c r="Q694" s="243"/>
      <c r="R694" s="243"/>
      <c r="S694" s="243"/>
      <c r="T694" s="243"/>
      <c r="U694" s="243"/>
      <c r="V694" s="243"/>
      <c r="W694" s="243"/>
      <c r="X694" s="243"/>
      <c r="Y694" s="243"/>
      <c r="Z694" s="243"/>
      <c r="AA694" s="243"/>
      <c r="AB694" s="243"/>
      <c r="AC694" s="243"/>
      <c r="AD694" s="243"/>
      <c r="AE694" s="243"/>
      <c r="AF694" s="1331">
        <v>1</v>
      </c>
      <c r="AG694" s="1332" t="s">
        <v>1055</v>
      </c>
      <c r="AH694" s="1332" t="s">
        <v>1126</v>
      </c>
      <c r="AI694" s="1331">
        <v>1</v>
      </c>
      <c r="AJ694" s="1332" t="s">
        <v>1055</v>
      </c>
      <c r="AK694" s="1332" t="s">
        <v>1126</v>
      </c>
      <c r="AL694" s="771"/>
    </row>
    <row r="695" spans="1:38" ht="11.25" customHeight="1">
      <c r="A695" t="s">
        <v>1021</v>
      </c>
      <c r="E695" s="556"/>
      <c r="F695" s="1354"/>
      <c r="G695" s="1326"/>
      <c r="H695" s="1327" t="s">
        <v>1161</v>
      </c>
      <c r="I695" s="1328"/>
      <c r="J695" s="1341"/>
      <c r="K695" s="1330"/>
      <c r="L695" s="1058"/>
      <c r="M695" s="1060"/>
      <c r="N695" s="1333"/>
      <c r="O695" s="1334">
        <v>1</v>
      </c>
      <c r="P695" s="1335" t="s">
        <v>19</v>
      </c>
      <c r="Q695" s="1323" t="s">
        <v>22</v>
      </c>
      <c r="R695" s="1323" t="s">
        <v>22</v>
      </c>
      <c r="S695" s="1323" t="s">
        <v>22</v>
      </c>
      <c r="T695" s="1323" t="s">
        <v>22</v>
      </c>
      <c r="U695" s="1323" t="s">
        <v>22</v>
      </c>
      <c r="V695" s="1323" t="s">
        <v>22</v>
      </c>
      <c r="W695" s="1323" t="s">
        <v>22</v>
      </c>
      <c r="X695" s="1323" t="s">
        <v>22</v>
      </c>
      <c r="Y695" s="1323"/>
      <c r="Z695" s="229"/>
      <c r="AA695" s="230"/>
      <c r="AB695" s="230"/>
      <c r="AC695" s="231"/>
      <c r="AD695" s="231"/>
      <c r="AE695" s="244"/>
      <c r="AF695" s="1331"/>
      <c r="AG695" s="1332"/>
      <c r="AH695" s="1332"/>
      <c r="AI695" s="1331"/>
      <c r="AJ695" s="1332"/>
      <c r="AK695" s="1332"/>
      <c r="AL695" s="771"/>
    </row>
    <row r="696" spans="1:38" ht="11.25" customHeight="1">
      <c r="A696" t="s">
        <v>1021</v>
      </c>
      <c r="E696" s="556"/>
      <c r="F696" s="1354"/>
      <c r="G696" s="1326"/>
      <c r="H696" s="1327" t="s">
        <v>1161</v>
      </c>
      <c r="I696" s="1328"/>
      <c r="J696" s="1341"/>
      <c r="K696" s="1330"/>
      <c r="L696" s="1058"/>
      <c r="M696" s="1060"/>
      <c r="N696" s="1333"/>
      <c r="O696" s="1334"/>
      <c r="P696" s="1336"/>
      <c r="Q696" s="1323"/>
      <c r="R696" s="1323"/>
      <c r="S696" s="1338"/>
      <c r="T696" s="1323"/>
      <c r="U696" s="1323"/>
      <c r="V696" s="1323"/>
      <c r="W696" s="1323"/>
      <c r="X696" s="1323"/>
      <c r="Y696" s="1323"/>
      <c r="AA696" s="777">
        <v>1</v>
      </c>
      <c r="AB696" s="778" t="s">
        <v>1127</v>
      </c>
      <c r="AC696" s="236">
        <v>4232.7765476416698</v>
      </c>
      <c r="AD696" s="778" t="str">
        <f>AB696</f>
        <v xml:space="preserve">  Средства, полученные за счет платы за подключение (технологическое присоединение)</v>
      </c>
      <c r="AE696" s="236">
        <v>4561.1751700000004</v>
      </c>
      <c r="AF696" s="1331"/>
      <c r="AG696" s="1332"/>
      <c r="AH696" s="1332"/>
      <c r="AI696" s="1331"/>
      <c r="AJ696" s="1332"/>
      <c r="AK696" s="1332"/>
      <c r="AL696" s="771"/>
    </row>
    <row r="697" spans="1:38" ht="11.25" customHeight="1">
      <c r="A697" t="s">
        <v>1021</v>
      </c>
      <c r="E697" s="556"/>
      <c r="F697" s="1326"/>
      <c r="G697" s="1326"/>
      <c r="H697" s="1326"/>
      <c r="I697" s="1326"/>
      <c r="J697" s="1326"/>
      <c r="K697" s="1326"/>
      <c r="L697" s="1326"/>
      <c r="M697" s="1326"/>
      <c r="N697" s="1326"/>
      <c r="O697" s="1326"/>
      <c r="P697" s="1326"/>
      <c r="Q697" s="1326"/>
      <c r="R697" s="1326"/>
      <c r="S697" s="1326"/>
      <c r="T697" s="1326"/>
      <c r="U697" s="1326"/>
      <c r="V697" s="1326"/>
      <c r="W697" s="1326"/>
      <c r="X697" s="1326"/>
      <c r="Y697" s="1326"/>
      <c r="Z697" s="181" t="s">
        <v>103</v>
      </c>
      <c r="AA697" s="779" t="s">
        <v>102</v>
      </c>
      <c r="AB697" s="778" t="s">
        <v>1142</v>
      </c>
      <c r="AC697" s="236">
        <v>828.81859166666595</v>
      </c>
      <c r="AD697" s="778" t="str">
        <f>AB697</f>
        <v xml:space="preserve">  Прочие собственные средства</v>
      </c>
      <c r="AE697" s="236">
        <v>803.59513000000095</v>
      </c>
      <c r="AF697" s="1343"/>
      <c r="AG697" s="1344"/>
      <c r="AH697" s="1344"/>
      <c r="AI697" s="1343"/>
      <c r="AJ697" s="1344"/>
      <c r="AK697" s="1345"/>
      <c r="AL697" s="771"/>
    </row>
    <row r="698" spans="1:38" ht="11.25" customHeight="1">
      <c r="A698" t="s">
        <v>1021</v>
      </c>
      <c r="E698" s="556"/>
      <c r="F698" s="1354"/>
      <c r="G698" s="1326"/>
      <c r="H698" s="1327" t="s">
        <v>1161</v>
      </c>
      <c r="I698" s="1328"/>
      <c r="J698" s="1341"/>
      <c r="K698" s="1330"/>
      <c r="L698" s="1058"/>
      <c r="M698" s="1060"/>
      <c r="N698" s="1333"/>
      <c r="O698" s="1334"/>
      <c r="P698" s="1337"/>
      <c r="Q698" s="1323"/>
      <c r="R698" s="1323"/>
      <c r="S698" s="1338"/>
      <c r="T698" s="1323"/>
      <c r="U698" s="1323"/>
      <c r="V698" s="1323"/>
      <c r="W698" s="1323"/>
      <c r="X698" s="1323"/>
      <c r="Y698" s="1323"/>
      <c r="Z698" s="229"/>
      <c r="AA698" s="230"/>
      <c r="AB698" s="44" t="s">
        <v>1064</v>
      </c>
      <c r="AC698" s="231"/>
      <c r="AD698" s="231"/>
      <c r="AE698" s="245"/>
      <c r="AF698" s="1331"/>
      <c r="AG698" s="1332"/>
      <c r="AH698" s="1332"/>
      <c r="AI698" s="1331"/>
      <c r="AJ698" s="1332"/>
      <c r="AK698" s="1332"/>
      <c r="AL698" s="771"/>
    </row>
    <row r="699" spans="1:38" ht="11.25" customHeight="1">
      <c r="A699" t="s">
        <v>1021</v>
      </c>
      <c r="E699" s="556"/>
      <c r="F699" s="1354"/>
      <c r="G699" s="1326"/>
      <c r="H699" s="1327" t="s">
        <v>1161</v>
      </c>
      <c r="I699" s="1328"/>
      <c r="J699" s="1341"/>
      <c r="K699" s="1330"/>
      <c r="L699" s="1058"/>
      <c r="M699" s="1060"/>
      <c r="N699" s="229"/>
      <c r="O699" s="230"/>
      <c r="P699" s="44" t="s">
        <v>1065</v>
      </c>
      <c r="Q699" s="230"/>
      <c r="R699" s="230"/>
      <c r="S699" s="230"/>
      <c r="T699" s="230"/>
      <c r="U699" s="230"/>
      <c r="V699" s="230"/>
      <c r="W699" s="230"/>
      <c r="X699" s="230"/>
      <c r="Y699" s="230"/>
      <c r="Z699" s="230"/>
      <c r="AA699" s="230"/>
      <c r="AB699" s="230"/>
      <c r="AC699" s="230"/>
      <c r="AD699" s="230"/>
      <c r="AE699" s="246"/>
      <c r="AF699" s="1331"/>
      <c r="AG699" s="1332"/>
      <c r="AH699" s="1332"/>
      <c r="AI699" s="1331"/>
      <c r="AJ699" s="1332"/>
      <c r="AK699" s="1332"/>
      <c r="AL699" s="771"/>
    </row>
    <row r="700" spans="1:38" ht="11.25" customHeight="1">
      <c r="A700" t="s">
        <v>1021</v>
      </c>
      <c r="B700" t="s">
        <v>1122</v>
      </c>
      <c r="E700" s="556"/>
      <c r="F700" s="1354"/>
      <c r="G700" s="1304" t="s">
        <v>103</v>
      </c>
      <c r="H700" s="1327" t="s">
        <v>105</v>
      </c>
      <c r="I700" s="1328" t="s">
        <v>1123</v>
      </c>
      <c r="J700" s="1341" t="s">
        <v>1124</v>
      </c>
      <c r="K700" s="1330" t="s">
        <v>1165</v>
      </c>
      <c r="L700" s="1058" t="s">
        <v>19</v>
      </c>
      <c r="M700" s="1060"/>
      <c r="N700" s="241"/>
      <c r="O700" s="242" t="s">
        <v>387</v>
      </c>
      <c r="P700" s="243"/>
      <c r="Q700" s="243"/>
      <c r="R700" s="243"/>
      <c r="S700" s="243"/>
      <c r="T700" s="243"/>
      <c r="U700" s="243"/>
      <c r="V700" s="243"/>
      <c r="W700" s="243"/>
      <c r="X700" s="243"/>
      <c r="Y700" s="243"/>
      <c r="Z700" s="243"/>
      <c r="AA700" s="243"/>
      <c r="AB700" s="243"/>
      <c r="AC700" s="243"/>
      <c r="AD700" s="243"/>
      <c r="AE700" s="243"/>
      <c r="AF700" s="1331">
        <v>2</v>
      </c>
      <c r="AG700" s="1332" t="s">
        <v>1055</v>
      </c>
      <c r="AH700" s="1332" t="s">
        <v>1135</v>
      </c>
      <c r="AI700" s="1331">
        <v>2</v>
      </c>
      <c r="AJ700" s="1332" t="s">
        <v>1055</v>
      </c>
      <c r="AK700" s="1332" t="s">
        <v>1135</v>
      </c>
      <c r="AL700" s="771"/>
    </row>
    <row r="701" spans="1:38" ht="11.25" customHeight="1">
      <c r="A701" t="s">
        <v>1021</v>
      </c>
      <c r="E701" s="556"/>
      <c r="F701" s="1354"/>
      <c r="G701" s="1326"/>
      <c r="H701" s="1327" t="s">
        <v>1163</v>
      </c>
      <c r="I701" s="1328"/>
      <c r="J701" s="1341"/>
      <c r="K701" s="1330"/>
      <c r="L701" s="1058"/>
      <c r="M701" s="1060"/>
      <c r="N701" s="1333"/>
      <c r="O701" s="1334">
        <v>1</v>
      </c>
      <c r="P701" s="1335" t="s">
        <v>19</v>
      </c>
      <c r="Q701" s="1323" t="s">
        <v>22</v>
      </c>
      <c r="R701" s="1323" t="s">
        <v>22</v>
      </c>
      <c r="S701" s="1323" t="s">
        <v>22</v>
      </c>
      <c r="T701" s="1323" t="s">
        <v>22</v>
      </c>
      <c r="U701" s="1323" t="s">
        <v>22</v>
      </c>
      <c r="V701" s="1323" t="s">
        <v>22</v>
      </c>
      <c r="W701" s="1323" t="s">
        <v>22</v>
      </c>
      <c r="X701" s="1323" t="s">
        <v>22</v>
      </c>
      <c r="Y701" s="1323"/>
      <c r="Z701" s="229"/>
      <c r="AA701" s="230"/>
      <c r="AB701" s="230"/>
      <c r="AC701" s="231"/>
      <c r="AD701" s="231"/>
      <c r="AE701" s="244"/>
      <c r="AF701" s="1331"/>
      <c r="AG701" s="1332"/>
      <c r="AH701" s="1332"/>
      <c r="AI701" s="1331"/>
      <c r="AJ701" s="1332"/>
      <c r="AK701" s="1332"/>
      <c r="AL701" s="771"/>
    </row>
    <row r="702" spans="1:38" ht="11.25" customHeight="1">
      <c r="A702" t="s">
        <v>1021</v>
      </c>
      <c r="E702" s="556"/>
      <c r="F702" s="1354"/>
      <c r="G702" s="1326"/>
      <c r="H702" s="1327" t="s">
        <v>1163</v>
      </c>
      <c r="I702" s="1328"/>
      <c r="J702" s="1341"/>
      <c r="K702" s="1330"/>
      <c r="L702" s="1058"/>
      <c r="M702" s="1060"/>
      <c r="N702" s="1333"/>
      <c r="O702" s="1334"/>
      <c r="P702" s="1336"/>
      <c r="Q702" s="1323"/>
      <c r="R702" s="1323"/>
      <c r="S702" s="1338"/>
      <c r="T702" s="1323"/>
      <c r="U702" s="1323"/>
      <c r="V702" s="1323"/>
      <c r="W702" s="1323"/>
      <c r="X702" s="1323"/>
      <c r="Y702" s="1323"/>
      <c r="AA702" s="777">
        <v>1</v>
      </c>
      <c r="AB702" s="778" t="s">
        <v>1127</v>
      </c>
      <c r="AC702" s="236">
        <v>653.61441397266594</v>
      </c>
      <c r="AD702" s="778" t="str">
        <f>AB702</f>
        <v xml:space="preserve">  Средства, полученные за счет платы за подключение (технологическое присоединение)</v>
      </c>
      <c r="AE702" s="236">
        <v>695.80457999999999</v>
      </c>
      <c r="AF702" s="1331"/>
      <c r="AG702" s="1332"/>
      <c r="AH702" s="1332"/>
      <c r="AI702" s="1331"/>
      <c r="AJ702" s="1332"/>
      <c r="AK702" s="1332"/>
      <c r="AL702" s="771"/>
    </row>
    <row r="703" spans="1:38" ht="11.25" customHeight="1">
      <c r="A703" t="s">
        <v>1021</v>
      </c>
      <c r="E703" s="556"/>
      <c r="F703" s="1326"/>
      <c r="G703" s="1326"/>
      <c r="H703" s="1326"/>
      <c r="I703" s="1326"/>
      <c r="J703" s="1326"/>
      <c r="K703" s="1326"/>
      <c r="L703" s="1326"/>
      <c r="M703" s="1326"/>
      <c r="N703" s="1326"/>
      <c r="O703" s="1326"/>
      <c r="P703" s="1326"/>
      <c r="Q703" s="1326"/>
      <c r="R703" s="1326"/>
      <c r="S703" s="1326"/>
      <c r="T703" s="1326"/>
      <c r="U703" s="1326"/>
      <c r="V703" s="1326"/>
      <c r="W703" s="1326"/>
      <c r="X703" s="1326"/>
      <c r="Y703" s="1326"/>
      <c r="Z703" s="181" t="s">
        <v>103</v>
      </c>
      <c r="AA703" s="779" t="s">
        <v>102</v>
      </c>
      <c r="AB703" s="778" t="s">
        <v>1142</v>
      </c>
      <c r="AC703" s="236">
        <v>127.984024666667</v>
      </c>
      <c r="AD703" s="778" t="str">
        <f>AB703</f>
        <v xml:space="preserve">  Прочие собственные средства</v>
      </c>
      <c r="AE703" s="236">
        <v>28.3125199999999</v>
      </c>
      <c r="AF703" s="1343"/>
      <c r="AG703" s="1344"/>
      <c r="AH703" s="1344"/>
      <c r="AI703" s="1343"/>
      <c r="AJ703" s="1344"/>
      <c r="AK703" s="1345"/>
      <c r="AL703" s="771"/>
    </row>
    <row r="704" spans="1:38" ht="11.25" customHeight="1">
      <c r="A704" t="s">
        <v>1021</v>
      </c>
      <c r="E704" s="556"/>
      <c r="F704" s="1354"/>
      <c r="G704" s="1326"/>
      <c r="H704" s="1327" t="s">
        <v>1163</v>
      </c>
      <c r="I704" s="1328"/>
      <c r="J704" s="1341"/>
      <c r="K704" s="1330"/>
      <c r="L704" s="1058"/>
      <c r="M704" s="1060"/>
      <c r="N704" s="1333"/>
      <c r="O704" s="1334"/>
      <c r="P704" s="1337"/>
      <c r="Q704" s="1323"/>
      <c r="R704" s="1323"/>
      <c r="S704" s="1338"/>
      <c r="T704" s="1323"/>
      <c r="U704" s="1323"/>
      <c r="V704" s="1323"/>
      <c r="W704" s="1323"/>
      <c r="X704" s="1323"/>
      <c r="Y704" s="1323"/>
      <c r="Z704" s="229"/>
      <c r="AA704" s="230"/>
      <c r="AB704" s="44" t="s">
        <v>1064</v>
      </c>
      <c r="AC704" s="231"/>
      <c r="AD704" s="231"/>
      <c r="AE704" s="245"/>
      <c r="AF704" s="1331"/>
      <c r="AG704" s="1332"/>
      <c r="AH704" s="1332"/>
      <c r="AI704" s="1331"/>
      <c r="AJ704" s="1332"/>
      <c r="AK704" s="1332"/>
      <c r="AL704" s="771"/>
    </row>
    <row r="705" spans="1:38" ht="11.25" customHeight="1">
      <c r="A705" t="s">
        <v>1021</v>
      </c>
      <c r="E705" s="556"/>
      <c r="F705" s="1354"/>
      <c r="G705" s="1326"/>
      <c r="H705" s="1327" t="s">
        <v>1163</v>
      </c>
      <c r="I705" s="1328"/>
      <c r="J705" s="1341"/>
      <c r="K705" s="1330"/>
      <c r="L705" s="1058"/>
      <c r="M705" s="1060"/>
      <c r="N705" s="229"/>
      <c r="O705" s="230"/>
      <c r="P705" s="44" t="s">
        <v>1065</v>
      </c>
      <c r="Q705" s="230"/>
      <c r="R705" s="230"/>
      <c r="S705" s="230"/>
      <c r="T705" s="230"/>
      <c r="U705" s="230"/>
      <c r="V705" s="230"/>
      <c r="W705" s="230"/>
      <c r="X705" s="230"/>
      <c r="Y705" s="230"/>
      <c r="Z705" s="230"/>
      <c r="AA705" s="230"/>
      <c r="AB705" s="230"/>
      <c r="AC705" s="230"/>
      <c r="AD705" s="230"/>
      <c r="AE705" s="246"/>
      <c r="AF705" s="1331"/>
      <c r="AG705" s="1332"/>
      <c r="AH705" s="1332"/>
      <c r="AI705" s="1331"/>
      <c r="AJ705" s="1332"/>
      <c r="AK705" s="1332"/>
      <c r="AL705" s="771"/>
    </row>
    <row r="706" spans="1:38" ht="11.25" customHeight="1">
      <c r="A706" t="s">
        <v>1021</v>
      </c>
      <c r="B706" t="s">
        <v>1122</v>
      </c>
      <c r="E706" s="556"/>
      <c r="F706" s="1354"/>
      <c r="G706" s="1304" t="s">
        <v>103</v>
      </c>
      <c r="H706" s="1327" t="s">
        <v>1166</v>
      </c>
      <c r="I706" s="1328" t="s">
        <v>1123</v>
      </c>
      <c r="J706" s="1341" t="s">
        <v>1124</v>
      </c>
      <c r="K706" s="1330" t="s">
        <v>1167</v>
      </c>
      <c r="L706" s="1058" t="s">
        <v>19</v>
      </c>
      <c r="M706" s="1060"/>
      <c r="N706" s="241"/>
      <c r="O706" s="242" t="s">
        <v>387</v>
      </c>
      <c r="P706" s="243"/>
      <c r="Q706" s="243"/>
      <c r="R706" s="243"/>
      <c r="S706" s="243"/>
      <c r="T706" s="243"/>
      <c r="U706" s="243"/>
      <c r="V706" s="243"/>
      <c r="W706" s="243"/>
      <c r="X706" s="243"/>
      <c r="Y706" s="243"/>
      <c r="Z706" s="243"/>
      <c r="AA706" s="243"/>
      <c r="AB706" s="243"/>
      <c r="AC706" s="243"/>
      <c r="AD706" s="243"/>
      <c r="AE706" s="243"/>
      <c r="AF706" s="1331">
        <v>2</v>
      </c>
      <c r="AG706" s="1332" t="s">
        <v>1055</v>
      </c>
      <c r="AH706" s="1332" t="s">
        <v>1135</v>
      </c>
      <c r="AI706" s="1331">
        <v>2</v>
      </c>
      <c r="AJ706" s="1332" t="s">
        <v>1055</v>
      </c>
      <c r="AK706" s="1332" t="s">
        <v>1135</v>
      </c>
      <c r="AL706" s="771"/>
    </row>
    <row r="707" spans="1:38" ht="11.25" customHeight="1">
      <c r="A707" t="s">
        <v>1021</v>
      </c>
      <c r="E707" s="556"/>
      <c r="F707" s="1354"/>
      <c r="G707" s="1326"/>
      <c r="H707" s="1327" t="s">
        <v>105</v>
      </c>
      <c r="I707" s="1328"/>
      <c r="J707" s="1341"/>
      <c r="K707" s="1330"/>
      <c r="L707" s="1058"/>
      <c r="M707" s="1060"/>
      <c r="N707" s="1333"/>
      <c r="O707" s="1334">
        <v>1</v>
      </c>
      <c r="P707" s="1335" t="s">
        <v>19</v>
      </c>
      <c r="Q707" s="1323" t="s">
        <v>22</v>
      </c>
      <c r="R707" s="1323" t="s">
        <v>22</v>
      </c>
      <c r="S707" s="1323" t="s">
        <v>22</v>
      </c>
      <c r="T707" s="1323" t="s">
        <v>22</v>
      </c>
      <c r="U707" s="1323" t="s">
        <v>22</v>
      </c>
      <c r="V707" s="1323" t="s">
        <v>22</v>
      </c>
      <c r="W707" s="1323" t="s">
        <v>22</v>
      </c>
      <c r="X707" s="1323" t="s">
        <v>22</v>
      </c>
      <c r="Y707" s="1323"/>
      <c r="Z707" s="229"/>
      <c r="AA707" s="230"/>
      <c r="AB707" s="230"/>
      <c r="AC707" s="231"/>
      <c r="AD707" s="231"/>
      <c r="AE707" s="244"/>
      <c r="AF707" s="1331"/>
      <c r="AG707" s="1332"/>
      <c r="AH707" s="1332"/>
      <c r="AI707" s="1331"/>
      <c r="AJ707" s="1332"/>
      <c r="AK707" s="1332"/>
      <c r="AL707" s="771"/>
    </row>
    <row r="708" spans="1:38" ht="11.25" customHeight="1">
      <c r="A708" t="s">
        <v>1021</v>
      </c>
      <c r="E708" s="556"/>
      <c r="F708" s="1354"/>
      <c r="G708" s="1326"/>
      <c r="H708" s="1327" t="s">
        <v>105</v>
      </c>
      <c r="I708" s="1328"/>
      <c r="J708" s="1341"/>
      <c r="K708" s="1330"/>
      <c r="L708" s="1058"/>
      <c r="M708" s="1060"/>
      <c r="N708" s="1333"/>
      <c r="O708" s="1334"/>
      <c r="P708" s="1336"/>
      <c r="Q708" s="1323"/>
      <c r="R708" s="1323"/>
      <c r="S708" s="1338"/>
      <c r="T708" s="1323"/>
      <c r="U708" s="1323"/>
      <c r="V708" s="1323"/>
      <c r="W708" s="1323"/>
      <c r="X708" s="1323"/>
      <c r="Y708" s="1323"/>
      <c r="AA708" s="777">
        <v>1</v>
      </c>
      <c r="AB708" s="778" t="s">
        <v>1127</v>
      </c>
      <c r="AC708" s="236">
        <v>170.23333333333301</v>
      </c>
      <c r="AD708" s="778" t="str">
        <f>AB708</f>
        <v xml:space="preserve">  Средства, полученные за счет платы за подключение (технологическое присоединение)</v>
      </c>
      <c r="AE708" s="236">
        <v>384.54906999999997</v>
      </c>
      <c r="AF708" s="1331"/>
      <c r="AG708" s="1332"/>
      <c r="AH708" s="1332"/>
      <c r="AI708" s="1331"/>
      <c r="AJ708" s="1332"/>
      <c r="AK708" s="1332"/>
      <c r="AL708" s="771"/>
    </row>
    <row r="709" spans="1:38" ht="11.25" customHeight="1">
      <c r="A709" t="s">
        <v>1021</v>
      </c>
      <c r="E709" s="556"/>
      <c r="F709" s="1326"/>
      <c r="G709" s="1326"/>
      <c r="H709" s="1326"/>
      <c r="I709" s="1326"/>
      <c r="J709" s="1326"/>
      <c r="K709" s="1326"/>
      <c r="L709" s="1326"/>
      <c r="M709" s="1326"/>
      <c r="N709" s="1326"/>
      <c r="O709" s="1326"/>
      <c r="P709" s="1326"/>
      <c r="Q709" s="1326"/>
      <c r="R709" s="1326"/>
      <c r="S709" s="1326"/>
      <c r="T709" s="1326"/>
      <c r="U709" s="1326"/>
      <c r="V709" s="1326"/>
      <c r="W709" s="1326"/>
      <c r="X709" s="1326"/>
      <c r="Y709" s="1326"/>
      <c r="Z709" s="181" t="s">
        <v>103</v>
      </c>
      <c r="AA709" s="779" t="s">
        <v>102</v>
      </c>
      <c r="AB709" s="778" t="s">
        <v>1142</v>
      </c>
      <c r="AC709" s="236">
        <v>33.3333333333333</v>
      </c>
      <c r="AD709" s="778" t="str">
        <f>AB709</f>
        <v xml:space="preserve">  Прочие собственные средства</v>
      </c>
      <c r="AE709" s="236">
        <v>28.64087</v>
      </c>
      <c r="AF709" s="1343"/>
      <c r="AG709" s="1344"/>
      <c r="AH709" s="1344"/>
      <c r="AI709" s="1343"/>
      <c r="AJ709" s="1344"/>
      <c r="AK709" s="1345"/>
      <c r="AL709" s="771"/>
    </row>
    <row r="710" spans="1:38" ht="11.25" customHeight="1">
      <c r="A710" t="s">
        <v>1021</v>
      </c>
      <c r="E710" s="556"/>
      <c r="F710" s="1354"/>
      <c r="G710" s="1326"/>
      <c r="H710" s="1327" t="s">
        <v>105</v>
      </c>
      <c r="I710" s="1328"/>
      <c r="J710" s="1341"/>
      <c r="K710" s="1330"/>
      <c r="L710" s="1058"/>
      <c r="M710" s="1060"/>
      <c r="N710" s="1333"/>
      <c r="O710" s="1334"/>
      <c r="P710" s="1337"/>
      <c r="Q710" s="1323"/>
      <c r="R710" s="1323"/>
      <c r="S710" s="1338"/>
      <c r="T710" s="1323"/>
      <c r="U710" s="1323"/>
      <c r="V710" s="1323"/>
      <c r="W710" s="1323"/>
      <c r="X710" s="1323"/>
      <c r="Y710" s="1323"/>
      <c r="Z710" s="229"/>
      <c r="AA710" s="230"/>
      <c r="AB710" s="44" t="s">
        <v>1064</v>
      </c>
      <c r="AC710" s="231"/>
      <c r="AD710" s="231"/>
      <c r="AE710" s="245"/>
      <c r="AF710" s="1331"/>
      <c r="AG710" s="1332"/>
      <c r="AH710" s="1332"/>
      <c r="AI710" s="1331"/>
      <c r="AJ710" s="1332"/>
      <c r="AK710" s="1332"/>
      <c r="AL710" s="771"/>
    </row>
    <row r="711" spans="1:38" ht="11.25" customHeight="1">
      <c r="A711" t="s">
        <v>1021</v>
      </c>
      <c r="E711" s="556"/>
      <c r="F711" s="1354"/>
      <c r="G711" s="1326"/>
      <c r="H711" s="1327" t="s">
        <v>105</v>
      </c>
      <c r="I711" s="1328"/>
      <c r="J711" s="1341"/>
      <c r="K711" s="1330"/>
      <c r="L711" s="1058"/>
      <c r="M711" s="1060"/>
      <c r="N711" s="229"/>
      <c r="O711" s="230"/>
      <c r="P711" s="44" t="s">
        <v>1065</v>
      </c>
      <c r="Q711" s="230"/>
      <c r="R711" s="230"/>
      <c r="S711" s="230"/>
      <c r="T711" s="230"/>
      <c r="U711" s="230"/>
      <c r="V711" s="230"/>
      <c r="W711" s="230"/>
      <c r="X711" s="230"/>
      <c r="Y711" s="230"/>
      <c r="Z711" s="230"/>
      <c r="AA711" s="230"/>
      <c r="AB711" s="230"/>
      <c r="AC711" s="230"/>
      <c r="AD711" s="230"/>
      <c r="AE711" s="246"/>
      <c r="AF711" s="1331"/>
      <c r="AG711" s="1332"/>
      <c r="AH711" s="1332"/>
      <c r="AI711" s="1331"/>
      <c r="AJ711" s="1332"/>
      <c r="AK711" s="1332"/>
      <c r="AL711" s="771"/>
    </row>
    <row r="712" spans="1:38" ht="11.25" customHeight="1">
      <c r="A712" t="s">
        <v>1021</v>
      </c>
      <c r="B712" t="s">
        <v>22</v>
      </c>
      <c r="E712" s="556"/>
      <c r="F712" s="1354"/>
      <c r="G712" s="1304" t="s">
        <v>103</v>
      </c>
      <c r="H712" s="1327" t="s">
        <v>1168</v>
      </c>
      <c r="I712" s="1328" t="s">
        <v>1080</v>
      </c>
      <c r="J712" s="1329" t="s">
        <v>22</v>
      </c>
      <c r="K712" s="1330" t="s">
        <v>1140</v>
      </c>
      <c r="L712" s="1058" t="s">
        <v>61</v>
      </c>
      <c r="M712" s="1342" t="s">
        <v>1020</v>
      </c>
      <c r="N712" s="241"/>
      <c r="O712" s="242" t="s">
        <v>387</v>
      </c>
      <c r="P712" s="243"/>
      <c r="Q712" s="243"/>
      <c r="R712" s="243"/>
      <c r="S712" s="243"/>
      <c r="T712" s="243"/>
      <c r="U712" s="243"/>
      <c r="V712" s="243"/>
      <c r="W712" s="243"/>
      <c r="X712" s="243"/>
      <c r="Y712" s="243"/>
      <c r="Z712" s="243"/>
      <c r="AA712" s="243"/>
      <c r="AB712" s="243"/>
      <c r="AC712" s="243"/>
      <c r="AD712" s="243"/>
      <c r="AE712" s="243"/>
      <c r="AF712" s="1331">
        <v>1</v>
      </c>
      <c r="AG712" s="1332" t="s">
        <v>1055</v>
      </c>
      <c r="AH712" s="1332" t="s">
        <v>1126</v>
      </c>
      <c r="AI712" s="1331">
        <v>1</v>
      </c>
      <c r="AJ712" s="1332" t="s">
        <v>1055</v>
      </c>
      <c r="AK712" s="1332" t="s">
        <v>1126</v>
      </c>
      <c r="AL712" s="771"/>
    </row>
    <row r="713" spans="1:38" ht="11.25" customHeight="1">
      <c r="A713" t="s">
        <v>1021</v>
      </c>
      <c r="E713" s="556"/>
      <c r="F713" s="1354"/>
      <c r="G713" s="1326"/>
      <c r="H713" s="1327" t="s">
        <v>1166</v>
      </c>
      <c r="I713" s="1328"/>
      <c r="J713" s="1329"/>
      <c r="K713" s="1330"/>
      <c r="L713" s="1058"/>
      <c r="M713" s="1342"/>
      <c r="N713" s="1333"/>
      <c r="O713" s="1334">
        <v>1</v>
      </c>
      <c r="P713" s="1335" t="s">
        <v>19</v>
      </c>
      <c r="Q713" s="1323" t="s">
        <v>22</v>
      </c>
      <c r="R713" s="1323" t="s">
        <v>22</v>
      </c>
      <c r="S713" s="1323" t="s">
        <v>22</v>
      </c>
      <c r="T713" s="1323" t="s">
        <v>22</v>
      </c>
      <c r="U713" s="1323" t="s">
        <v>22</v>
      </c>
      <c r="V713" s="1323" t="s">
        <v>22</v>
      </c>
      <c r="W713" s="1323" t="s">
        <v>22</v>
      </c>
      <c r="X713" s="1323" t="s">
        <v>22</v>
      </c>
      <c r="Y713" s="1323"/>
      <c r="Z713" s="229"/>
      <c r="AA713" s="230"/>
      <c r="AB713" s="230"/>
      <c r="AC713" s="231"/>
      <c r="AD713" s="231"/>
      <c r="AE713" s="244"/>
      <c r="AF713" s="1331"/>
      <c r="AG713" s="1332"/>
      <c r="AH713" s="1332"/>
      <c r="AI713" s="1331"/>
      <c r="AJ713" s="1332"/>
      <c r="AK713" s="1332"/>
      <c r="AL713" s="771"/>
    </row>
    <row r="714" spans="1:38" ht="11.25" customHeight="1">
      <c r="A714" t="s">
        <v>1021</v>
      </c>
      <c r="E714" s="556"/>
      <c r="F714" s="1354"/>
      <c r="G714" s="1326"/>
      <c r="H714" s="1327" t="s">
        <v>1166</v>
      </c>
      <c r="I714" s="1328"/>
      <c r="J714" s="1329"/>
      <c r="K714" s="1330"/>
      <c r="L714" s="1058"/>
      <c r="M714" s="1342"/>
      <c r="N714" s="1333"/>
      <c r="O714" s="1334"/>
      <c r="P714" s="1336"/>
      <c r="Q714" s="1323"/>
      <c r="R714" s="1323"/>
      <c r="S714" s="1338"/>
      <c r="T714" s="1323"/>
      <c r="U714" s="1323"/>
      <c r="V714" s="1323"/>
      <c r="W714" s="1323"/>
      <c r="X714" s="1323"/>
      <c r="Y714" s="1323"/>
      <c r="AA714" s="777">
        <v>1</v>
      </c>
      <c r="AB714" s="778" t="s">
        <v>1129</v>
      </c>
      <c r="AC714" s="236">
        <v>37198.941380409698</v>
      </c>
      <c r="AD714" s="778" t="str">
        <f>AB714</f>
        <v xml:space="preserve">     Прочие амортизационные отчисления</v>
      </c>
      <c r="AE714" s="236">
        <v>26149.895209999999</v>
      </c>
      <c r="AF714" s="1331"/>
      <c r="AG714" s="1332"/>
      <c r="AH714" s="1332"/>
      <c r="AI714" s="1331"/>
      <c r="AJ714" s="1332"/>
      <c r="AK714" s="1332"/>
      <c r="AL714" s="771"/>
    </row>
    <row r="715" spans="1:38" ht="11.25" customHeight="1">
      <c r="A715" t="s">
        <v>1021</v>
      </c>
      <c r="E715" s="556"/>
      <c r="F715" s="1326"/>
      <c r="G715" s="1326"/>
      <c r="H715" s="1326"/>
      <c r="I715" s="1326"/>
      <c r="J715" s="1326"/>
      <c r="K715" s="1326"/>
      <c r="L715" s="1326"/>
      <c r="M715" s="1346"/>
      <c r="N715" s="1326"/>
      <c r="O715" s="1326"/>
      <c r="P715" s="1326"/>
      <c r="Q715" s="1326"/>
      <c r="R715" s="1326"/>
      <c r="S715" s="1326"/>
      <c r="T715" s="1326"/>
      <c r="U715" s="1326"/>
      <c r="V715" s="1326"/>
      <c r="W715" s="1326"/>
      <c r="X715" s="1326"/>
      <c r="Y715" s="1326"/>
      <c r="Z715" s="181" t="s">
        <v>103</v>
      </c>
      <c r="AA715" s="779" t="s">
        <v>102</v>
      </c>
      <c r="AB715" s="778" t="s">
        <v>1142</v>
      </c>
      <c r="AC715" s="236">
        <v>7514.2512210955501</v>
      </c>
      <c r="AD715" s="778" t="str">
        <f>AB715</f>
        <v xml:space="preserve">  Прочие собственные средства</v>
      </c>
      <c r="AE715" s="236">
        <v>3561.9215100000001</v>
      </c>
      <c r="AF715" s="1343"/>
      <c r="AG715" s="1344"/>
      <c r="AH715" s="1344"/>
      <c r="AI715" s="1343"/>
      <c r="AJ715" s="1344"/>
      <c r="AK715" s="1345"/>
      <c r="AL715" s="771"/>
    </row>
    <row r="716" spans="1:38" ht="11.25" customHeight="1">
      <c r="A716" t="s">
        <v>1021</v>
      </c>
      <c r="E716" s="556"/>
      <c r="F716" s="1326"/>
      <c r="G716" s="1326"/>
      <c r="H716" s="1326"/>
      <c r="I716" s="1326"/>
      <c r="J716" s="1326"/>
      <c r="K716" s="1326"/>
      <c r="L716" s="1326"/>
      <c r="M716" s="1346"/>
      <c r="N716" s="1326"/>
      <c r="O716" s="1326"/>
      <c r="P716" s="1326"/>
      <c r="Q716" s="1326"/>
      <c r="R716" s="1326"/>
      <c r="S716" s="1326"/>
      <c r="T716" s="1326"/>
      <c r="U716" s="1326"/>
      <c r="V716" s="1326"/>
      <c r="W716" s="1326"/>
      <c r="X716" s="1326"/>
      <c r="Y716" s="1326"/>
      <c r="Z716" s="181" t="s">
        <v>103</v>
      </c>
      <c r="AA716" s="779" t="s">
        <v>89</v>
      </c>
      <c r="AB716" s="778" t="s">
        <v>1063</v>
      </c>
      <c r="AC716" s="236">
        <v>1452.6738984947301</v>
      </c>
      <c r="AD716" s="778" t="str">
        <f>AB716</f>
        <v xml:space="preserve">  Кредиты</v>
      </c>
      <c r="AE716" s="236">
        <v>0</v>
      </c>
      <c r="AF716" s="1343"/>
      <c r="AG716" s="1344"/>
      <c r="AH716" s="1344"/>
      <c r="AI716" s="1343"/>
      <c r="AJ716" s="1344"/>
      <c r="AK716" s="1345"/>
      <c r="AL716" s="771"/>
    </row>
    <row r="717" spans="1:38" ht="11.25" customHeight="1">
      <c r="A717" t="s">
        <v>1021</v>
      </c>
      <c r="E717" s="556"/>
      <c r="F717" s="1354"/>
      <c r="G717" s="1326"/>
      <c r="H717" s="1327" t="s">
        <v>1166</v>
      </c>
      <c r="I717" s="1328"/>
      <c r="J717" s="1329"/>
      <c r="K717" s="1330"/>
      <c r="L717" s="1058"/>
      <c r="M717" s="1342"/>
      <c r="N717" s="1333"/>
      <c r="O717" s="1334"/>
      <c r="P717" s="1337"/>
      <c r="Q717" s="1323"/>
      <c r="R717" s="1323"/>
      <c r="S717" s="1338"/>
      <c r="T717" s="1323"/>
      <c r="U717" s="1323"/>
      <c r="V717" s="1323"/>
      <c r="W717" s="1323"/>
      <c r="X717" s="1323"/>
      <c r="Y717" s="1323"/>
      <c r="Z717" s="229"/>
      <c r="AA717" s="230"/>
      <c r="AB717" s="44" t="s">
        <v>1064</v>
      </c>
      <c r="AC717" s="231"/>
      <c r="AD717" s="231"/>
      <c r="AE717" s="245"/>
      <c r="AF717" s="1331"/>
      <c r="AG717" s="1332"/>
      <c r="AH717" s="1332"/>
      <c r="AI717" s="1331"/>
      <c r="AJ717" s="1332"/>
      <c r="AK717" s="1332"/>
      <c r="AL717" s="771"/>
    </row>
    <row r="718" spans="1:38" ht="11.25" customHeight="1">
      <c r="A718" t="s">
        <v>1021</v>
      </c>
      <c r="E718" s="556"/>
      <c r="F718" s="1354"/>
      <c r="G718" s="1326"/>
      <c r="H718" s="1327" t="s">
        <v>1166</v>
      </c>
      <c r="I718" s="1328"/>
      <c r="J718" s="1329"/>
      <c r="K718" s="1330"/>
      <c r="L718" s="1058"/>
      <c r="M718" s="1342"/>
      <c r="N718" s="229"/>
      <c r="O718" s="230"/>
      <c r="P718" s="44" t="s">
        <v>1065</v>
      </c>
      <c r="Q718" s="230"/>
      <c r="R718" s="230"/>
      <c r="S718" s="230"/>
      <c r="T718" s="230"/>
      <c r="U718" s="230"/>
      <c r="V718" s="230"/>
      <c r="W718" s="230"/>
      <c r="X718" s="230"/>
      <c r="Y718" s="230"/>
      <c r="Z718" s="230"/>
      <c r="AA718" s="230"/>
      <c r="AB718" s="230"/>
      <c r="AC718" s="230"/>
      <c r="AD718" s="230"/>
      <c r="AE718" s="246"/>
      <c r="AF718" s="1331"/>
      <c r="AG718" s="1332"/>
      <c r="AH718" s="1332"/>
      <c r="AI718" s="1331"/>
      <c r="AJ718" s="1332"/>
      <c r="AK718" s="1332"/>
      <c r="AL718" s="771"/>
    </row>
    <row r="719" spans="1:38" ht="11.25" customHeight="1">
      <c r="A719" t="s">
        <v>1021</v>
      </c>
      <c r="B719" t="s">
        <v>22</v>
      </c>
      <c r="E719" s="556"/>
      <c r="F719" s="1354"/>
      <c r="G719" s="1304" t="s">
        <v>103</v>
      </c>
      <c r="H719" s="1327" t="s">
        <v>1169</v>
      </c>
      <c r="I719" s="1328" t="s">
        <v>1080</v>
      </c>
      <c r="J719" s="1329" t="s">
        <v>22</v>
      </c>
      <c r="K719" s="1330" t="s">
        <v>1136</v>
      </c>
      <c r="L719" s="1058" t="s">
        <v>19</v>
      </c>
      <c r="M719" s="1060"/>
      <c r="N719" s="241"/>
      <c r="O719" s="242" t="s">
        <v>387</v>
      </c>
      <c r="P719" s="243"/>
      <c r="Q719" s="243"/>
      <c r="R719" s="243"/>
      <c r="S719" s="243"/>
      <c r="T719" s="243"/>
      <c r="U719" s="243"/>
      <c r="V719" s="243"/>
      <c r="W719" s="243"/>
      <c r="X719" s="243"/>
      <c r="Y719" s="243"/>
      <c r="Z719" s="243"/>
      <c r="AA719" s="243"/>
      <c r="AB719" s="243"/>
      <c r="AC719" s="243"/>
      <c r="AD719" s="243"/>
      <c r="AE719" s="243"/>
      <c r="AF719" s="1331">
        <v>2</v>
      </c>
      <c r="AG719" s="1332" t="s">
        <v>1055</v>
      </c>
      <c r="AH719" s="1332" t="s">
        <v>1135</v>
      </c>
      <c r="AI719" s="1331">
        <v>2</v>
      </c>
      <c r="AJ719" s="1332" t="s">
        <v>1055</v>
      </c>
      <c r="AK719" s="1332" t="s">
        <v>1135</v>
      </c>
      <c r="AL719" s="771"/>
    </row>
    <row r="720" spans="1:38" ht="11.25" customHeight="1">
      <c r="A720" t="s">
        <v>1021</v>
      </c>
      <c r="E720" s="556"/>
      <c r="F720" s="1354"/>
      <c r="G720" s="1326"/>
      <c r="H720" s="1327" t="s">
        <v>1168</v>
      </c>
      <c r="I720" s="1328"/>
      <c r="J720" s="1329"/>
      <c r="K720" s="1330"/>
      <c r="L720" s="1058"/>
      <c r="M720" s="1060"/>
      <c r="N720" s="1333"/>
      <c r="O720" s="1334">
        <v>1</v>
      </c>
      <c r="P720" s="1335" t="s">
        <v>19</v>
      </c>
      <c r="Q720" s="1323" t="s">
        <v>22</v>
      </c>
      <c r="R720" s="1323" t="s">
        <v>22</v>
      </c>
      <c r="S720" s="1323" t="s">
        <v>22</v>
      </c>
      <c r="T720" s="1323" t="s">
        <v>22</v>
      </c>
      <c r="U720" s="1323" t="s">
        <v>22</v>
      </c>
      <c r="V720" s="1323" t="s">
        <v>22</v>
      </c>
      <c r="W720" s="1323" t="s">
        <v>22</v>
      </c>
      <c r="X720" s="1323" t="s">
        <v>22</v>
      </c>
      <c r="Y720" s="1323"/>
      <c r="Z720" s="229"/>
      <c r="AA720" s="230"/>
      <c r="AB720" s="230"/>
      <c r="AC720" s="231"/>
      <c r="AD720" s="231"/>
      <c r="AE720" s="244"/>
      <c r="AF720" s="1331"/>
      <c r="AG720" s="1332"/>
      <c r="AH720" s="1332"/>
      <c r="AI720" s="1331"/>
      <c r="AJ720" s="1332"/>
      <c r="AK720" s="1332"/>
      <c r="AL720" s="771"/>
    </row>
    <row r="721" spans="1:38" ht="11.25" customHeight="1">
      <c r="A721" t="s">
        <v>1021</v>
      </c>
      <c r="E721" s="556"/>
      <c r="F721" s="1354"/>
      <c r="G721" s="1326"/>
      <c r="H721" s="1327" t="s">
        <v>1168</v>
      </c>
      <c r="I721" s="1328"/>
      <c r="J721" s="1329"/>
      <c r="K721" s="1330"/>
      <c r="L721" s="1058"/>
      <c r="M721" s="1060"/>
      <c r="N721" s="1333"/>
      <c r="O721" s="1334"/>
      <c r="P721" s="1336"/>
      <c r="Q721" s="1323"/>
      <c r="R721" s="1323"/>
      <c r="S721" s="1338"/>
      <c r="T721" s="1323"/>
      <c r="U721" s="1323"/>
      <c r="V721" s="1323"/>
      <c r="W721" s="1323"/>
      <c r="X721" s="1323"/>
      <c r="Y721" s="1323"/>
      <c r="AA721" s="777">
        <v>1</v>
      </c>
      <c r="AB721" s="778" t="s">
        <v>1129</v>
      </c>
      <c r="AC721" s="236">
        <v>45722.165863982802</v>
      </c>
      <c r="AD721" s="778" t="str">
        <f>AB721</f>
        <v xml:space="preserve">     Прочие амортизационные отчисления</v>
      </c>
      <c r="AE721" s="236">
        <v>51104.373979083699</v>
      </c>
      <c r="AF721" s="1331"/>
      <c r="AG721" s="1332"/>
      <c r="AH721" s="1332"/>
      <c r="AI721" s="1331"/>
      <c r="AJ721" s="1332"/>
      <c r="AK721" s="1332"/>
      <c r="AL721" s="771"/>
    </row>
    <row r="722" spans="1:38" ht="11.25" customHeight="1">
      <c r="A722" t="s">
        <v>1021</v>
      </c>
      <c r="E722" s="556"/>
      <c r="F722" s="1326"/>
      <c r="G722" s="1326"/>
      <c r="H722" s="1326"/>
      <c r="I722" s="1326"/>
      <c r="J722" s="1326"/>
      <c r="K722" s="1326"/>
      <c r="L722" s="1326"/>
      <c r="M722" s="1326"/>
      <c r="N722" s="1326"/>
      <c r="O722" s="1326"/>
      <c r="P722" s="1326"/>
      <c r="Q722" s="1326"/>
      <c r="R722" s="1326"/>
      <c r="S722" s="1326"/>
      <c r="T722" s="1326"/>
      <c r="U722" s="1326"/>
      <c r="V722" s="1326"/>
      <c r="W722" s="1326"/>
      <c r="X722" s="1326"/>
      <c r="Y722" s="1326"/>
      <c r="Z722" s="181" t="s">
        <v>103</v>
      </c>
      <c r="AA722" s="779" t="s">
        <v>102</v>
      </c>
      <c r="AB722" s="778" t="s">
        <v>1142</v>
      </c>
      <c r="AC722" s="236">
        <v>9235.9574741957804</v>
      </c>
      <c r="AD722" s="778" t="str">
        <f>AB722</f>
        <v xml:space="preserve">  Прочие собственные средства</v>
      </c>
      <c r="AE722" s="236">
        <v>4618.87355999999</v>
      </c>
      <c r="AF722" s="1343"/>
      <c r="AG722" s="1344"/>
      <c r="AH722" s="1344"/>
      <c r="AI722" s="1343"/>
      <c r="AJ722" s="1344"/>
      <c r="AK722" s="1345"/>
      <c r="AL722" s="771"/>
    </row>
    <row r="723" spans="1:38" ht="11.25" customHeight="1">
      <c r="A723" t="s">
        <v>1021</v>
      </c>
      <c r="E723" s="556"/>
      <c r="F723" s="1326"/>
      <c r="G723" s="1326"/>
      <c r="H723" s="1326"/>
      <c r="I723" s="1326"/>
      <c r="J723" s="1326"/>
      <c r="K723" s="1326"/>
      <c r="L723" s="1326"/>
      <c r="M723" s="1326"/>
      <c r="N723" s="1326"/>
      <c r="O723" s="1326"/>
      <c r="P723" s="1326"/>
      <c r="Q723" s="1326"/>
      <c r="R723" s="1326"/>
      <c r="S723" s="1326"/>
      <c r="T723" s="1326"/>
      <c r="U723" s="1326"/>
      <c r="V723" s="1326"/>
      <c r="W723" s="1326"/>
      <c r="X723" s="1326"/>
      <c r="Y723" s="1326"/>
      <c r="Z723" s="181" t="s">
        <v>103</v>
      </c>
      <c r="AA723" s="779" t="s">
        <v>89</v>
      </c>
      <c r="AB723" s="778" t="s">
        <v>1063</v>
      </c>
      <c r="AC723" s="236">
        <v>1785.51847091631</v>
      </c>
      <c r="AD723" s="778" t="str">
        <f>AB723</f>
        <v xml:space="preserve">  Кредиты</v>
      </c>
      <c r="AE723" s="236">
        <v>1785.5184709163</v>
      </c>
      <c r="AF723" s="1343"/>
      <c r="AG723" s="1344"/>
      <c r="AH723" s="1344"/>
      <c r="AI723" s="1343"/>
      <c r="AJ723" s="1344"/>
      <c r="AK723" s="1345"/>
      <c r="AL723" s="771"/>
    </row>
    <row r="724" spans="1:38" ht="11.25" customHeight="1">
      <c r="A724" t="s">
        <v>1021</v>
      </c>
      <c r="E724" s="556"/>
      <c r="F724" s="1354"/>
      <c r="G724" s="1326"/>
      <c r="H724" s="1327" t="s">
        <v>1168</v>
      </c>
      <c r="I724" s="1328"/>
      <c r="J724" s="1329"/>
      <c r="K724" s="1330"/>
      <c r="L724" s="1058"/>
      <c r="M724" s="1060"/>
      <c r="N724" s="1333"/>
      <c r="O724" s="1334"/>
      <c r="P724" s="1337"/>
      <c r="Q724" s="1323"/>
      <c r="R724" s="1323"/>
      <c r="S724" s="1338"/>
      <c r="T724" s="1323"/>
      <c r="U724" s="1323"/>
      <c r="V724" s="1323"/>
      <c r="W724" s="1323"/>
      <c r="X724" s="1323"/>
      <c r="Y724" s="1323"/>
      <c r="Z724" s="229"/>
      <c r="AA724" s="230"/>
      <c r="AB724" s="44" t="s">
        <v>1064</v>
      </c>
      <c r="AC724" s="231"/>
      <c r="AD724" s="231"/>
      <c r="AE724" s="245"/>
      <c r="AF724" s="1331"/>
      <c r="AG724" s="1332"/>
      <c r="AH724" s="1332"/>
      <c r="AI724" s="1331"/>
      <c r="AJ724" s="1332"/>
      <c r="AK724" s="1332"/>
      <c r="AL724" s="771"/>
    </row>
    <row r="725" spans="1:38" ht="11.25" customHeight="1">
      <c r="A725" t="s">
        <v>1021</v>
      </c>
      <c r="E725" s="556"/>
      <c r="F725" s="1354"/>
      <c r="G725" s="1326"/>
      <c r="H725" s="1327" t="s">
        <v>1168</v>
      </c>
      <c r="I725" s="1328"/>
      <c r="J725" s="1329"/>
      <c r="K725" s="1330"/>
      <c r="L725" s="1058"/>
      <c r="M725" s="1060"/>
      <c r="N725" s="229"/>
      <c r="O725" s="230"/>
      <c r="P725" s="44" t="s">
        <v>1065</v>
      </c>
      <c r="Q725" s="230"/>
      <c r="R725" s="230"/>
      <c r="S725" s="230"/>
      <c r="T725" s="230"/>
      <c r="U725" s="230"/>
      <c r="V725" s="230"/>
      <c r="W725" s="230"/>
      <c r="X725" s="230"/>
      <c r="Y725" s="230"/>
      <c r="Z725" s="230"/>
      <c r="AA725" s="230"/>
      <c r="AB725" s="230"/>
      <c r="AC725" s="230"/>
      <c r="AD725" s="230"/>
      <c r="AE725" s="246"/>
      <c r="AF725" s="1331"/>
      <c r="AG725" s="1332"/>
      <c r="AH725" s="1332"/>
      <c r="AI725" s="1331"/>
      <c r="AJ725" s="1332"/>
      <c r="AK725" s="1332"/>
      <c r="AL725" s="771"/>
    </row>
    <row r="726" spans="1:38" ht="11.25" customHeight="1">
      <c r="A726" t="s">
        <v>1021</v>
      </c>
      <c r="B726" t="s">
        <v>22</v>
      </c>
      <c r="E726" s="556"/>
      <c r="F726" s="1354"/>
      <c r="G726" s="1304" t="s">
        <v>103</v>
      </c>
      <c r="H726" s="1327" t="s">
        <v>1170</v>
      </c>
      <c r="I726" s="1328" t="s">
        <v>1080</v>
      </c>
      <c r="J726" s="1329" t="s">
        <v>22</v>
      </c>
      <c r="K726" s="1330" t="s">
        <v>1141</v>
      </c>
      <c r="L726" s="1058" t="s">
        <v>19</v>
      </c>
      <c r="M726" s="1060"/>
      <c r="N726" s="241"/>
      <c r="O726" s="242" t="s">
        <v>387</v>
      </c>
      <c r="P726" s="243"/>
      <c r="Q726" s="243"/>
      <c r="R726" s="243"/>
      <c r="S726" s="243"/>
      <c r="T726" s="243"/>
      <c r="U726" s="243"/>
      <c r="V726" s="243"/>
      <c r="W726" s="243"/>
      <c r="X726" s="243"/>
      <c r="Y726" s="243"/>
      <c r="Z726" s="243"/>
      <c r="AA726" s="243"/>
      <c r="AB726" s="243"/>
      <c r="AC726" s="243"/>
      <c r="AD726" s="243"/>
      <c r="AE726" s="243"/>
      <c r="AF726" s="1331">
        <v>2</v>
      </c>
      <c r="AG726" s="1332" t="s">
        <v>1055</v>
      </c>
      <c r="AH726" s="1332" t="s">
        <v>1135</v>
      </c>
      <c r="AI726" s="1331">
        <v>2</v>
      </c>
      <c r="AJ726" s="1332" t="s">
        <v>1055</v>
      </c>
      <c r="AK726" s="1332" t="s">
        <v>1135</v>
      </c>
      <c r="AL726" s="771"/>
    </row>
    <row r="727" spans="1:38" ht="11.25" customHeight="1">
      <c r="A727" t="s">
        <v>1021</v>
      </c>
      <c r="E727" s="556"/>
      <c r="F727" s="1354"/>
      <c r="G727" s="1326"/>
      <c r="H727" s="1327" t="s">
        <v>1169</v>
      </c>
      <c r="I727" s="1328"/>
      <c r="J727" s="1329"/>
      <c r="K727" s="1330"/>
      <c r="L727" s="1058"/>
      <c r="M727" s="1060"/>
      <c r="N727" s="1333"/>
      <c r="O727" s="1334">
        <v>1</v>
      </c>
      <c r="P727" s="1335" t="s">
        <v>19</v>
      </c>
      <c r="Q727" s="1323" t="s">
        <v>22</v>
      </c>
      <c r="R727" s="1323" t="s">
        <v>22</v>
      </c>
      <c r="S727" s="1323" t="s">
        <v>22</v>
      </c>
      <c r="T727" s="1323" t="s">
        <v>22</v>
      </c>
      <c r="U727" s="1323" t="s">
        <v>22</v>
      </c>
      <c r="V727" s="1323" t="s">
        <v>22</v>
      </c>
      <c r="W727" s="1323" t="s">
        <v>22</v>
      </c>
      <c r="X727" s="1323" t="s">
        <v>22</v>
      </c>
      <c r="Y727" s="1323"/>
      <c r="Z727" s="229"/>
      <c r="AA727" s="230"/>
      <c r="AB727" s="230"/>
      <c r="AC727" s="231"/>
      <c r="AD727" s="231"/>
      <c r="AE727" s="244"/>
      <c r="AF727" s="1331"/>
      <c r="AG727" s="1332"/>
      <c r="AH727" s="1332"/>
      <c r="AI727" s="1331"/>
      <c r="AJ727" s="1332"/>
      <c r="AK727" s="1332"/>
      <c r="AL727" s="771"/>
    </row>
    <row r="728" spans="1:38" ht="11.25" customHeight="1">
      <c r="A728" t="s">
        <v>1021</v>
      </c>
      <c r="E728" s="556"/>
      <c r="F728" s="1354"/>
      <c r="G728" s="1326"/>
      <c r="H728" s="1327" t="s">
        <v>1169</v>
      </c>
      <c r="I728" s="1328"/>
      <c r="J728" s="1329"/>
      <c r="K728" s="1330"/>
      <c r="L728" s="1058"/>
      <c r="M728" s="1060"/>
      <c r="N728" s="1333"/>
      <c r="O728" s="1334"/>
      <c r="P728" s="1336"/>
      <c r="Q728" s="1323"/>
      <c r="R728" s="1323"/>
      <c r="S728" s="1338"/>
      <c r="T728" s="1323"/>
      <c r="U728" s="1323"/>
      <c r="V728" s="1323"/>
      <c r="W728" s="1323"/>
      <c r="X728" s="1323"/>
      <c r="Y728" s="1323"/>
      <c r="AA728" s="777">
        <v>1</v>
      </c>
      <c r="AB728" s="778" t="s">
        <v>1129</v>
      </c>
      <c r="AC728" s="236">
        <v>110.60706170028701</v>
      </c>
      <c r="AD728" s="778" t="str">
        <f>AB728</f>
        <v xml:space="preserve">     Прочие амортизационные отчисления</v>
      </c>
      <c r="AE728" s="236">
        <v>160.80450999999999</v>
      </c>
      <c r="AF728" s="1331"/>
      <c r="AG728" s="1332"/>
      <c r="AH728" s="1332"/>
      <c r="AI728" s="1331"/>
      <c r="AJ728" s="1332"/>
      <c r="AK728" s="1332"/>
      <c r="AL728" s="771"/>
    </row>
    <row r="729" spans="1:38" ht="11.25" customHeight="1">
      <c r="A729" t="s">
        <v>1021</v>
      </c>
      <c r="E729" s="556"/>
      <c r="F729" s="1326"/>
      <c r="G729" s="1326"/>
      <c r="H729" s="1326"/>
      <c r="I729" s="1326"/>
      <c r="J729" s="1326"/>
      <c r="K729" s="1326"/>
      <c r="L729" s="1326"/>
      <c r="M729" s="1326"/>
      <c r="N729" s="1326"/>
      <c r="O729" s="1326"/>
      <c r="P729" s="1326"/>
      <c r="Q729" s="1326"/>
      <c r="R729" s="1326"/>
      <c r="S729" s="1326"/>
      <c r="T729" s="1326"/>
      <c r="U729" s="1326"/>
      <c r="V729" s="1326"/>
      <c r="W729" s="1326"/>
      <c r="X729" s="1326"/>
      <c r="Y729" s="1326"/>
      <c r="Z729" s="181" t="s">
        <v>103</v>
      </c>
      <c r="AA729" s="779" t="s">
        <v>102</v>
      </c>
      <c r="AB729" s="778" t="s">
        <v>1142</v>
      </c>
      <c r="AC729" s="236">
        <v>22.343</v>
      </c>
      <c r="AD729" s="778" t="str">
        <f>AB729</f>
        <v xml:space="preserve">  Прочие собственные средства</v>
      </c>
      <c r="AE729" s="236">
        <v>0</v>
      </c>
      <c r="AF729" s="1343"/>
      <c r="AG729" s="1344"/>
      <c r="AH729" s="1344"/>
      <c r="AI729" s="1343"/>
      <c r="AJ729" s="1344"/>
      <c r="AK729" s="1345"/>
      <c r="AL729" s="771"/>
    </row>
    <row r="730" spans="1:38" ht="11.25" customHeight="1">
      <c r="A730" t="s">
        <v>1021</v>
      </c>
      <c r="E730" s="556"/>
      <c r="F730" s="1326"/>
      <c r="G730" s="1326"/>
      <c r="H730" s="1326"/>
      <c r="I730" s="1326"/>
      <c r="J730" s="1326"/>
      <c r="K730" s="1326"/>
      <c r="L730" s="1326"/>
      <c r="M730" s="1326"/>
      <c r="N730" s="1326"/>
      <c r="O730" s="1326"/>
      <c r="P730" s="1326"/>
      <c r="Q730" s="1326"/>
      <c r="R730" s="1326"/>
      <c r="S730" s="1326"/>
      <c r="T730" s="1326"/>
      <c r="U730" s="1326"/>
      <c r="V730" s="1326"/>
      <c r="W730" s="1326"/>
      <c r="X730" s="1326"/>
      <c r="Y730" s="1326"/>
      <c r="Z730" s="181" t="s">
        <v>103</v>
      </c>
      <c r="AA730" s="779" t="s">
        <v>89</v>
      </c>
      <c r="AB730" s="778" t="s">
        <v>1063</v>
      </c>
      <c r="AC730" s="236">
        <v>4.3193999999999999</v>
      </c>
      <c r="AD730" s="778" t="str">
        <f>AB730</f>
        <v xml:space="preserve">  Кредиты</v>
      </c>
      <c r="AE730" s="236">
        <v>0</v>
      </c>
      <c r="AF730" s="1343"/>
      <c r="AG730" s="1344"/>
      <c r="AH730" s="1344"/>
      <c r="AI730" s="1343"/>
      <c r="AJ730" s="1344"/>
      <c r="AK730" s="1345"/>
      <c r="AL730" s="771"/>
    </row>
    <row r="731" spans="1:38" ht="11.25" customHeight="1">
      <c r="A731" t="s">
        <v>1021</v>
      </c>
      <c r="E731" s="556"/>
      <c r="F731" s="1354"/>
      <c r="G731" s="1326"/>
      <c r="H731" s="1327" t="s">
        <v>1169</v>
      </c>
      <c r="I731" s="1328"/>
      <c r="J731" s="1329"/>
      <c r="K731" s="1330"/>
      <c r="L731" s="1058"/>
      <c r="M731" s="1060"/>
      <c r="N731" s="1333"/>
      <c r="O731" s="1334"/>
      <c r="P731" s="1337"/>
      <c r="Q731" s="1323"/>
      <c r="R731" s="1323"/>
      <c r="S731" s="1338"/>
      <c r="T731" s="1323"/>
      <c r="U731" s="1323"/>
      <c r="V731" s="1323"/>
      <c r="W731" s="1323"/>
      <c r="X731" s="1323"/>
      <c r="Y731" s="1323"/>
      <c r="Z731" s="229"/>
      <c r="AA731" s="230"/>
      <c r="AB731" s="44" t="s">
        <v>1064</v>
      </c>
      <c r="AC731" s="231"/>
      <c r="AD731" s="231"/>
      <c r="AE731" s="245"/>
      <c r="AF731" s="1331"/>
      <c r="AG731" s="1332"/>
      <c r="AH731" s="1332"/>
      <c r="AI731" s="1331"/>
      <c r="AJ731" s="1332"/>
      <c r="AK731" s="1332"/>
      <c r="AL731" s="771"/>
    </row>
    <row r="732" spans="1:38" ht="11.25" customHeight="1">
      <c r="A732" t="s">
        <v>1021</v>
      </c>
      <c r="E732" s="556"/>
      <c r="F732" s="1354"/>
      <c r="G732" s="1326"/>
      <c r="H732" s="1327" t="s">
        <v>1169</v>
      </c>
      <c r="I732" s="1328"/>
      <c r="J732" s="1329"/>
      <c r="K732" s="1330"/>
      <c r="L732" s="1058"/>
      <c r="M732" s="1060"/>
      <c r="N732" s="229"/>
      <c r="O732" s="230"/>
      <c r="P732" s="44" t="s">
        <v>1065</v>
      </c>
      <c r="Q732" s="230"/>
      <c r="R732" s="230"/>
      <c r="S732" s="230"/>
      <c r="T732" s="230"/>
      <c r="U732" s="230"/>
      <c r="V732" s="230"/>
      <c r="W732" s="230"/>
      <c r="X732" s="230"/>
      <c r="Y732" s="230"/>
      <c r="Z732" s="230"/>
      <c r="AA732" s="230"/>
      <c r="AB732" s="230"/>
      <c r="AC732" s="230"/>
      <c r="AD732" s="230"/>
      <c r="AE732" s="246"/>
      <c r="AF732" s="1331"/>
      <c r="AG732" s="1332"/>
      <c r="AH732" s="1332"/>
      <c r="AI732" s="1331"/>
      <c r="AJ732" s="1332"/>
      <c r="AK732" s="1332"/>
      <c r="AL732" s="771"/>
    </row>
    <row r="733" spans="1:38" ht="11.25" customHeight="1">
      <c r="A733" t="s">
        <v>1021</v>
      </c>
      <c r="B733" t="s">
        <v>22</v>
      </c>
      <c r="E733" s="556"/>
      <c r="F733" s="1354"/>
      <c r="G733" s="1304" t="s">
        <v>103</v>
      </c>
      <c r="H733" s="1327" t="s">
        <v>1171</v>
      </c>
      <c r="I733" s="1328" t="s">
        <v>1053</v>
      </c>
      <c r="J733" s="1329" t="s">
        <v>22</v>
      </c>
      <c r="K733" s="1330" t="s">
        <v>1172</v>
      </c>
      <c r="L733" s="1058" t="s">
        <v>19</v>
      </c>
      <c r="M733" s="1060"/>
      <c r="N733" s="241"/>
      <c r="O733" s="242" t="s">
        <v>387</v>
      </c>
      <c r="P733" s="243"/>
      <c r="Q733" s="243"/>
      <c r="R733" s="243"/>
      <c r="S733" s="243"/>
      <c r="T733" s="243"/>
      <c r="U733" s="243"/>
      <c r="V733" s="243"/>
      <c r="W733" s="243"/>
      <c r="X733" s="243"/>
      <c r="Y733" s="243"/>
      <c r="Z733" s="243"/>
      <c r="AA733" s="243"/>
      <c r="AB733" s="243"/>
      <c r="AC733" s="243"/>
      <c r="AD733" s="243"/>
      <c r="AE733" s="243"/>
      <c r="AF733" s="1331">
        <v>1</v>
      </c>
      <c r="AG733" s="1332" t="s">
        <v>1055</v>
      </c>
      <c r="AH733" s="1332" t="s">
        <v>1126</v>
      </c>
      <c r="AI733" s="1331">
        <v>1</v>
      </c>
      <c r="AJ733" s="1332" t="s">
        <v>1055</v>
      </c>
      <c r="AK733" s="1332" t="s">
        <v>1126</v>
      </c>
      <c r="AL733" s="771"/>
    </row>
    <row r="734" spans="1:38" ht="11.25" customHeight="1">
      <c r="A734" t="s">
        <v>1021</v>
      </c>
      <c r="E734" s="556"/>
      <c r="F734" s="1354"/>
      <c r="G734" s="1326"/>
      <c r="H734" s="1327" t="s">
        <v>1170</v>
      </c>
      <c r="I734" s="1328"/>
      <c r="J734" s="1329"/>
      <c r="K734" s="1330"/>
      <c r="L734" s="1058"/>
      <c r="M734" s="1060"/>
      <c r="N734" s="1333"/>
      <c r="O734" s="1334">
        <v>1</v>
      </c>
      <c r="P734" s="1335" t="s">
        <v>19</v>
      </c>
      <c r="Q734" s="1323" t="s">
        <v>22</v>
      </c>
      <c r="R734" s="1323" t="s">
        <v>22</v>
      </c>
      <c r="S734" s="1323" t="s">
        <v>22</v>
      </c>
      <c r="T734" s="1323" t="s">
        <v>22</v>
      </c>
      <c r="U734" s="1323" t="s">
        <v>22</v>
      </c>
      <c r="V734" s="1323" t="s">
        <v>22</v>
      </c>
      <c r="W734" s="1323" t="s">
        <v>22</v>
      </c>
      <c r="X734" s="1323" t="s">
        <v>22</v>
      </c>
      <c r="Y734" s="1323"/>
      <c r="Z734" s="229"/>
      <c r="AA734" s="230"/>
      <c r="AB734" s="230"/>
      <c r="AC734" s="231"/>
      <c r="AD734" s="231"/>
      <c r="AE734" s="244"/>
      <c r="AF734" s="1331"/>
      <c r="AG734" s="1332"/>
      <c r="AH734" s="1332"/>
      <c r="AI734" s="1331"/>
      <c r="AJ734" s="1332"/>
      <c r="AK734" s="1332"/>
      <c r="AL734" s="771"/>
    </row>
    <row r="735" spans="1:38" ht="11.25" customHeight="1">
      <c r="A735" t="s">
        <v>1021</v>
      </c>
      <c r="E735" s="556"/>
      <c r="F735" s="1354"/>
      <c r="G735" s="1326"/>
      <c r="H735" s="1327" t="s">
        <v>1170</v>
      </c>
      <c r="I735" s="1328"/>
      <c r="J735" s="1329"/>
      <c r="K735" s="1330"/>
      <c r="L735" s="1058"/>
      <c r="M735" s="1060"/>
      <c r="N735" s="1333"/>
      <c r="O735" s="1334"/>
      <c r="P735" s="1336"/>
      <c r="Q735" s="1323"/>
      <c r="R735" s="1323"/>
      <c r="S735" s="1338"/>
      <c r="T735" s="1323"/>
      <c r="U735" s="1323"/>
      <c r="V735" s="1323"/>
      <c r="W735" s="1323"/>
      <c r="X735" s="1323"/>
      <c r="Y735" s="1323"/>
      <c r="AA735" s="777">
        <v>1</v>
      </c>
      <c r="AB735" s="778" t="s">
        <v>1129</v>
      </c>
      <c r="AC735" s="236">
        <v>1998.3012687450901</v>
      </c>
      <c r="AD735" s="778" t="str">
        <f>AB735</f>
        <v xml:space="preserve">     Прочие амортизационные отчисления</v>
      </c>
      <c r="AE735" s="236">
        <v>2066.6652100000001</v>
      </c>
      <c r="AF735" s="1331"/>
      <c r="AG735" s="1332"/>
      <c r="AH735" s="1332"/>
      <c r="AI735" s="1331"/>
      <c r="AJ735" s="1332"/>
      <c r="AK735" s="1332"/>
      <c r="AL735" s="771"/>
    </row>
    <row r="736" spans="1:38" ht="11.25" customHeight="1">
      <c r="A736" t="s">
        <v>1021</v>
      </c>
      <c r="E736" s="556"/>
      <c r="F736" s="1326"/>
      <c r="G736" s="1326"/>
      <c r="H736" s="1326"/>
      <c r="I736" s="1326"/>
      <c r="J736" s="1326"/>
      <c r="K736" s="1326"/>
      <c r="L736" s="1326"/>
      <c r="M736" s="1326"/>
      <c r="N736" s="1326"/>
      <c r="O736" s="1326"/>
      <c r="P736" s="1326"/>
      <c r="Q736" s="1326"/>
      <c r="R736" s="1326"/>
      <c r="S736" s="1326"/>
      <c r="T736" s="1326"/>
      <c r="U736" s="1326"/>
      <c r="V736" s="1326"/>
      <c r="W736" s="1326"/>
      <c r="X736" s="1326"/>
      <c r="Y736" s="1326"/>
      <c r="Z736" s="181" t="s">
        <v>103</v>
      </c>
      <c r="AA736" s="779" t="s">
        <v>102</v>
      </c>
      <c r="AB736" s="778" t="s">
        <v>1142</v>
      </c>
      <c r="AC736" s="236">
        <v>403.66035138549398</v>
      </c>
      <c r="AD736" s="778" t="str">
        <f>AB736</f>
        <v xml:space="preserve">  Прочие собственные средства</v>
      </c>
      <c r="AE736" s="236">
        <v>413.33303999999998</v>
      </c>
      <c r="AF736" s="1343"/>
      <c r="AG736" s="1344"/>
      <c r="AH736" s="1344"/>
      <c r="AI736" s="1343"/>
      <c r="AJ736" s="1344"/>
      <c r="AK736" s="1345"/>
      <c r="AL736" s="771"/>
    </row>
    <row r="737" spans="1:38" ht="11.25" customHeight="1">
      <c r="A737" t="s">
        <v>1021</v>
      </c>
      <c r="E737" s="556"/>
      <c r="F737" s="1326"/>
      <c r="G737" s="1326"/>
      <c r="H737" s="1326"/>
      <c r="I737" s="1326"/>
      <c r="J737" s="1326"/>
      <c r="K737" s="1326"/>
      <c r="L737" s="1326"/>
      <c r="M737" s="1326"/>
      <c r="N737" s="1326"/>
      <c r="O737" s="1326"/>
      <c r="P737" s="1326"/>
      <c r="Q737" s="1326"/>
      <c r="R737" s="1326"/>
      <c r="S737" s="1326"/>
      <c r="T737" s="1326"/>
      <c r="U737" s="1326"/>
      <c r="V737" s="1326"/>
      <c r="W737" s="1326"/>
      <c r="X737" s="1326"/>
      <c r="Y737" s="1326"/>
      <c r="Z737" s="181" t="s">
        <v>103</v>
      </c>
      <c r="AA737" s="779" t="s">
        <v>89</v>
      </c>
      <c r="AB737" s="778" t="s">
        <v>1063</v>
      </c>
      <c r="AC737" s="236">
        <v>78.036631869412901</v>
      </c>
      <c r="AD737" s="778" t="str">
        <f>AB737</f>
        <v xml:space="preserve">  Кредиты</v>
      </c>
      <c r="AE737" s="236">
        <v>0</v>
      </c>
      <c r="AF737" s="1343"/>
      <c r="AG737" s="1344"/>
      <c r="AH737" s="1344"/>
      <c r="AI737" s="1343"/>
      <c r="AJ737" s="1344"/>
      <c r="AK737" s="1345"/>
      <c r="AL737" s="771"/>
    </row>
    <row r="738" spans="1:38" ht="11.25" customHeight="1">
      <c r="A738" t="s">
        <v>1021</v>
      </c>
      <c r="E738" s="556"/>
      <c r="F738" s="1354"/>
      <c r="G738" s="1326"/>
      <c r="H738" s="1327" t="s">
        <v>1170</v>
      </c>
      <c r="I738" s="1328"/>
      <c r="J738" s="1329"/>
      <c r="K738" s="1330"/>
      <c r="L738" s="1058"/>
      <c r="M738" s="1060"/>
      <c r="N738" s="1333"/>
      <c r="O738" s="1334"/>
      <c r="P738" s="1337"/>
      <c r="Q738" s="1323"/>
      <c r="R738" s="1323"/>
      <c r="S738" s="1338"/>
      <c r="T738" s="1323"/>
      <c r="U738" s="1323"/>
      <c r="V738" s="1323"/>
      <c r="W738" s="1323"/>
      <c r="X738" s="1323"/>
      <c r="Y738" s="1323"/>
      <c r="Z738" s="229"/>
      <c r="AA738" s="230"/>
      <c r="AB738" s="44" t="s">
        <v>1064</v>
      </c>
      <c r="AC738" s="231"/>
      <c r="AD738" s="231"/>
      <c r="AE738" s="245"/>
      <c r="AF738" s="1331"/>
      <c r="AG738" s="1332"/>
      <c r="AH738" s="1332"/>
      <c r="AI738" s="1331"/>
      <c r="AJ738" s="1332"/>
      <c r="AK738" s="1332"/>
      <c r="AL738" s="771"/>
    </row>
    <row r="739" spans="1:38" ht="11.25" customHeight="1">
      <c r="A739" t="s">
        <v>1021</v>
      </c>
      <c r="E739" s="556"/>
      <c r="F739" s="1354"/>
      <c r="G739" s="1326"/>
      <c r="H739" s="1327" t="s">
        <v>1170</v>
      </c>
      <c r="I739" s="1328"/>
      <c r="J739" s="1329"/>
      <c r="K739" s="1330"/>
      <c r="L739" s="1058"/>
      <c r="M739" s="1060"/>
      <c r="N739" s="229"/>
      <c r="O739" s="230"/>
      <c r="P739" s="44" t="s">
        <v>1065</v>
      </c>
      <c r="Q739" s="230"/>
      <c r="R739" s="230"/>
      <c r="S739" s="230"/>
      <c r="T739" s="230"/>
      <c r="U739" s="230"/>
      <c r="V739" s="230"/>
      <c r="W739" s="230"/>
      <c r="X739" s="230"/>
      <c r="Y739" s="230"/>
      <c r="Z739" s="230"/>
      <c r="AA739" s="230"/>
      <c r="AB739" s="230"/>
      <c r="AC739" s="230"/>
      <c r="AD739" s="230"/>
      <c r="AE739" s="246"/>
      <c r="AF739" s="1331"/>
      <c r="AG739" s="1332"/>
      <c r="AH739" s="1332"/>
      <c r="AI739" s="1331"/>
      <c r="AJ739" s="1332"/>
      <c r="AK739" s="1332"/>
      <c r="AL739" s="771"/>
    </row>
    <row r="740" spans="1:38" ht="11.25" customHeight="1">
      <c r="A740" t="s">
        <v>1021</v>
      </c>
      <c r="B740" t="s">
        <v>22</v>
      </c>
      <c r="E740" s="556"/>
      <c r="F740" s="1354"/>
      <c r="G740" s="1304" t="s">
        <v>103</v>
      </c>
      <c r="H740" s="1327" t="s">
        <v>1173</v>
      </c>
      <c r="I740" s="1328" t="s">
        <v>1086</v>
      </c>
      <c r="J740" s="1329" t="s">
        <v>22</v>
      </c>
      <c r="K740" s="1330" t="s">
        <v>1174</v>
      </c>
      <c r="L740" s="1058" t="s">
        <v>19</v>
      </c>
      <c r="M740" s="1060"/>
      <c r="N740" s="241"/>
      <c r="O740" s="242" t="s">
        <v>387</v>
      </c>
      <c r="P740" s="243"/>
      <c r="Q740" s="243"/>
      <c r="R740" s="243"/>
      <c r="S740" s="243"/>
      <c r="T740" s="243"/>
      <c r="U740" s="243"/>
      <c r="V740" s="243"/>
      <c r="W740" s="243"/>
      <c r="X740" s="243"/>
      <c r="Y740" s="243"/>
      <c r="Z740" s="243"/>
      <c r="AA740" s="243"/>
      <c r="AB740" s="243"/>
      <c r="AC740" s="243"/>
      <c r="AD740" s="243"/>
      <c r="AE740" s="243"/>
      <c r="AF740" s="1331">
        <v>1</v>
      </c>
      <c r="AG740" s="1332" t="s">
        <v>1055</v>
      </c>
      <c r="AH740" s="1332" t="s">
        <v>1126</v>
      </c>
      <c r="AI740" s="1331">
        <v>1</v>
      </c>
      <c r="AJ740" s="1332" t="s">
        <v>1055</v>
      </c>
      <c r="AK740" s="1332" t="s">
        <v>1126</v>
      </c>
      <c r="AL740" s="771"/>
    </row>
    <row r="741" spans="1:38" ht="11.25" customHeight="1">
      <c r="A741" t="s">
        <v>1021</v>
      </c>
      <c r="E741" s="556"/>
      <c r="F741" s="1354"/>
      <c r="G741" s="1326"/>
      <c r="H741" s="1327" t="s">
        <v>1171</v>
      </c>
      <c r="I741" s="1328"/>
      <c r="J741" s="1329"/>
      <c r="K741" s="1330"/>
      <c r="L741" s="1058"/>
      <c r="M741" s="1060"/>
      <c r="N741" s="1333"/>
      <c r="O741" s="1334">
        <v>1</v>
      </c>
      <c r="P741" s="1335" t="s">
        <v>19</v>
      </c>
      <c r="Q741" s="1323" t="s">
        <v>22</v>
      </c>
      <c r="R741" s="1323" t="s">
        <v>22</v>
      </c>
      <c r="S741" s="1323" t="s">
        <v>22</v>
      </c>
      <c r="T741" s="1323" t="s">
        <v>22</v>
      </c>
      <c r="U741" s="1323" t="s">
        <v>22</v>
      </c>
      <c r="V741" s="1323" t="s">
        <v>22</v>
      </c>
      <c r="W741" s="1323" t="s">
        <v>22</v>
      </c>
      <c r="X741" s="1323" t="s">
        <v>22</v>
      </c>
      <c r="Y741" s="1323"/>
      <c r="Z741" s="229"/>
      <c r="AA741" s="230"/>
      <c r="AB741" s="230"/>
      <c r="AC741" s="231"/>
      <c r="AD741" s="231"/>
      <c r="AE741" s="244"/>
      <c r="AF741" s="1331"/>
      <c r="AG741" s="1332"/>
      <c r="AH741" s="1332"/>
      <c r="AI741" s="1331"/>
      <c r="AJ741" s="1332"/>
      <c r="AK741" s="1332"/>
      <c r="AL741" s="771"/>
    </row>
    <row r="742" spans="1:38" ht="11.25" customHeight="1">
      <c r="A742" t="s">
        <v>1021</v>
      </c>
      <c r="E742" s="556"/>
      <c r="F742" s="1354"/>
      <c r="G742" s="1326"/>
      <c r="H742" s="1327" t="s">
        <v>1171</v>
      </c>
      <c r="I742" s="1328"/>
      <c r="J742" s="1329"/>
      <c r="K742" s="1330"/>
      <c r="L742" s="1058"/>
      <c r="M742" s="1060"/>
      <c r="N742" s="1333"/>
      <c r="O742" s="1334"/>
      <c r="P742" s="1336"/>
      <c r="Q742" s="1323"/>
      <c r="R742" s="1323"/>
      <c r="S742" s="1338"/>
      <c r="T742" s="1323"/>
      <c r="U742" s="1323"/>
      <c r="V742" s="1323"/>
      <c r="W742" s="1323"/>
      <c r="X742" s="1323"/>
      <c r="Y742" s="1323"/>
      <c r="AA742" s="777">
        <v>1</v>
      </c>
      <c r="AB742" s="778" t="s">
        <v>1129</v>
      </c>
      <c r="AC742" s="236">
        <v>21454.056573947299</v>
      </c>
      <c r="AD742" s="778" t="str">
        <f>AB742</f>
        <v xml:space="preserve">     Прочие амортизационные отчисления</v>
      </c>
      <c r="AE742" s="236">
        <v>22181.925319999998</v>
      </c>
      <c r="AF742" s="1331"/>
      <c r="AG742" s="1332"/>
      <c r="AH742" s="1332"/>
      <c r="AI742" s="1331"/>
      <c r="AJ742" s="1332"/>
      <c r="AK742" s="1332"/>
      <c r="AL742" s="771"/>
    </row>
    <row r="743" spans="1:38" ht="11.25" customHeight="1">
      <c r="A743" t="s">
        <v>1021</v>
      </c>
      <c r="E743" s="556"/>
      <c r="F743" s="1326"/>
      <c r="G743" s="1326"/>
      <c r="H743" s="1326"/>
      <c r="I743" s="1326"/>
      <c r="J743" s="1326"/>
      <c r="K743" s="1326"/>
      <c r="L743" s="1326"/>
      <c r="M743" s="1326"/>
      <c r="N743" s="1326"/>
      <c r="O743" s="1326"/>
      <c r="P743" s="1326"/>
      <c r="Q743" s="1326"/>
      <c r="R743" s="1326"/>
      <c r="S743" s="1326"/>
      <c r="T743" s="1326"/>
      <c r="U743" s="1326"/>
      <c r="V743" s="1326"/>
      <c r="W743" s="1326"/>
      <c r="X743" s="1326"/>
      <c r="Y743" s="1326"/>
      <c r="Z743" s="181" t="s">
        <v>103</v>
      </c>
      <c r="AA743" s="779" t="s">
        <v>102</v>
      </c>
      <c r="AB743" s="778" t="s">
        <v>1142</v>
      </c>
      <c r="AC743" s="236">
        <v>4333.7569518345499</v>
      </c>
      <c r="AD743" s="778" t="str">
        <f>AB743</f>
        <v xml:space="preserve">  Прочие собственные средства</v>
      </c>
      <c r="AE743" s="236">
        <v>4436.3850599999996</v>
      </c>
      <c r="AF743" s="1343"/>
      <c r="AG743" s="1344"/>
      <c r="AH743" s="1344"/>
      <c r="AI743" s="1343"/>
      <c r="AJ743" s="1344"/>
      <c r="AK743" s="1345"/>
      <c r="AL743" s="771"/>
    </row>
    <row r="744" spans="1:38" ht="11.25" customHeight="1">
      <c r="A744" t="s">
        <v>1021</v>
      </c>
      <c r="E744" s="556"/>
      <c r="F744" s="1326"/>
      <c r="G744" s="1326"/>
      <c r="H744" s="1326"/>
      <c r="I744" s="1326"/>
      <c r="J744" s="1326"/>
      <c r="K744" s="1326"/>
      <c r="L744" s="1326"/>
      <c r="M744" s="1326"/>
      <c r="N744" s="1326"/>
      <c r="O744" s="1326"/>
      <c r="P744" s="1326"/>
      <c r="Q744" s="1326"/>
      <c r="R744" s="1326"/>
      <c r="S744" s="1326"/>
      <c r="T744" s="1326"/>
      <c r="U744" s="1326"/>
      <c r="V744" s="1326"/>
      <c r="W744" s="1326"/>
      <c r="X744" s="1326"/>
      <c r="Y744" s="1326"/>
      <c r="Z744" s="181" t="s">
        <v>103</v>
      </c>
      <c r="AA744" s="779" t="s">
        <v>89</v>
      </c>
      <c r="AB744" s="778" t="s">
        <v>1063</v>
      </c>
      <c r="AC744" s="236">
        <v>837.812766849745</v>
      </c>
      <c r="AD744" s="778" t="str">
        <f>AB744</f>
        <v xml:space="preserve">  Кредиты</v>
      </c>
      <c r="AE744" s="236">
        <v>0</v>
      </c>
      <c r="AF744" s="1343"/>
      <c r="AG744" s="1344"/>
      <c r="AH744" s="1344"/>
      <c r="AI744" s="1343"/>
      <c r="AJ744" s="1344"/>
      <c r="AK744" s="1345"/>
      <c r="AL744" s="771"/>
    </row>
    <row r="745" spans="1:38" ht="11.25" customHeight="1">
      <c r="A745" t="s">
        <v>1021</v>
      </c>
      <c r="E745" s="556"/>
      <c r="F745" s="1354"/>
      <c r="G745" s="1326"/>
      <c r="H745" s="1327" t="s">
        <v>1171</v>
      </c>
      <c r="I745" s="1328"/>
      <c r="J745" s="1329"/>
      <c r="K745" s="1330"/>
      <c r="L745" s="1058"/>
      <c r="M745" s="1060"/>
      <c r="N745" s="1333"/>
      <c r="O745" s="1334"/>
      <c r="P745" s="1337"/>
      <c r="Q745" s="1323"/>
      <c r="R745" s="1323"/>
      <c r="S745" s="1338"/>
      <c r="T745" s="1323"/>
      <c r="U745" s="1323"/>
      <c r="V745" s="1323"/>
      <c r="W745" s="1323"/>
      <c r="X745" s="1323"/>
      <c r="Y745" s="1323"/>
      <c r="Z745" s="229"/>
      <c r="AA745" s="230"/>
      <c r="AB745" s="44" t="s">
        <v>1064</v>
      </c>
      <c r="AC745" s="231"/>
      <c r="AD745" s="231"/>
      <c r="AE745" s="245"/>
      <c r="AF745" s="1331"/>
      <c r="AG745" s="1332"/>
      <c r="AH745" s="1332"/>
      <c r="AI745" s="1331"/>
      <c r="AJ745" s="1332"/>
      <c r="AK745" s="1332"/>
      <c r="AL745" s="771"/>
    </row>
    <row r="746" spans="1:38" ht="11.25" customHeight="1">
      <c r="A746" t="s">
        <v>1021</v>
      </c>
      <c r="E746" s="556"/>
      <c r="F746" s="1354"/>
      <c r="G746" s="1326"/>
      <c r="H746" s="1327" t="s">
        <v>1171</v>
      </c>
      <c r="I746" s="1328"/>
      <c r="J746" s="1329"/>
      <c r="K746" s="1330"/>
      <c r="L746" s="1058"/>
      <c r="M746" s="1060"/>
      <c r="N746" s="229"/>
      <c r="O746" s="230"/>
      <c r="P746" s="44" t="s">
        <v>1065</v>
      </c>
      <c r="Q746" s="230"/>
      <c r="R746" s="230"/>
      <c r="S746" s="230"/>
      <c r="T746" s="230"/>
      <c r="U746" s="230"/>
      <c r="V746" s="230"/>
      <c r="W746" s="230"/>
      <c r="X746" s="230"/>
      <c r="Y746" s="230"/>
      <c r="Z746" s="230"/>
      <c r="AA746" s="230"/>
      <c r="AB746" s="230"/>
      <c r="AC746" s="230"/>
      <c r="AD746" s="230"/>
      <c r="AE746" s="246"/>
      <c r="AF746" s="1331"/>
      <c r="AG746" s="1332"/>
      <c r="AH746" s="1332"/>
      <c r="AI746" s="1331"/>
      <c r="AJ746" s="1332"/>
      <c r="AK746" s="1332"/>
      <c r="AL746" s="771"/>
    </row>
    <row r="747" spans="1:38" ht="12" customHeight="1">
      <c r="A747" t="s">
        <v>1021</v>
      </c>
      <c r="E747" s="556"/>
      <c r="F747" s="1355"/>
      <c r="G747" s="774"/>
      <c r="H747" s="774"/>
      <c r="I747" s="1352" t="s">
        <v>1083</v>
      </c>
      <c r="J747" s="1352"/>
      <c r="K747" s="1352"/>
      <c r="L747" s="775"/>
      <c r="M747" s="775"/>
      <c r="N747" s="776"/>
      <c r="O747" s="776"/>
      <c r="P747" s="776"/>
      <c r="Q747" s="776"/>
      <c r="R747" s="776"/>
      <c r="S747" s="776"/>
      <c r="T747" s="776"/>
      <c r="U747" s="776"/>
      <c r="V747" s="776"/>
      <c r="W747" s="776"/>
      <c r="X747" s="776"/>
      <c r="Y747" s="776"/>
      <c r="Z747" s="776"/>
      <c r="AA747" s="776"/>
      <c r="AB747" s="776"/>
      <c r="AC747" s="776"/>
      <c r="AD747" s="776"/>
      <c r="AE747" s="776"/>
      <c r="AF747" s="776"/>
      <c r="AG747" s="775"/>
      <c r="AH747" s="775"/>
      <c r="AI747" s="776"/>
      <c r="AJ747" s="775"/>
      <c r="AK747" s="776"/>
      <c r="AL747" s="771"/>
    </row>
    <row r="748" spans="1:38" ht="0.75" customHeight="1">
      <c r="A748" t="s">
        <v>1021</v>
      </c>
      <c r="E748" s="556"/>
      <c r="F748" s="1353">
        <v>2024</v>
      </c>
      <c r="G748" s="1327"/>
      <c r="H748" s="1357" t="s">
        <v>387</v>
      </c>
      <c r="I748" s="1358"/>
      <c r="J748" s="1350"/>
      <c r="K748" s="1350"/>
      <c r="L748" s="1351"/>
      <c r="M748" s="1200"/>
      <c r="N748" s="214"/>
      <c r="O748" s="215"/>
      <c r="P748" s="214"/>
      <c r="Q748" s="214"/>
      <c r="R748" s="214"/>
      <c r="S748" s="214"/>
      <c r="T748" s="214"/>
      <c r="U748" s="214"/>
      <c r="V748" s="214"/>
      <c r="W748" s="214"/>
      <c r="X748" s="214"/>
      <c r="Y748" s="214"/>
      <c r="Z748" s="214"/>
      <c r="AA748" s="214"/>
      <c r="AB748" s="214"/>
      <c r="AC748" s="214"/>
      <c r="AD748" s="214"/>
      <c r="AE748" s="214"/>
      <c r="AF748" s="1356"/>
      <c r="AG748" s="1351"/>
      <c r="AH748" s="1351"/>
      <c r="AI748" s="1356"/>
      <c r="AJ748" s="1351"/>
      <c r="AK748" s="1351"/>
      <c r="AL748" s="771"/>
    </row>
    <row r="749" spans="1:38" ht="0.75" customHeight="1">
      <c r="A749" t="s">
        <v>1021</v>
      </c>
      <c r="E749" s="556"/>
      <c r="F749" s="1353"/>
      <c r="G749" s="1327"/>
      <c r="H749" s="1357"/>
      <c r="I749" s="1358"/>
      <c r="J749" s="1350"/>
      <c r="K749" s="1350"/>
      <c r="L749" s="1351"/>
      <c r="M749" s="1200"/>
      <c r="N749" s="1359"/>
      <c r="O749" s="1360"/>
      <c r="P749" s="1347"/>
      <c r="Q749" s="1350"/>
      <c r="R749" s="1350"/>
      <c r="S749" s="1350"/>
      <c r="T749" s="1350"/>
      <c r="U749" s="1350"/>
      <c r="V749" s="1350"/>
      <c r="W749" s="1350"/>
      <c r="X749" s="1350"/>
      <c r="Y749" s="1350"/>
      <c r="Z749" s="216"/>
      <c r="AA749" s="217"/>
      <c r="AB749" s="217"/>
      <c r="AC749" s="218"/>
      <c r="AD749" s="218"/>
      <c r="AE749" s="219"/>
      <c r="AF749" s="1356"/>
      <c r="AG749" s="1351"/>
      <c r="AH749" s="1351"/>
      <c r="AI749" s="1356"/>
      <c r="AJ749" s="1351"/>
      <c r="AK749" s="1351"/>
      <c r="AL749" s="771"/>
    </row>
    <row r="750" spans="1:38" ht="0.75" customHeight="1">
      <c r="A750" t="s">
        <v>1021</v>
      </c>
      <c r="E750" s="556"/>
      <c r="F750" s="1353"/>
      <c r="G750" s="1327"/>
      <c r="H750" s="1357"/>
      <c r="I750" s="1358"/>
      <c r="J750" s="1350"/>
      <c r="K750" s="1350"/>
      <c r="L750" s="1351"/>
      <c r="M750" s="1200"/>
      <c r="N750" s="1359"/>
      <c r="O750" s="1360"/>
      <c r="P750" s="1348"/>
      <c r="Q750" s="1350"/>
      <c r="R750" s="1350"/>
      <c r="S750" s="1350"/>
      <c r="T750" s="1350"/>
      <c r="U750" s="1350"/>
      <c r="V750" s="1350"/>
      <c r="W750" s="1350"/>
      <c r="X750" s="1350"/>
      <c r="Y750" s="1350"/>
      <c r="AA750" s="772"/>
      <c r="AB750" s="773"/>
      <c r="AC750" s="220"/>
      <c r="AD750" s="773"/>
      <c r="AE750" s="220"/>
      <c r="AF750" s="1356"/>
      <c r="AG750" s="1351"/>
      <c r="AH750" s="1351"/>
      <c r="AI750" s="1356"/>
      <c r="AJ750" s="1351"/>
      <c r="AK750" s="1351"/>
      <c r="AL750" s="771"/>
    </row>
    <row r="751" spans="1:38" ht="0.75" customHeight="1">
      <c r="A751" t="s">
        <v>1021</v>
      </c>
      <c r="E751" s="556"/>
      <c r="F751" s="1353"/>
      <c r="G751" s="1327"/>
      <c r="H751" s="1357"/>
      <c r="I751" s="1358"/>
      <c r="J751" s="1350"/>
      <c r="K751" s="1350"/>
      <c r="L751" s="1351"/>
      <c r="M751" s="1200"/>
      <c r="N751" s="1359"/>
      <c r="O751" s="1360"/>
      <c r="P751" s="1349"/>
      <c r="Q751" s="1350"/>
      <c r="R751" s="1350"/>
      <c r="S751" s="1350"/>
      <c r="T751" s="1350"/>
      <c r="U751" s="1350"/>
      <c r="V751" s="1350"/>
      <c r="W751" s="1350"/>
      <c r="X751" s="1350"/>
      <c r="Y751" s="1350"/>
      <c r="Z751" s="216"/>
      <c r="AA751" s="217"/>
      <c r="AB751" s="221"/>
      <c r="AC751" s="218"/>
      <c r="AD751" s="218"/>
      <c r="AE751" s="222"/>
      <c r="AF751" s="1356"/>
      <c r="AG751" s="1351"/>
      <c r="AH751" s="1351"/>
      <c r="AI751" s="1356"/>
      <c r="AJ751" s="1351"/>
      <c r="AK751" s="1351"/>
      <c r="AL751" s="771"/>
    </row>
    <row r="752" spans="1:38" ht="0.75" customHeight="1">
      <c r="A752" t="s">
        <v>1021</v>
      </c>
      <c r="E752" s="556"/>
      <c r="F752" s="1353"/>
      <c r="G752" s="1327"/>
      <c r="H752" s="1357"/>
      <c r="I752" s="1358"/>
      <c r="J752" s="1350"/>
      <c r="K752" s="1350"/>
      <c r="L752" s="1351"/>
      <c r="M752" s="1200"/>
      <c r="N752" s="217"/>
      <c r="O752" s="217"/>
      <c r="P752" s="221"/>
      <c r="Q752" s="217"/>
      <c r="R752" s="217"/>
      <c r="S752" s="217"/>
      <c r="T752" s="217"/>
      <c r="U752" s="217"/>
      <c r="V752" s="217"/>
      <c r="W752" s="217"/>
      <c r="X752" s="217"/>
      <c r="Y752" s="217"/>
      <c r="Z752" s="217"/>
      <c r="AA752" s="217"/>
      <c r="AB752" s="217"/>
      <c r="AC752" s="217"/>
      <c r="AD752" s="217"/>
      <c r="AE752" s="223"/>
      <c r="AF752" s="1356"/>
      <c r="AG752" s="1351"/>
      <c r="AH752" s="1351"/>
      <c r="AI752" s="1356"/>
      <c r="AJ752" s="1351"/>
      <c r="AK752" s="1351"/>
      <c r="AL752" s="771"/>
    </row>
    <row r="753" spans="1:38" ht="11.25" customHeight="1">
      <c r="A753" t="s">
        <v>1021</v>
      </c>
      <c r="B753" t="s">
        <v>22</v>
      </c>
      <c r="E753" s="556"/>
      <c r="F753" s="1354"/>
      <c r="G753" s="1304" t="s">
        <v>103</v>
      </c>
      <c r="H753" s="1327" t="s">
        <v>114</v>
      </c>
      <c r="I753" s="1328" t="s">
        <v>1053</v>
      </c>
      <c r="J753" s="1329" t="s">
        <v>22</v>
      </c>
      <c r="K753" s="1330" t="s">
        <v>1101</v>
      </c>
      <c r="L753" s="1058" t="s">
        <v>19</v>
      </c>
      <c r="M753" s="1060"/>
      <c r="N753" s="241"/>
      <c r="O753" s="242" t="s">
        <v>387</v>
      </c>
      <c r="P753" s="243"/>
      <c r="Q753" s="243"/>
      <c r="R753" s="243"/>
      <c r="S753" s="243"/>
      <c r="T753" s="243"/>
      <c r="U753" s="243"/>
      <c r="V753" s="243"/>
      <c r="W753" s="243"/>
      <c r="X753" s="243"/>
      <c r="Y753" s="243"/>
      <c r="Z753" s="243"/>
      <c r="AA753" s="243"/>
      <c r="AB753" s="243"/>
      <c r="AC753" s="243"/>
      <c r="AD753" s="243"/>
      <c r="AE753" s="243"/>
      <c r="AF753" s="1331">
        <v>3</v>
      </c>
      <c r="AG753" s="1332" t="s">
        <v>1055</v>
      </c>
      <c r="AH753" s="1332" t="s">
        <v>1102</v>
      </c>
      <c r="AI753" s="1331">
        <v>3</v>
      </c>
      <c r="AJ753" s="1332" t="s">
        <v>1055</v>
      </c>
      <c r="AK753" s="1332" t="s">
        <v>1102</v>
      </c>
      <c r="AL753" s="771"/>
    </row>
    <row r="754" spans="1:38" ht="11.25" customHeight="1">
      <c r="A754" t="s">
        <v>1021</v>
      </c>
      <c r="E754" s="556"/>
      <c r="F754" s="1354"/>
      <c r="G754" s="1326"/>
      <c r="H754" s="1327" t="s">
        <v>387</v>
      </c>
      <c r="I754" s="1328"/>
      <c r="J754" s="1329"/>
      <c r="K754" s="1330"/>
      <c r="L754" s="1058"/>
      <c r="M754" s="1060"/>
      <c r="N754" s="1333"/>
      <c r="O754" s="1334">
        <v>1</v>
      </c>
      <c r="P754" s="1335" t="s">
        <v>61</v>
      </c>
      <c r="Q754" s="1339" t="s">
        <v>1103</v>
      </c>
      <c r="R754" s="1340" t="s">
        <v>1104</v>
      </c>
      <c r="S754" s="1340" t="s">
        <v>99</v>
      </c>
      <c r="T754" s="1340" t="s">
        <v>99</v>
      </c>
      <c r="U754" s="1340" t="s">
        <v>100</v>
      </c>
      <c r="V754" s="1340" t="s">
        <v>1059</v>
      </c>
      <c r="W754" s="1340" t="s">
        <v>1060</v>
      </c>
      <c r="X754" s="1340" t="s">
        <v>1105</v>
      </c>
      <c r="Y754" s="1340" t="s">
        <v>1106</v>
      </c>
      <c r="Z754" s="229"/>
      <c r="AA754" s="230"/>
      <c r="AB754" s="230"/>
      <c r="AC754" s="231"/>
      <c r="AD754" s="231"/>
      <c r="AE754" s="244"/>
      <c r="AF754" s="1331"/>
      <c r="AG754" s="1332"/>
      <c r="AH754" s="1332"/>
      <c r="AI754" s="1331"/>
      <c r="AJ754" s="1332"/>
      <c r="AK754" s="1332"/>
      <c r="AL754" s="771"/>
    </row>
    <row r="755" spans="1:38" ht="11.25" customHeight="1">
      <c r="A755" t="s">
        <v>1021</v>
      </c>
      <c r="E755" s="556"/>
      <c r="F755" s="1354"/>
      <c r="G755" s="1326"/>
      <c r="H755" s="1327" t="s">
        <v>387</v>
      </c>
      <c r="I755" s="1328"/>
      <c r="J755" s="1329"/>
      <c r="K755" s="1330"/>
      <c r="L755" s="1058"/>
      <c r="M755" s="1060"/>
      <c r="N755" s="1333"/>
      <c r="O755" s="1334"/>
      <c r="P755" s="1336"/>
      <c r="Q755" s="1339"/>
      <c r="R755" s="1323"/>
      <c r="S755" s="1338"/>
      <c r="T755" s="1323"/>
      <c r="U755" s="1323"/>
      <c r="V755" s="1323"/>
      <c r="W755" s="1323"/>
      <c r="X755" s="1323"/>
      <c r="Y755" s="1323"/>
      <c r="AA755" s="777">
        <v>1</v>
      </c>
      <c r="AB755" s="778" t="s">
        <v>1129</v>
      </c>
      <c r="AC755" s="236">
        <v>8.8097077846613594</v>
      </c>
      <c r="AD755" s="778" t="str">
        <f>AB755</f>
        <v xml:space="preserve">     Прочие амортизационные отчисления</v>
      </c>
      <c r="AE755" s="236">
        <v>0</v>
      </c>
      <c r="AF755" s="1331"/>
      <c r="AG755" s="1332"/>
      <c r="AH755" s="1332"/>
      <c r="AI755" s="1331"/>
      <c r="AJ755" s="1332"/>
      <c r="AK755" s="1332"/>
      <c r="AL755" s="771"/>
    </row>
    <row r="756" spans="1:38" ht="11.25" customHeight="1">
      <c r="A756" t="s">
        <v>1021</v>
      </c>
      <c r="E756" s="556"/>
      <c r="F756" s="1354"/>
      <c r="G756" s="1326"/>
      <c r="H756" s="1327" t="s">
        <v>387</v>
      </c>
      <c r="I756" s="1328"/>
      <c r="J756" s="1329"/>
      <c r="K756" s="1330"/>
      <c r="L756" s="1058"/>
      <c r="M756" s="1060"/>
      <c r="N756" s="1333"/>
      <c r="O756" s="1334"/>
      <c r="P756" s="1337"/>
      <c r="Q756" s="1339"/>
      <c r="R756" s="1323"/>
      <c r="S756" s="1338"/>
      <c r="T756" s="1323"/>
      <c r="U756" s="1323"/>
      <c r="V756" s="1323"/>
      <c r="W756" s="1323"/>
      <c r="X756" s="1323"/>
      <c r="Y756" s="1323"/>
      <c r="Z756" s="229"/>
      <c r="AA756" s="230"/>
      <c r="AB756" s="44" t="s">
        <v>1064</v>
      </c>
      <c r="AC756" s="231"/>
      <c r="AD756" s="231"/>
      <c r="AE756" s="245"/>
      <c r="AF756" s="1331"/>
      <c r="AG756" s="1332"/>
      <c r="AH756" s="1332"/>
      <c r="AI756" s="1331"/>
      <c r="AJ756" s="1332"/>
      <c r="AK756" s="1332"/>
      <c r="AL756" s="771"/>
    </row>
    <row r="757" spans="1:38" ht="11.25" customHeight="1">
      <c r="A757" t="s">
        <v>1021</v>
      </c>
      <c r="E757" s="556"/>
      <c r="F757" s="1354"/>
      <c r="G757" s="1326"/>
      <c r="H757" s="1327" t="s">
        <v>387</v>
      </c>
      <c r="I757" s="1328"/>
      <c r="J757" s="1329"/>
      <c r="K757" s="1330"/>
      <c r="L757" s="1058"/>
      <c r="M757" s="1060"/>
      <c r="N757" s="229"/>
      <c r="O757" s="230"/>
      <c r="P757" s="44" t="s">
        <v>1065</v>
      </c>
      <c r="Q757" s="230"/>
      <c r="R757" s="230"/>
      <c r="S757" s="230"/>
      <c r="T757" s="230"/>
      <c r="U757" s="230"/>
      <c r="V757" s="230"/>
      <c r="W757" s="230"/>
      <c r="X757" s="230"/>
      <c r="Y757" s="230"/>
      <c r="Z757" s="230"/>
      <c r="AA757" s="230"/>
      <c r="AB757" s="230"/>
      <c r="AC757" s="230"/>
      <c r="AD757" s="230"/>
      <c r="AE757" s="246"/>
      <c r="AF757" s="1331"/>
      <c r="AG757" s="1332"/>
      <c r="AH757" s="1332"/>
      <c r="AI757" s="1331"/>
      <c r="AJ757" s="1332"/>
      <c r="AK757" s="1332"/>
      <c r="AL757" s="771"/>
    </row>
    <row r="758" spans="1:38" ht="11.25" customHeight="1">
      <c r="A758" t="s">
        <v>1021</v>
      </c>
      <c r="B758" t="s">
        <v>22</v>
      </c>
      <c r="E758" s="556"/>
      <c r="F758" s="1354"/>
      <c r="G758" s="1304" t="s">
        <v>103</v>
      </c>
      <c r="H758" s="1327" t="s">
        <v>102</v>
      </c>
      <c r="I758" s="1328" t="s">
        <v>1053</v>
      </c>
      <c r="J758" s="1329" t="s">
        <v>22</v>
      </c>
      <c r="K758" s="1330" t="s">
        <v>1175</v>
      </c>
      <c r="L758" s="1058" t="s">
        <v>61</v>
      </c>
      <c r="M758" s="1342" t="s">
        <v>1020</v>
      </c>
      <c r="N758" s="241"/>
      <c r="O758" s="242" t="s">
        <v>387</v>
      </c>
      <c r="P758" s="243"/>
      <c r="Q758" s="243"/>
      <c r="R758" s="243"/>
      <c r="S758" s="243"/>
      <c r="T758" s="243"/>
      <c r="U758" s="243"/>
      <c r="V758" s="243"/>
      <c r="W758" s="243"/>
      <c r="X758" s="243"/>
      <c r="Y758" s="243"/>
      <c r="Z758" s="243"/>
      <c r="AA758" s="243"/>
      <c r="AB758" s="243"/>
      <c r="AC758" s="243"/>
      <c r="AD758" s="243"/>
      <c r="AE758" s="243"/>
      <c r="AF758" s="1331">
        <v>1</v>
      </c>
      <c r="AG758" s="1332" t="s">
        <v>1055</v>
      </c>
      <c r="AH758" s="1332" t="s">
        <v>1135</v>
      </c>
      <c r="AI758" s="1331">
        <v>1</v>
      </c>
      <c r="AJ758" s="1332" t="s">
        <v>1055</v>
      </c>
      <c r="AK758" s="1332" t="s">
        <v>1135</v>
      </c>
      <c r="AL758" s="771"/>
    </row>
    <row r="759" spans="1:38" ht="11.25" customHeight="1">
      <c r="A759" t="s">
        <v>1021</v>
      </c>
      <c r="E759" s="556"/>
      <c r="F759" s="1354"/>
      <c r="G759" s="1326"/>
      <c r="H759" s="1327" t="s">
        <v>114</v>
      </c>
      <c r="I759" s="1328"/>
      <c r="J759" s="1329"/>
      <c r="K759" s="1330"/>
      <c r="L759" s="1058"/>
      <c r="M759" s="1342"/>
      <c r="N759" s="1333"/>
      <c r="O759" s="1334">
        <v>1</v>
      </c>
      <c r="P759" s="1335" t="s">
        <v>61</v>
      </c>
      <c r="Q759" s="1339" t="s">
        <v>1069</v>
      </c>
      <c r="R759" s="1340" t="s">
        <v>1058</v>
      </c>
      <c r="S759" s="1340" t="s">
        <v>99</v>
      </c>
      <c r="T759" s="1340" t="s">
        <v>99</v>
      </c>
      <c r="U759" s="1340" t="s">
        <v>100</v>
      </c>
      <c r="V759" s="1340" t="s">
        <v>1059</v>
      </c>
      <c r="W759" s="1340" t="s">
        <v>1060</v>
      </c>
      <c r="X759" s="1340" t="s">
        <v>1070</v>
      </c>
      <c r="Y759" s="1340" t="s">
        <v>1071</v>
      </c>
      <c r="Z759" s="229"/>
      <c r="AA759" s="230"/>
      <c r="AB759" s="230"/>
      <c r="AC759" s="231"/>
      <c r="AD759" s="231"/>
      <c r="AE759" s="244"/>
      <c r="AF759" s="1331"/>
      <c r="AG759" s="1332"/>
      <c r="AH759" s="1332"/>
      <c r="AI759" s="1331"/>
      <c r="AJ759" s="1332"/>
      <c r="AK759" s="1332"/>
      <c r="AL759" s="771"/>
    </row>
    <row r="760" spans="1:38" ht="11.25" customHeight="1">
      <c r="A760" t="s">
        <v>1021</v>
      </c>
      <c r="E760" s="556"/>
      <c r="F760" s="1354"/>
      <c r="G760" s="1326"/>
      <c r="H760" s="1327" t="s">
        <v>114</v>
      </c>
      <c r="I760" s="1328"/>
      <c r="J760" s="1329"/>
      <c r="K760" s="1330"/>
      <c r="L760" s="1058"/>
      <c r="M760" s="1342"/>
      <c r="N760" s="1333"/>
      <c r="O760" s="1334"/>
      <c r="P760" s="1336"/>
      <c r="Q760" s="1339"/>
      <c r="R760" s="1323"/>
      <c r="S760" s="1338"/>
      <c r="T760" s="1323"/>
      <c r="U760" s="1323"/>
      <c r="V760" s="1323"/>
      <c r="W760" s="1323"/>
      <c r="X760" s="1323"/>
      <c r="Y760" s="1323"/>
      <c r="AA760" s="777">
        <v>1</v>
      </c>
      <c r="AB760" s="778" t="s">
        <v>1138</v>
      </c>
      <c r="AC760" s="236">
        <v>3175939.1292300001</v>
      </c>
      <c r="AD760" s="778" t="str">
        <f>AB760</f>
        <v xml:space="preserve">  Бюджет субъекта РФ</v>
      </c>
      <c r="AE760" s="236">
        <v>0</v>
      </c>
      <c r="AF760" s="1331"/>
      <c r="AG760" s="1332"/>
      <c r="AH760" s="1332"/>
      <c r="AI760" s="1331"/>
      <c r="AJ760" s="1332"/>
      <c r="AK760" s="1332"/>
      <c r="AL760" s="771"/>
    </row>
    <row r="761" spans="1:38" ht="11.25" customHeight="1">
      <c r="A761" t="s">
        <v>1021</v>
      </c>
      <c r="E761" s="556"/>
      <c r="F761" s="1354"/>
      <c r="G761" s="1326"/>
      <c r="H761" s="1327" t="s">
        <v>114</v>
      </c>
      <c r="I761" s="1328"/>
      <c r="J761" s="1329"/>
      <c r="K761" s="1330"/>
      <c r="L761" s="1058"/>
      <c r="M761" s="1342"/>
      <c r="N761" s="1333"/>
      <c r="O761" s="1334"/>
      <c r="P761" s="1337"/>
      <c r="Q761" s="1339"/>
      <c r="R761" s="1323"/>
      <c r="S761" s="1338"/>
      <c r="T761" s="1323"/>
      <c r="U761" s="1323"/>
      <c r="V761" s="1323"/>
      <c r="W761" s="1323"/>
      <c r="X761" s="1323"/>
      <c r="Y761" s="1323"/>
      <c r="Z761" s="229"/>
      <c r="AA761" s="230"/>
      <c r="AB761" s="44" t="s">
        <v>1064</v>
      </c>
      <c r="AC761" s="231"/>
      <c r="AD761" s="231"/>
      <c r="AE761" s="245"/>
      <c r="AF761" s="1331"/>
      <c r="AG761" s="1332"/>
      <c r="AH761" s="1332"/>
      <c r="AI761" s="1331"/>
      <c r="AJ761" s="1332"/>
      <c r="AK761" s="1332"/>
      <c r="AL761" s="771"/>
    </row>
    <row r="762" spans="1:38" ht="11.25" customHeight="1">
      <c r="A762" t="s">
        <v>1021</v>
      </c>
      <c r="E762" s="556"/>
      <c r="F762" s="1354"/>
      <c r="G762" s="1326"/>
      <c r="H762" s="1327" t="s">
        <v>114</v>
      </c>
      <c r="I762" s="1328"/>
      <c r="J762" s="1329"/>
      <c r="K762" s="1330"/>
      <c r="L762" s="1058"/>
      <c r="M762" s="1342"/>
      <c r="N762" s="229"/>
      <c r="O762" s="230"/>
      <c r="P762" s="44" t="s">
        <v>1065</v>
      </c>
      <c r="Q762" s="230"/>
      <c r="R762" s="230"/>
      <c r="S762" s="230"/>
      <c r="T762" s="230"/>
      <c r="U762" s="230"/>
      <c r="V762" s="230"/>
      <c r="W762" s="230"/>
      <c r="X762" s="230"/>
      <c r="Y762" s="230"/>
      <c r="Z762" s="230"/>
      <c r="AA762" s="230"/>
      <c r="AB762" s="230"/>
      <c r="AC762" s="230"/>
      <c r="AD762" s="230"/>
      <c r="AE762" s="246"/>
      <c r="AF762" s="1331"/>
      <c r="AG762" s="1332"/>
      <c r="AH762" s="1332"/>
      <c r="AI762" s="1331"/>
      <c r="AJ762" s="1332"/>
      <c r="AK762" s="1332"/>
      <c r="AL762" s="771"/>
    </row>
    <row r="763" spans="1:38" ht="11.25" customHeight="1">
      <c r="A763" t="s">
        <v>1021</v>
      </c>
      <c r="B763" t="s">
        <v>1076</v>
      </c>
      <c r="E763" s="556"/>
      <c r="F763" s="1354"/>
      <c r="G763" s="1304" t="s">
        <v>103</v>
      </c>
      <c r="H763" s="1327" t="s">
        <v>89</v>
      </c>
      <c r="I763" s="1328" t="s">
        <v>1077</v>
      </c>
      <c r="J763" s="1341" t="s">
        <v>1078</v>
      </c>
      <c r="K763" s="1330" t="s">
        <v>1084</v>
      </c>
      <c r="L763" s="1058" t="s">
        <v>61</v>
      </c>
      <c r="M763" s="1342" t="s">
        <v>1020</v>
      </c>
      <c r="N763" s="241"/>
      <c r="O763" s="242" t="s">
        <v>387</v>
      </c>
      <c r="P763" s="243"/>
      <c r="Q763" s="243"/>
      <c r="R763" s="243"/>
      <c r="S763" s="243"/>
      <c r="T763" s="243"/>
      <c r="U763" s="243"/>
      <c r="V763" s="243"/>
      <c r="W763" s="243"/>
      <c r="X763" s="243"/>
      <c r="Y763" s="243"/>
      <c r="Z763" s="243"/>
      <c r="AA763" s="243"/>
      <c r="AB763" s="243"/>
      <c r="AC763" s="243"/>
      <c r="AD763" s="243"/>
      <c r="AE763" s="243"/>
      <c r="AF763" s="1331">
        <v>5</v>
      </c>
      <c r="AG763" s="1332" t="s">
        <v>1055</v>
      </c>
      <c r="AH763" s="1332" t="s">
        <v>1085</v>
      </c>
      <c r="AI763" s="1331">
        <v>5</v>
      </c>
      <c r="AJ763" s="1332" t="s">
        <v>1055</v>
      </c>
      <c r="AK763" s="1332" t="s">
        <v>1085</v>
      </c>
      <c r="AL763" s="771"/>
    </row>
    <row r="764" spans="1:38" ht="11.25" customHeight="1">
      <c r="A764" t="s">
        <v>1021</v>
      </c>
      <c r="E764" s="556"/>
      <c r="F764" s="1354"/>
      <c r="G764" s="1326"/>
      <c r="H764" s="1327" t="s">
        <v>102</v>
      </c>
      <c r="I764" s="1328"/>
      <c r="J764" s="1341"/>
      <c r="K764" s="1330"/>
      <c r="L764" s="1058"/>
      <c r="M764" s="1342"/>
      <c r="N764" s="1333"/>
      <c r="O764" s="1334">
        <v>1</v>
      </c>
      <c r="P764" s="1335" t="s">
        <v>19</v>
      </c>
      <c r="Q764" s="1323" t="s">
        <v>22</v>
      </c>
      <c r="R764" s="1323" t="s">
        <v>22</v>
      </c>
      <c r="S764" s="1323" t="s">
        <v>22</v>
      </c>
      <c r="T764" s="1323" t="s">
        <v>22</v>
      </c>
      <c r="U764" s="1323" t="s">
        <v>22</v>
      </c>
      <c r="V764" s="1323" t="s">
        <v>22</v>
      </c>
      <c r="W764" s="1323" t="s">
        <v>22</v>
      </c>
      <c r="X764" s="1323" t="s">
        <v>22</v>
      </c>
      <c r="Y764" s="1323"/>
      <c r="Z764" s="229"/>
      <c r="AA764" s="230"/>
      <c r="AB764" s="230"/>
      <c r="AC764" s="231"/>
      <c r="AD764" s="231"/>
      <c r="AE764" s="244"/>
      <c r="AF764" s="1331"/>
      <c r="AG764" s="1332"/>
      <c r="AH764" s="1332"/>
      <c r="AI764" s="1331"/>
      <c r="AJ764" s="1332"/>
      <c r="AK764" s="1332"/>
      <c r="AL764" s="771"/>
    </row>
    <row r="765" spans="1:38" ht="11.25" customHeight="1">
      <c r="A765" t="s">
        <v>1021</v>
      </c>
      <c r="E765" s="556"/>
      <c r="F765" s="1354"/>
      <c r="G765" s="1326"/>
      <c r="H765" s="1327" t="s">
        <v>102</v>
      </c>
      <c r="I765" s="1328"/>
      <c r="J765" s="1341"/>
      <c r="K765" s="1330"/>
      <c r="L765" s="1058"/>
      <c r="M765" s="1342"/>
      <c r="N765" s="1333"/>
      <c r="O765" s="1334"/>
      <c r="P765" s="1336"/>
      <c r="Q765" s="1323"/>
      <c r="R765" s="1323"/>
      <c r="S765" s="1338"/>
      <c r="T765" s="1323"/>
      <c r="U765" s="1323"/>
      <c r="V765" s="1323"/>
      <c r="W765" s="1323"/>
      <c r="X765" s="1323"/>
      <c r="Y765" s="1323"/>
      <c r="AA765" s="777">
        <v>1</v>
      </c>
      <c r="AB765" s="778" t="s">
        <v>1129</v>
      </c>
      <c r="AC765" s="236">
        <v>2579.1217195740701</v>
      </c>
      <c r="AD765" s="778" t="str">
        <f>AB765</f>
        <v xml:space="preserve">     Прочие амортизационные отчисления</v>
      </c>
      <c r="AE765" s="236">
        <v>0</v>
      </c>
      <c r="AF765" s="1331"/>
      <c r="AG765" s="1332"/>
      <c r="AH765" s="1332"/>
      <c r="AI765" s="1331"/>
      <c r="AJ765" s="1332"/>
      <c r="AK765" s="1332"/>
      <c r="AL765" s="771"/>
    </row>
    <row r="766" spans="1:38" ht="11.25" customHeight="1">
      <c r="A766" t="s">
        <v>1021</v>
      </c>
      <c r="E766" s="556"/>
      <c r="F766" s="1354"/>
      <c r="G766" s="1326"/>
      <c r="H766" s="1327" t="s">
        <v>102</v>
      </c>
      <c r="I766" s="1328"/>
      <c r="J766" s="1341"/>
      <c r="K766" s="1330"/>
      <c r="L766" s="1058"/>
      <c r="M766" s="1342"/>
      <c r="N766" s="1333"/>
      <c r="O766" s="1334"/>
      <c r="P766" s="1337"/>
      <c r="Q766" s="1323"/>
      <c r="R766" s="1323"/>
      <c r="S766" s="1338"/>
      <c r="T766" s="1323"/>
      <c r="U766" s="1323"/>
      <c r="V766" s="1323"/>
      <c r="W766" s="1323"/>
      <c r="X766" s="1323"/>
      <c r="Y766" s="1323"/>
      <c r="Z766" s="229"/>
      <c r="AA766" s="230"/>
      <c r="AB766" s="44" t="s">
        <v>1064</v>
      </c>
      <c r="AC766" s="231"/>
      <c r="AD766" s="231"/>
      <c r="AE766" s="245"/>
      <c r="AF766" s="1331"/>
      <c r="AG766" s="1332"/>
      <c r="AH766" s="1332"/>
      <c r="AI766" s="1331"/>
      <c r="AJ766" s="1332"/>
      <c r="AK766" s="1332"/>
      <c r="AL766" s="771"/>
    </row>
    <row r="767" spans="1:38" ht="11.25" customHeight="1">
      <c r="A767" t="s">
        <v>1021</v>
      </c>
      <c r="E767" s="556"/>
      <c r="F767" s="1354"/>
      <c r="G767" s="1326"/>
      <c r="H767" s="1327" t="s">
        <v>102</v>
      </c>
      <c r="I767" s="1328"/>
      <c r="J767" s="1341"/>
      <c r="K767" s="1330"/>
      <c r="L767" s="1058"/>
      <c r="M767" s="1342"/>
      <c r="N767" s="229"/>
      <c r="O767" s="230"/>
      <c r="P767" s="44" t="s">
        <v>1065</v>
      </c>
      <c r="Q767" s="230"/>
      <c r="R767" s="230"/>
      <c r="S767" s="230"/>
      <c r="T767" s="230"/>
      <c r="U767" s="230"/>
      <c r="V767" s="230"/>
      <c r="W767" s="230"/>
      <c r="X767" s="230"/>
      <c r="Y767" s="230"/>
      <c r="Z767" s="230"/>
      <c r="AA767" s="230"/>
      <c r="AB767" s="230"/>
      <c r="AC767" s="230"/>
      <c r="AD767" s="230"/>
      <c r="AE767" s="246"/>
      <c r="AF767" s="1331"/>
      <c r="AG767" s="1332"/>
      <c r="AH767" s="1332"/>
      <c r="AI767" s="1331"/>
      <c r="AJ767" s="1332"/>
      <c r="AK767" s="1332"/>
      <c r="AL767" s="771"/>
    </row>
    <row r="768" spans="1:38" ht="11.25" customHeight="1">
      <c r="A768" t="s">
        <v>1021</v>
      </c>
      <c r="B768" t="s">
        <v>1076</v>
      </c>
      <c r="E768" s="556"/>
      <c r="F768" s="1354"/>
      <c r="G768" s="1304" t="s">
        <v>103</v>
      </c>
      <c r="H768" s="1327" t="s">
        <v>90</v>
      </c>
      <c r="I768" s="1328" t="s">
        <v>1077</v>
      </c>
      <c r="J768" s="1341" t="s">
        <v>1130</v>
      </c>
      <c r="K768" s="1330" t="s">
        <v>1134</v>
      </c>
      <c r="L768" s="1058" t="s">
        <v>19</v>
      </c>
      <c r="M768" s="1060"/>
      <c r="N768" s="241"/>
      <c r="O768" s="242" t="s">
        <v>387</v>
      </c>
      <c r="P768" s="243"/>
      <c r="Q768" s="243"/>
      <c r="R768" s="243"/>
      <c r="S768" s="243"/>
      <c r="T768" s="243"/>
      <c r="U768" s="243"/>
      <c r="V768" s="243"/>
      <c r="W768" s="243"/>
      <c r="X768" s="243"/>
      <c r="Y768" s="243"/>
      <c r="Z768" s="243"/>
      <c r="AA768" s="243"/>
      <c r="AB768" s="243"/>
      <c r="AC768" s="243"/>
      <c r="AD768" s="243"/>
      <c r="AE768" s="243"/>
      <c r="AF768" s="1331">
        <v>1</v>
      </c>
      <c r="AG768" s="1332" t="s">
        <v>1055</v>
      </c>
      <c r="AH768" s="1332" t="s">
        <v>1135</v>
      </c>
      <c r="AI768" s="1331">
        <v>1</v>
      </c>
      <c r="AJ768" s="1332" t="s">
        <v>1055</v>
      </c>
      <c r="AK768" s="1332" t="s">
        <v>1135</v>
      </c>
      <c r="AL768" s="771"/>
    </row>
    <row r="769" spans="1:38" ht="11.25" customHeight="1">
      <c r="A769" t="s">
        <v>1021</v>
      </c>
      <c r="E769" s="556"/>
      <c r="F769" s="1354"/>
      <c r="G769" s="1326"/>
      <c r="H769" s="1327" t="s">
        <v>89</v>
      </c>
      <c r="I769" s="1328"/>
      <c r="J769" s="1341"/>
      <c r="K769" s="1330"/>
      <c r="L769" s="1058"/>
      <c r="M769" s="1060"/>
      <c r="N769" s="1333"/>
      <c r="O769" s="1334">
        <v>1</v>
      </c>
      <c r="P769" s="1335" t="s">
        <v>19</v>
      </c>
      <c r="Q769" s="1323" t="s">
        <v>22</v>
      </c>
      <c r="R769" s="1323" t="s">
        <v>22</v>
      </c>
      <c r="S769" s="1323" t="s">
        <v>22</v>
      </c>
      <c r="T769" s="1323" t="s">
        <v>22</v>
      </c>
      <c r="U769" s="1323" t="s">
        <v>22</v>
      </c>
      <c r="V769" s="1323" t="s">
        <v>22</v>
      </c>
      <c r="W769" s="1323" t="s">
        <v>22</v>
      </c>
      <c r="X769" s="1323" t="s">
        <v>22</v>
      </c>
      <c r="Y769" s="1323"/>
      <c r="Z769" s="229"/>
      <c r="AA769" s="230"/>
      <c r="AB769" s="230"/>
      <c r="AC769" s="231"/>
      <c r="AD769" s="231"/>
      <c r="AE769" s="244"/>
      <c r="AF769" s="1331"/>
      <c r="AG769" s="1332"/>
      <c r="AH769" s="1332"/>
      <c r="AI769" s="1331"/>
      <c r="AJ769" s="1332"/>
      <c r="AK769" s="1332"/>
      <c r="AL769" s="771"/>
    </row>
    <row r="770" spans="1:38" ht="11.25" customHeight="1">
      <c r="A770" t="s">
        <v>1021</v>
      </c>
      <c r="E770" s="556"/>
      <c r="F770" s="1354"/>
      <c r="G770" s="1326"/>
      <c r="H770" s="1327" t="s">
        <v>89</v>
      </c>
      <c r="I770" s="1328"/>
      <c r="J770" s="1341"/>
      <c r="K770" s="1330"/>
      <c r="L770" s="1058"/>
      <c r="M770" s="1060"/>
      <c r="N770" s="1333"/>
      <c r="O770" s="1334"/>
      <c r="P770" s="1336"/>
      <c r="Q770" s="1323"/>
      <c r="R770" s="1323"/>
      <c r="S770" s="1338"/>
      <c r="T770" s="1323"/>
      <c r="U770" s="1323"/>
      <c r="V770" s="1323"/>
      <c r="W770" s="1323"/>
      <c r="X770" s="1323"/>
      <c r="Y770" s="1323"/>
      <c r="AA770" s="777">
        <v>1</v>
      </c>
      <c r="AB770" s="778" t="s">
        <v>1129</v>
      </c>
      <c r="AC770" s="236">
        <v>11485.2147184683</v>
      </c>
      <c r="AD770" s="778" t="str">
        <f>AB770</f>
        <v xml:space="preserve">     Прочие амортизационные отчисления</v>
      </c>
      <c r="AE770" s="236">
        <v>0</v>
      </c>
      <c r="AF770" s="1331"/>
      <c r="AG770" s="1332"/>
      <c r="AH770" s="1332"/>
      <c r="AI770" s="1331"/>
      <c r="AJ770" s="1332"/>
      <c r="AK770" s="1332"/>
      <c r="AL770" s="771"/>
    </row>
    <row r="771" spans="1:38" ht="11.25" customHeight="1">
      <c r="A771" t="s">
        <v>1021</v>
      </c>
      <c r="E771" s="556"/>
      <c r="F771" s="1354"/>
      <c r="G771" s="1326"/>
      <c r="H771" s="1327" t="s">
        <v>89</v>
      </c>
      <c r="I771" s="1328"/>
      <c r="J771" s="1341"/>
      <c r="K771" s="1330"/>
      <c r="L771" s="1058"/>
      <c r="M771" s="1060"/>
      <c r="N771" s="1333"/>
      <c r="O771" s="1334"/>
      <c r="P771" s="1337"/>
      <c r="Q771" s="1323"/>
      <c r="R771" s="1323"/>
      <c r="S771" s="1338"/>
      <c r="T771" s="1323"/>
      <c r="U771" s="1323"/>
      <c r="V771" s="1323"/>
      <c r="W771" s="1323"/>
      <c r="X771" s="1323"/>
      <c r="Y771" s="1323"/>
      <c r="Z771" s="229"/>
      <c r="AA771" s="230"/>
      <c r="AB771" s="44" t="s">
        <v>1064</v>
      </c>
      <c r="AC771" s="231"/>
      <c r="AD771" s="231"/>
      <c r="AE771" s="245"/>
      <c r="AF771" s="1331"/>
      <c r="AG771" s="1332"/>
      <c r="AH771" s="1332"/>
      <c r="AI771" s="1331"/>
      <c r="AJ771" s="1332"/>
      <c r="AK771" s="1332"/>
      <c r="AL771" s="771"/>
    </row>
    <row r="772" spans="1:38" ht="11.25" customHeight="1">
      <c r="A772" t="s">
        <v>1021</v>
      </c>
      <c r="E772" s="556"/>
      <c r="F772" s="1354"/>
      <c r="G772" s="1326"/>
      <c r="H772" s="1327" t="s">
        <v>89</v>
      </c>
      <c r="I772" s="1328"/>
      <c r="J772" s="1341"/>
      <c r="K772" s="1330"/>
      <c r="L772" s="1058"/>
      <c r="M772" s="1060"/>
      <c r="N772" s="229"/>
      <c r="O772" s="230"/>
      <c r="P772" s="44" t="s">
        <v>1065</v>
      </c>
      <c r="Q772" s="230"/>
      <c r="R772" s="230"/>
      <c r="S772" s="230"/>
      <c r="T772" s="230"/>
      <c r="U772" s="230"/>
      <c r="V772" s="230"/>
      <c r="W772" s="230"/>
      <c r="X772" s="230"/>
      <c r="Y772" s="230"/>
      <c r="Z772" s="230"/>
      <c r="AA772" s="230"/>
      <c r="AB772" s="230"/>
      <c r="AC772" s="230"/>
      <c r="AD772" s="230"/>
      <c r="AE772" s="246"/>
      <c r="AF772" s="1331"/>
      <c r="AG772" s="1332"/>
      <c r="AH772" s="1332"/>
      <c r="AI772" s="1331"/>
      <c r="AJ772" s="1332"/>
      <c r="AK772" s="1332"/>
      <c r="AL772" s="771"/>
    </row>
    <row r="773" spans="1:38" ht="11.25" customHeight="1">
      <c r="A773" t="s">
        <v>1021</v>
      </c>
      <c r="B773" t="s">
        <v>1076</v>
      </c>
      <c r="E773" s="556"/>
      <c r="F773" s="1354"/>
      <c r="G773" s="1304" t="s">
        <v>103</v>
      </c>
      <c r="H773" s="1327" t="s">
        <v>115</v>
      </c>
      <c r="I773" s="1328" t="s">
        <v>1077</v>
      </c>
      <c r="J773" s="1341" t="s">
        <v>1130</v>
      </c>
      <c r="K773" s="1330" t="s">
        <v>1176</v>
      </c>
      <c r="L773" s="1058" t="s">
        <v>19</v>
      </c>
      <c r="M773" s="1060"/>
      <c r="N773" s="241"/>
      <c r="O773" s="242" t="s">
        <v>387</v>
      </c>
      <c r="P773" s="243"/>
      <c r="Q773" s="243"/>
      <c r="R773" s="243"/>
      <c r="S773" s="243"/>
      <c r="T773" s="243"/>
      <c r="U773" s="243"/>
      <c r="V773" s="243"/>
      <c r="W773" s="243"/>
      <c r="X773" s="243"/>
      <c r="Y773" s="243"/>
      <c r="Z773" s="243"/>
      <c r="AA773" s="243"/>
      <c r="AB773" s="243"/>
      <c r="AC773" s="243"/>
      <c r="AD773" s="243"/>
      <c r="AE773" s="243"/>
      <c r="AF773" s="1331">
        <v>2</v>
      </c>
      <c r="AG773" s="1332" t="s">
        <v>1055</v>
      </c>
      <c r="AH773" s="1332" t="s">
        <v>1177</v>
      </c>
      <c r="AI773" s="1331">
        <v>2</v>
      </c>
      <c r="AJ773" s="1332" t="s">
        <v>1055</v>
      </c>
      <c r="AK773" s="1332" t="s">
        <v>1177</v>
      </c>
      <c r="AL773" s="771"/>
    </row>
    <row r="774" spans="1:38" ht="11.25" customHeight="1">
      <c r="A774" t="s">
        <v>1021</v>
      </c>
      <c r="E774" s="556"/>
      <c r="F774" s="1354"/>
      <c r="G774" s="1326"/>
      <c r="H774" s="1327" t="s">
        <v>90</v>
      </c>
      <c r="I774" s="1328"/>
      <c r="J774" s="1341"/>
      <c r="K774" s="1330"/>
      <c r="L774" s="1058"/>
      <c r="M774" s="1060"/>
      <c r="N774" s="1333"/>
      <c r="O774" s="1334">
        <v>1</v>
      </c>
      <c r="P774" s="1335" t="s">
        <v>19</v>
      </c>
      <c r="Q774" s="1323" t="s">
        <v>22</v>
      </c>
      <c r="R774" s="1323" t="s">
        <v>22</v>
      </c>
      <c r="S774" s="1323" t="s">
        <v>22</v>
      </c>
      <c r="T774" s="1323" t="s">
        <v>22</v>
      </c>
      <c r="U774" s="1323" t="s">
        <v>22</v>
      </c>
      <c r="V774" s="1323" t="s">
        <v>22</v>
      </c>
      <c r="W774" s="1323" t="s">
        <v>22</v>
      </c>
      <c r="X774" s="1323" t="s">
        <v>22</v>
      </c>
      <c r="Y774" s="1323"/>
      <c r="Z774" s="229"/>
      <c r="AA774" s="230"/>
      <c r="AB774" s="230"/>
      <c r="AC774" s="231"/>
      <c r="AD774" s="231"/>
      <c r="AE774" s="244"/>
      <c r="AF774" s="1331"/>
      <c r="AG774" s="1332"/>
      <c r="AH774" s="1332"/>
      <c r="AI774" s="1331"/>
      <c r="AJ774" s="1332"/>
      <c r="AK774" s="1332"/>
      <c r="AL774" s="771"/>
    </row>
    <row r="775" spans="1:38" ht="11.25" customHeight="1">
      <c r="A775" t="s">
        <v>1021</v>
      </c>
      <c r="E775" s="556"/>
      <c r="F775" s="1354"/>
      <c r="G775" s="1326"/>
      <c r="H775" s="1327" t="s">
        <v>90</v>
      </c>
      <c r="I775" s="1328"/>
      <c r="J775" s="1341"/>
      <c r="K775" s="1330"/>
      <c r="L775" s="1058"/>
      <c r="M775" s="1060"/>
      <c r="N775" s="1333"/>
      <c r="O775" s="1334"/>
      <c r="P775" s="1336"/>
      <c r="Q775" s="1323"/>
      <c r="R775" s="1323"/>
      <c r="S775" s="1338"/>
      <c r="T775" s="1323"/>
      <c r="U775" s="1323"/>
      <c r="V775" s="1323"/>
      <c r="W775" s="1323"/>
      <c r="X775" s="1323"/>
      <c r="Y775" s="1323"/>
      <c r="AA775" s="777">
        <v>1</v>
      </c>
      <c r="AB775" s="778" t="s">
        <v>1129</v>
      </c>
      <c r="AC775" s="236">
        <v>6912.3414190507101</v>
      </c>
      <c r="AD775" s="778" t="str">
        <f>AB775</f>
        <v xml:space="preserve">     Прочие амортизационные отчисления</v>
      </c>
      <c r="AE775" s="236">
        <v>0</v>
      </c>
      <c r="AF775" s="1331"/>
      <c r="AG775" s="1332"/>
      <c r="AH775" s="1332"/>
      <c r="AI775" s="1331"/>
      <c r="AJ775" s="1332"/>
      <c r="AK775" s="1332"/>
      <c r="AL775" s="771"/>
    </row>
    <row r="776" spans="1:38" ht="11.25" customHeight="1">
      <c r="A776" t="s">
        <v>1021</v>
      </c>
      <c r="E776" s="556"/>
      <c r="F776" s="1354"/>
      <c r="G776" s="1326"/>
      <c r="H776" s="1327" t="s">
        <v>90</v>
      </c>
      <c r="I776" s="1328"/>
      <c r="J776" s="1341"/>
      <c r="K776" s="1330"/>
      <c r="L776" s="1058"/>
      <c r="M776" s="1060"/>
      <c r="N776" s="1333"/>
      <c r="O776" s="1334"/>
      <c r="P776" s="1337"/>
      <c r="Q776" s="1323"/>
      <c r="R776" s="1323"/>
      <c r="S776" s="1338"/>
      <c r="T776" s="1323"/>
      <c r="U776" s="1323"/>
      <c r="V776" s="1323"/>
      <c r="W776" s="1323"/>
      <c r="X776" s="1323"/>
      <c r="Y776" s="1323"/>
      <c r="Z776" s="229"/>
      <c r="AA776" s="230"/>
      <c r="AB776" s="44" t="s">
        <v>1064</v>
      </c>
      <c r="AC776" s="231"/>
      <c r="AD776" s="231"/>
      <c r="AE776" s="245"/>
      <c r="AF776" s="1331"/>
      <c r="AG776" s="1332"/>
      <c r="AH776" s="1332"/>
      <c r="AI776" s="1331"/>
      <c r="AJ776" s="1332"/>
      <c r="AK776" s="1332"/>
      <c r="AL776" s="771"/>
    </row>
    <row r="777" spans="1:38" ht="11.25" customHeight="1">
      <c r="A777" t="s">
        <v>1021</v>
      </c>
      <c r="E777" s="556"/>
      <c r="F777" s="1354"/>
      <c r="G777" s="1326"/>
      <c r="H777" s="1327" t="s">
        <v>90</v>
      </c>
      <c r="I777" s="1328"/>
      <c r="J777" s="1341"/>
      <c r="K777" s="1330"/>
      <c r="L777" s="1058"/>
      <c r="M777" s="1060"/>
      <c r="N777" s="229"/>
      <c r="O777" s="230"/>
      <c r="P777" s="44" t="s">
        <v>1065</v>
      </c>
      <c r="Q777" s="230"/>
      <c r="R777" s="230"/>
      <c r="S777" s="230"/>
      <c r="T777" s="230"/>
      <c r="U777" s="230"/>
      <c r="V777" s="230"/>
      <c r="W777" s="230"/>
      <c r="X777" s="230"/>
      <c r="Y777" s="230"/>
      <c r="Z777" s="230"/>
      <c r="AA777" s="230"/>
      <c r="AB777" s="230"/>
      <c r="AC777" s="230"/>
      <c r="AD777" s="230"/>
      <c r="AE777" s="246"/>
      <c r="AF777" s="1331"/>
      <c r="AG777" s="1332"/>
      <c r="AH777" s="1332"/>
      <c r="AI777" s="1331"/>
      <c r="AJ777" s="1332"/>
      <c r="AK777" s="1332"/>
      <c r="AL777" s="771"/>
    </row>
    <row r="778" spans="1:38" ht="11.25" customHeight="1">
      <c r="A778" t="s">
        <v>1021</v>
      </c>
      <c r="B778" t="s">
        <v>1076</v>
      </c>
      <c r="E778" s="556"/>
      <c r="F778" s="1354"/>
      <c r="G778" s="1304" t="s">
        <v>103</v>
      </c>
      <c r="H778" s="1327" t="s">
        <v>91</v>
      </c>
      <c r="I778" s="1328" t="s">
        <v>1077</v>
      </c>
      <c r="J778" s="1341" t="s">
        <v>1078</v>
      </c>
      <c r="K778" s="1330" t="s">
        <v>1108</v>
      </c>
      <c r="L778" s="1058" t="s">
        <v>61</v>
      </c>
      <c r="M778" s="1342" t="s">
        <v>1020</v>
      </c>
      <c r="N778" s="241"/>
      <c r="O778" s="242" t="s">
        <v>387</v>
      </c>
      <c r="P778" s="243"/>
      <c r="Q778" s="243"/>
      <c r="R778" s="243"/>
      <c r="S778" s="243"/>
      <c r="T778" s="243"/>
      <c r="U778" s="243"/>
      <c r="V778" s="243"/>
      <c r="W778" s="243"/>
      <c r="X778" s="243"/>
      <c r="Y778" s="243"/>
      <c r="Z778" s="243"/>
      <c r="AA778" s="243"/>
      <c r="AB778" s="243"/>
      <c r="AC778" s="243"/>
      <c r="AD778" s="243"/>
      <c r="AE778" s="243"/>
      <c r="AF778" s="1331">
        <v>4</v>
      </c>
      <c r="AG778" s="1332" t="s">
        <v>1055</v>
      </c>
      <c r="AH778" s="1332" t="s">
        <v>1109</v>
      </c>
      <c r="AI778" s="1331">
        <v>4</v>
      </c>
      <c r="AJ778" s="1332" t="s">
        <v>1055</v>
      </c>
      <c r="AK778" s="1332" t="s">
        <v>1109</v>
      </c>
      <c r="AL778" s="771"/>
    </row>
    <row r="779" spans="1:38" ht="11.25" customHeight="1">
      <c r="A779" t="s">
        <v>1021</v>
      </c>
      <c r="E779" s="556"/>
      <c r="F779" s="1354"/>
      <c r="G779" s="1326"/>
      <c r="H779" s="1327" t="s">
        <v>115</v>
      </c>
      <c r="I779" s="1328"/>
      <c r="J779" s="1341"/>
      <c r="K779" s="1330"/>
      <c r="L779" s="1058"/>
      <c r="M779" s="1342"/>
      <c r="N779" s="1333"/>
      <c r="O779" s="1334">
        <v>1</v>
      </c>
      <c r="P779" s="1335" t="s">
        <v>19</v>
      </c>
      <c r="Q779" s="1323" t="s">
        <v>22</v>
      </c>
      <c r="R779" s="1323" t="s">
        <v>22</v>
      </c>
      <c r="S779" s="1323" t="s">
        <v>22</v>
      </c>
      <c r="T779" s="1323" t="s">
        <v>22</v>
      </c>
      <c r="U779" s="1323" t="s">
        <v>22</v>
      </c>
      <c r="V779" s="1323" t="s">
        <v>22</v>
      </c>
      <c r="W779" s="1323" t="s">
        <v>22</v>
      </c>
      <c r="X779" s="1323" t="s">
        <v>22</v>
      </c>
      <c r="Y779" s="1323"/>
      <c r="Z779" s="229"/>
      <c r="AA779" s="230"/>
      <c r="AB779" s="230"/>
      <c r="AC779" s="231"/>
      <c r="AD779" s="231"/>
      <c r="AE779" s="244"/>
      <c r="AF779" s="1331"/>
      <c r="AG779" s="1332"/>
      <c r="AH779" s="1332"/>
      <c r="AI779" s="1331"/>
      <c r="AJ779" s="1332"/>
      <c r="AK779" s="1332"/>
      <c r="AL779" s="771"/>
    </row>
    <row r="780" spans="1:38" ht="11.25" customHeight="1">
      <c r="A780" t="s">
        <v>1021</v>
      </c>
      <c r="E780" s="556"/>
      <c r="F780" s="1354"/>
      <c r="G780" s="1326"/>
      <c r="H780" s="1327" t="s">
        <v>115</v>
      </c>
      <c r="I780" s="1328"/>
      <c r="J780" s="1341"/>
      <c r="K780" s="1330"/>
      <c r="L780" s="1058"/>
      <c r="M780" s="1342"/>
      <c r="N780" s="1333"/>
      <c r="O780" s="1334"/>
      <c r="P780" s="1336"/>
      <c r="Q780" s="1323"/>
      <c r="R780" s="1323"/>
      <c r="S780" s="1338"/>
      <c r="T780" s="1323"/>
      <c r="U780" s="1323"/>
      <c r="V780" s="1323"/>
      <c r="W780" s="1323"/>
      <c r="X780" s="1323"/>
      <c r="Y780" s="1323"/>
      <c r="AA780" s="777">
        <v>1</v>
      </c>
      <c r="AB780" s="778" t="s">
        <v>1129</v>
      </c>
      <c r="AC780" s="236">
        <v>1164.4059999999999</v>
      </c>
      <c r="AD780" s="778" t="str">
        <f>AB780</f>
        <v xml:space="preserve">     Прочие амортизационные отчисления</v>
      </c>
      <c r="AE780" s="236">
        <v>0</v>
      </c>
      <c r="AF780" s="1331"/>
      <c r="AG780" s="1332"/>
      <c r="AH780" s="1332"/>
      <c r="AI780" s="1331"/>
      <c r="AJ780" s="1332"/>
      <c r="AK780" s="1332"/>
      <c r="AL780" s="771"/>
    </row>
    <row r="781" spans="1:38" ht="11.25" customHeight="1">
      <c r="A781" t="s">
        <v>1021</v>
      </c>
      <c r="E781" s="556"/>
      <c r="F781" s="1354"/>
      <c r="G781" s="1326"/>
      <c r="H781" s="1327" t="s">
        <v>115</v>
      </c>
      <c r="I781" s="1328"/>
      <c r="J781" s="1341"/>
      <c r="K781" s="1330"/>
      <c r="L781" s="1058"/>
      <c r="M781" s="1342"/>
      <c r="N781" s="1333"/>
      <c r="O781" s="1334"/>
      <c r="P781" s="1337"/>
      <c r="Q781" s="1323"/>
      <c r="R781" s="1323"/>
      <c r="S781" s="1338"/>
      <c r="T781" s="1323"/>
      <c r="U781" s="1323"/>
      <c r="V781" s="1323"/>
      <c r="W781" s="1323"/>
      <c r="X781" s="1323"/>
      <c r="Y781" s="1323"/>
      <c r="Z781" s="229"/>
      <c r="AA781" s="230"/>
      <c r="AB781" s="44" t="s">
        <v>1064</v>
      </c>
      <c r="AC781" s="231"/>
      <c r="AD781" s="231"/>
      <c r="AE781" s="245"/>
      <c r="AF781" s="1331"/>
      <c r="AG781" s="1332"/>
      <c r="AH781" s="1332"/>
      <c r="AI781" s="1331"/>
      <c r="AJ781" s="1332"/>
      <c r="AK781" s="1332"/>
      <c r="AL781" s="771"/>
    </row>
    <row r="782" spans="1:38" ht="11.25" customHeight="1">
      <c r="A782" t="s">
        <v>1021</v>
      </c>
      <c r="E782" s="556"/>
      <c r="F782" s="1354"/>
      <c r="G782" s="1326"/>
      <c r="H782" s="1327" t="s">
        <v>115</v>
      </c>
      <c r="I782" s="1328"/>
      <c r="J782" s="1341"/>
      <c r="K782" s="1330"/>
      <c r="L782" s="1058"/>
      <c r="M782" s="1342"/>
      <c r="N782" s="229"/>
      <c r="O782" s="230"/>
      <c r="P782" s="44" t="s">
        <v>1065</v>
      </c>
      <c r="Q782" s="230"/>
      <c r="R782" s="230"/>
      <c r="S782" s="230"/>
      <c r="T782" s="230"/>
      <c r="U782" s="230"/>
      <c r="V782" s="230"/>
      <c r="W782" s="230"/>
      <c r="X782" s="230"/>
      <c r="Y782" s="230"/>
      <c r="Z782" s="230"/>
      <c r="AA782" s="230"/>
      <c r="AB782" s="230"/>
      <c r="AC782" s="230"/>
      <c r="AD782" s="230"/>
      <c r="AE782" s="246"/>
      <c r="AF782" s="1331"/>
      <c r="AG782" s="1332"/>
      <c r="AH782" s="1332"/>
      <c r="AI782" s="1331"/>
      <c r="AJ782" s="1332"/>
      <c r="AK782" s="1332"/>
      <c r="AL782" s="771"/>
    </row>
    <row r="783" spans="1:38" ht="11.25" customHeight="1">
      <c r="A783" t="s">
        <v>1021</v>
      </c>
      <c r="B783" t="s">
        <v>1122</v>
      </c>
      <c r="E783" s="556"/>
      <c r="F783" s="1354"/>
      <c r="G783" s="1304" t="s">
        <v>103</v>
      </c>
      <c r="H783" s="1327" t="s">
        <v>92</v>
      </c>
      <c r="I783" s="1328" t="s">
        <v>1123</v>
      </c>
      <c r="J783" s="1341" t="s">
        <v>1124</v>
      </c>
      <c r="K783" s="1330" t="s">
        <v>1178</v>
      </c>
      <c r="L783" s="1058" t="s">
        <v>19</v>
      </c>
      <c r="M783" s="1060"/>
      <c r="N783" s="241"/>
      <c r="O783" s="242" t="s">
        <v>387</v>
      </c>
      <c r="P783" s="243"/>
      <c r="Q783" s="243"/>
      <c r="R783" s="243"/>
      <c r="S783" s="243"/>
      <c r="T783" s="243"/>
      <c r="U783" s="243"/>
      <c r="V783" s="243"/>
      <c r="W783" s="243"/>
      <c r="X783" s="243"/>
      <c r="Y783" s="243"/>
      <c r="Z783" s="243"/>
      <c r="AA783" s="243"/>
      <c r="AB783" s="243"/>
      <c r="AC783" s="243"/>
      <c r="AD783" s="243"/>
      <c r="AE783" s="243"/>
      <c r="AF783" s="1331">
        <v>1</v>
      </c>
      <c r="AG783" s="1332" t="s">
        <v>1055</v>
      </c>
      <c r="AH783" s="1332" t="s">
        <v>1135</v>
      </c>
      <c r="AI783" s="1331">
        <v>1</v>
      </c>
      <c r="AJ783" s="1332" t="s">
        <v>1055</v>
      </c>
      <c r="AK783" s="1332" t="s">
        <v>1135</v>
      </c>
      <c r="AL783" s="771"/>
    </row>
    <row r="784" spans="1:38" ht="11.25" customHeight="1">
      <c r="A784" t="s">
        <v>1021</v>
      </c>
      <c r="E784" s="556"/>
      <c r="F784" s="1354"/>
      <c r="G784" s="1326"/>
      <c r="H784" s="1327" t="s">
        <v>91</v>
      </c>
      <c r="I784" s="1328"/>
      <c r="J784" s="1341"/>
      <c r="K784" s="1330"/>
      <c r="L784" s="1058"/>
      <c r="M784" s="1060"/>
      <c r="N784" s="1333"/>
      <c r="O784" s="1334">
        <v>1</v>
      </c>
      <c r="P784" s="1335" t="s">
        <v>19</v>
      </c>
      <c r="Q784" s="1323" t="s">
        <v>22</v>
      </c>
      <c r="R784" s="1323" t="s">
        <v>22</v>
      </c>
      <c r="S784" s="1323" t="s">
        <v>22</v>
      </c>
      <c r="T784" s="1323" t="s">
        <v>22</v>
      </c>
      <c r="U784" s="1323" t="s">
        <v>22</v>
      </c>
      <c r="V784" s="1323" t="s">
        <v>22</v>
      </c>
      <c r="W784" s="1323" t="s">
        <v>22</v>
      </c>
      <c r="X784" s="1323" t="s">
        <v>22</v>
      </c>
      <c r="Y784" s="1323"/>
      <c r="Z784" s="229"/>
      <c r="AA784" s="230"/>
      <c r="AB784" s="230"/>
      <c r="AC784" s="231"/>
      <c r="AD784" s="231"/>
      <c r="AE784" s="244"/>
      <c r="AF784" s="1331"/>
      <c r="AG784" s="1332"/>
      <c r="AH784" s="1332"/>
      <c r="AI784" s="1331"/>
      <c r="AJ784" s="1332"/>
      <c r="AK784" s="1332"/>
      <c r="AL784" s="771"/>
    </row>
    <row r="785" spans="1:38" ht="11.25" customHeight="1">
      <c r="A785" t="s">
        <v>1021</v>
      </c>
      <c r="E785" s="556"/>
      <c r="F785" s="1354"/>
      <c r="G785" s="1326"/>
      <c r="H785" s="1327" t="s">
        <v>91</v>
      </c>
      <c r="I785" s="1328"/>
      <c r="J785" s="1341"/>
      <c r="K785" s="1330"/>
      <c r="L785" s="1058"/>
      <c r="M785" s="1060"/>
      <c r="N785" s="1333"/>
      <c r="O785" s="1334"/>
      <c r="P785" s="1336"/>
      <c r="Q785" s="1323"/>
      <c r="R785" s="1323"/>
      <c r="S785" s="1338"/>
      <c r="T785" s="1323"/>
      <c r="U785" s="1323"/>
      <c r="V785" s="1323"/>
      <c r="W785" s="1323"/>
      <c r="X785" s="1323"/>
      <c r="Y785" s="1323"/>
      <c r="AA785" s="777">
        <v>1</v>
      </c>
      <c r="AB785" s="778" t="s">
        <v>1127</v>
      </c>
      <c r="AC785" s="236">
        <v>10336.348399</v>
      </c>
      <c r="AD785" s="778" t="str">
        <f>AB785</f>
        <v xml:space="preserve">  Средства, полученные за счет платы за подключение (технологическое присоединение)</v>
      </c>
      <c r="AE785" s="236">
        <v>0</v>
      </c>
      <c r="AF785" s="1331"/>
      <c r="AG785" s="1332"/>
      <c r="AH785" s="1332"/>
      <c r="AI785" s="1331"/>
      <c r="AJ785" s="1332"/>
      <c r="AK785" s="1332"/>
      <c r="AL785" s="771"/>
    </row>
    <row r="786" spans="1:38" ht="11.25" customHeight="1">
      <c r="A786" t="s">
        <v>1021</v>
      </c>
      <c r="E786" s="556"/>
      <c r="F786" s="1354"/>
      <c r="G786" s="1326"/>
      <c r="H786" s="1327" t="s">
        <v>91</v>
      </c>
      <c r="I786" s="1328"/>
      <c r="J786" s="1341"/>
      <c r="K786" s="1330"/>
      <c r="L786" s="1058"/>
      <c r="M786" s="1060"/>
      <c r="N786" s="1333"/>
      <c r="O786" s="1334"/>
      <c r="P786" s="1337"/>
      <c r="Q786" s="1323"/>
      <c r="R786" s="1323"/>
      <c r="S786" s="1338"/>
      <c r="T786" s="1323"/>
      <c r="U786" s="1323"/>
      <c r="V786" s="1323"/>
      <c r="W786" s="1323"/>
      <c r="X786" s="1323"/>
      <c r="Y786" s="1323"/>
      <c r="Z786" s="229"/>
      <c r="AA786" s="230"/>
      <c r="AB786" s="44" t="s">
        <v>1064</v>
      </c>
      <c r="AC786" s="231"/>
      <c r="AD786" s="231"/>
      <c r="AE786" s="245"/>
      <c r="AF786" s="1331"/>
      <c r="AG786" s="1332"/>
      <c r="AH786" s="1332"/>
      <c r="AI786" s="1331"/>
      <c r="AJ786" s="1332"/>
      <c r="AK786" s="1332"/>
      <c r="AL786" s="771"/>
    </row>
    <row r="787" spans="1:38" ht="11.25" customHeight="1">
      <c r="A787" t="s">
        <v>1021</v>
      </c>
      <c r="E787" s="556"/>
      <c r="F787" s="1354"/>
      <c r="G787" s="1326"/>
      <c r="H787" s="1327" t="s">
        <v>91</v>
      </c>
      <c r="I787" s="1328"/>
      <c r="J787" s="1341"/>
      <c r="K787" s="1330"/>
      <c r="L787" s="1058"/>
      <c r="M787" s="1060"/>
      <c r="N787" s="229"/>
      <c r="O787" s="230"/>
      <c r="P787" s="44" t="s">
        <v>1065</v>
      </c>
      <c r="Q787" s="230"/>
      <c r="R787" s="230"/>
      <c r="S787" s="230"/>
      <c r="T787" s="230"/>
      <c r="U787" s="230"/>
      <c r="V787" s="230"/>
      <c r="W787" s="230"/>
      <c r="X787" s="230"/>
      <c r="Y787" s="230"/>
      <c r="Z787" s="230"/>
      <c r="AA787" s="230"/>
      <c r="AB787" s="230"/>
      <c r="AC787" s="230"/>
      <c r="AD787" s="230"/>
      <c r="AE787" s="246"/>
      <c r="AF787" s="1331"/>
      <c r="AG787" s="1332"/>
      <c r="AH787" s="1332"/>
      <c r="AI787" s="1331"/>
      <c r="AJ787" s="1332"/>
      <c r="AK787" s="1332"/>
      <c r="AL787" s="771"/>
    </row>
    <row r="788" spans="1:38" ht="11.25" customHeight="1">
      <c r="A788" t="s">
        <v>1021</v>
      </c>
      <c r="B788" t="s">
        <v>1122</v>
      </c>
      <c r="E788" s="556"/>
      <c r="F788" s="1354"/>
      <c r="G788" s="1304" t="s">
        <v>103</v>
      </c>
      <c r="H788" s="1327" t="s">
        <v>116</v>
      </c>
      <c r="I788" s="1328" t="s">
        <v>1123</v>
      </c>
      <c r="J788" s="1341" t="s">
        <v>1124</v>
      </c>
      <c r="K788" s="1330" t="s">
        <v>1179</v>
      </c>
      <c r="L788" s="1058" t="s">
        <v>19</v>
      </c>
      <c r="M788" s="1060"/>
      <c r="N788" s="241"/>
      <c r="O788" s="242" t="s">
        <v>387</v>
      </c>
      <c r="P788" s="243"/>
      <c r="Q788" s="243"/>
      <c r="R788" s="243"/>
      <c r="S788" s="243"/>
      <c r="T788" s="243"/>
      <c r="U788" s="243"/>
      <c r="V788" s="243"/>
      <c r="W788" s="243"/>
      <c r="X788" s="243"/>
      <c r="Y788" s="243"/>
      <c r="Z788" s="243"/>
      <c r="AA788" s="243"/>
      <c r="AB788" s="243"/>
      <c r="AC788" s="243"/>
      <c r="AD788" s="243"/>
      <c r="AE788" s="243"/>
      <c r="AF788" s="1331">
        <v>1</v>
      </c>
      <c r="AG788" s="1332" t="s">
        <v>1055</v>
      </c>
      <c r="AH788" s="1332" t="s">
        <v>1135</v>
      </c>
      <c r="AI788" s="1331">
        <v>1</v>
      </c>
      <c r="AJ788" s="1332" t="s">
        <v>1055</v>
      </c>
      <c r="AK788" s="1332" t="s">
        <v>1135</v>
      </c>
      <c r="AL788" s="771"/>
    </row>
    <row r="789" spans="1:38" ht="11.25" customHeight="1">
      <c r="A789" t="s">
        <v>1021</v>
      </c>
      <c r="E789" s="556"/>
      <c r="F789" s="1354"/>
      <c r="G789" s="1326"/>
      <c r="H789" s="1327" t="s">
        <v>92</v>
      </c>
      <c r="I789" s="1328"/>
      <c r="J789" s="1341"/>
      <c r="K789" s="1330"/>
      <c r="L789" s="1058"/>
      <c r="M789" s="1060"/>
      <c r="N789" s="1333"/>
      <c r="O789" s="1334">
        <v>1</v>
      </c>
      <c r="P789" s="1335" t="s">
        <v>19</v>
      </c>
      <c r="Q789" s="1323" t="s">
        <v>22</v>
      </c>
      <c r="R789" s="1323" t="s">
        <v>22</v>
      </c>
      <c r="S789" s="1323" t="s">
        <v>22</v>
      </c>
      <c r="T789" s="1323" t="s">
        <v>22</v>
      </c>
      <c r="U789" s="1323" t="s">
        <v>22</v>
      </c>
      <c r="V789" s="1323" t="s">
        <v>22</v>
      </c>
      <c r="W789" s="1323" t="s">
        <v>22</v>
      </c>
      <c r="X789" s="1323" t="s">
        <v>22</v>
      </c>
      <c r="Y789" s="1323"/>
      <c r="Z789" s="229"/>
      <c r="AA789" s="230"/>
      <c r="AB789" s="230"/>
      <c r="AC789" s="231"/>
      <c r="AD789" s="231"/>
      <c r="AE789" s="244"/>
      <c r="AF789" s="1331"/>
      <c r="AG789" s="1332"/>
      <c r="AH789" s="1332"/>
      <c r="AI789" s="1331"/>
      <c r="AJ789" s="1332"/>
      <c r="AK789" s="1332"/>
      <c r="AL789" s="771"/>
    </row>
    <row r="790" spans="1:38" ht="11.25" customHeight="1">
      <c r="A790" t="s">
        <v>1021</v>
      </c>
      <c r="E790" s="556"/>
      <c r="F790" s="1354"/>
      <c r="G790" s="1326"/>
      <c r="H790" s="1327" t="s">
        <v>92</v>
      </c>
      <c r="I790" s="1328"/>
      <c r="J790" s="1341"/>
      <c r="K790" s="1330"/>
      <c r="L790" s="1058"/>
      <c r="M790" s="1060"/>
      <c r="N790" s="1333"/>
      <c r="O790" s="1334"/>
      <c r="P790" s="1336"/>
      <c r="Q790" s="1323"/>
      <c r="R790" s="1323"/>
      <c r="S790" s="1338"/>
      <c r="T790" s="1323"/>
      <c r="U790" s="1323"/>
      <c r="V790" s="1323"/>
      <c r="W790" s="1323"/>
      <c r="X790" s="1323"/>
      <c r="Y790" s="1323"/>
      <c r="AA790" s="777">
        <v>1</v>
      </c>
      <c r="AB790" s="778" t="s">
        <v>1127</v>
      </c>
      <c r="AC790" s="236">
        <v>2666.4613925333301</v>
      </c>
      <c r="AD790" s="778" t="str">
        <f>AB790</f>
        <v xml:space="preserve">  Средства, полученные за счет платы за подключение (технологическое присоединение)</v>
      </c>
      <c r="AE790" s="236">
        <v>0</v>
      </c>
      <c r="AF790" s="1331"/>
      <c r="AG790" s="1332"/>
      <c r="AH790" s="1332"/>
      <c r="AI790" s="1331"/>
      <c r="AJ790" s="1332"/>
      <c r="AK790" s="1332"/>
      <c r="AL790" s="771"/>
    </row>
    <row r="791" spans="1:38" ht="11.25" customHeight="1">
      <c r="A791" t="s">
        <v>1021</v>
      </c>
      <c r="E791" s="556"/>
      <c r="F791" s="1354"/>
      <c r="G791" s="1326"/>
      <c r="H791" s="1327" t="s">
        <v>92</v>
      </c>
      <c r="I791" s="1328"/>
      <c r="J791" s="1341"/>
      <c r="K791" s="1330"/>
      <c r="L791" s="1058"/>
      <c r="M791" s="1060"/>
      <c r="N791" s="1333"/>
      <c r="O791" s="1334"/>
      <c r="P791" s="1337"/>
      <c r="Q791" s="1323"/>
      <c r="R791" s="1323"/>
      <c r="S791" s="1338"/>
      <c r="T791" s="1323"/>
      <c r="U791" s="1323"/>
      <c r="V791" s="1323"/>
      <c r="W791" s="1323"/>
      <c r="X791" s="1323"/>
      <c r="Y791" s="1323"/>
      <c r="Z791" s="229"/>
      <c r="AA791" s="230"/>
      <c r="AB791" s="44" t="s">
        <v>1064</v>
      </c>
      <c r="AC791" s="231"/>
      <c r="AD791" s="231"/>
      <c r="AE791" s="245"/>
      <c r="AF791" s="1331"/>
      <c r="AG791" s="1332"/>
      <c r="AH791" s="1332"/>
      <c r="AI791" s="1331"/>
      <c r="AJ791" s="1332"/>
      <c r="AK791" s="1332"/>
      <c r="AL791" s="771"/>
    </row>
    <row r="792" spans="1:38" ht="11.25" customHeight="1">
      <c r="A792" t="s">
        <v>1021</v>
      </c>
      <c r="E792" s="556"/>
      <c r="F792" s="1354"/>
      <c r="G792" s="1326"/>
      <c r="H792" s="1327" t="s">
        <v>92</v>
      </c>
      <c r="I792" s="1328"/>
      <c r="J792" s="1341"/>
      <c r="K792" s="1330"/>
      <c r="L792" s="1058"/>
      <c r="M792" s="1060"/>
      <c r="N792" s="229"/>
      <c r="O792" s="230"/>
      <c r="P792" s="44" t="s">
        <v>1065</v>
      </c>
      <c r="Q792" s="230"/>
      <c r="R792" s="230"/>
      <c r="S792" s="230"/>
      <c r="T792" s="230"/>
      <c r="U792" s="230"/>
      <c r="V792" s="230"/>
      <c r="W792" s="230"/>
      <c r="X792" s="230"/>
      <c r="Y792" s="230"/>
      <c r="Z792" s="230"/>
      <c r="AA792" s="230"/>
      <c r="AB792" s="230"/>
      <c r="AC792" s="230"/>
      <c r="AD792" s="230"/>
      <c r="AE792" s="246"/>
      <c r="AF792" s="1331"/>
      <c r="AG792" s="1332"/>
      <c r="AH792" s="1332"/>
      <c r="AI792" s="1331"/>
      <c r="AJ792" s="1332"/>
      <c r="AK792" s="1332"/>
      <c r="AL792" s="771"/>
    </row>
    <row r="793" spans="1:38" ht="11.25" customHeight="1">
      <c r="A793" t="s">
        <v>1021</v>
      </c>
      <c r="B793" t="s">
        <v>1122</v>
      </c>
      <c r="E793" s="556"/>
      <c r="F793" s="1354"/>
      <c r="G793" s="1304" t="s">
        <v>103</v>
      </c>
      <c r="H793" s="1327" t="s">
        <v>161</v>
      </c>
      <c r="I793" s="1328" t="s">
        <v>1123</v>
      </c>
      <c r="J793" s="1341" t="s">
        <v>1124</v>
      </c>
      <c r="K793" s="1330" t="s">
        <v>1151</v>
      </c>
      <c r="L793" s="1058" t="s">
        <v>19</v>
      </c>
      <c r="M793" s="1060"/>
      <c r="N793" s="241"/>
      <c r="O793" s="242" t="s">
        <v>387</v>
      </c>
      <c r="P793" s="243"/>
      <c r="Q793" s="243"/>
      <c r="R793" s="243"/>
      <c r="S793" s="243"/>
      <c r="T793" s="243"/>
      <c r="U793" s="243"/>
      <c r="V793" s="243"/>
      <c r="W793" s="243"/>
      <c r="X793" s="243"/>
      <c r="Y793" s="243"/>
      <c r="Z793" s="243"/>
      <c r="AA793" s="243"/>
      <c r="AB793" s="243"/>
      <c r="AC793" s="243"/>
      <c r="AD793" s="243"/>
      <c r="AE793" s="243"/>
      <c r="AF793" s="1331">
        <v>1</v>
      </c>
      <c r="AG793" s="1332" t="s">
        <v>1055</v>
      </c>
      <c r="AH793" s="1332" t="s">
        <v>1135</v>
      </c>
      <c r="AI793" s="1331">
        <v>1</v>
      </c>
      <c r="AJ793" s="1332" t="s">
        <v>1055</v>
      </c>
      <c r="AK793" s="1332" t="s">
        <v>1135</v>
      </c>
      <c r="AL793" s="771"/>
    </row>
    <row r="794" spans="1:38" ht="11.25" customHeight="1">
      <c r="A794" t="s">
        <v>1021</v>
      </c>
      <c r="E794" s="556"/>
      <c r="F794" s="1354"/>
      <c r="G794" s="1326"/>
      <c r="H794" s="1327" t="s">
        <v>116</v>
      </c>
      <c r="I794" s="1328"/>
      <c r="J794" s="1341"/>
      <c r="K794" s="1330"/>
      <c r="L794" s="1058"/>
      <c r="M794" s="1060"/>
      <c r="N794" s="1333"/>
      <c r="O794" s="1334">
        <v>1</v>
      </c>
      <c r="P794" s="1335" t="s">
        <v>19</v>
      </c>
      <c r="Q794" s="1323" t="s">
        <v>22</v>
      </c>
      <c r="R794" s="1323" t="s">
        <v>22</v>
      </c>
      <c r="S794" s="1323" t="s">
        <v>22</v>
      </c>
      <c r="T794" s="1323" t="s">
        <v>22</v>
      </c>
      <c r="U794" s="1323" t="s">
        <v>22</v>
      </c>
      <c r="V794" s="1323" t="s">
        <v>22</v>
      </c>
      <c r="W794" s="1323" t="s">
        <v>22</v>
      </c>
      <c r="X794" s="1323" t="s">
        <v>22</v>
      </c>
      <c r="Y794" s="1323"/>
      <c r="Z794" s="229"/>
      <c r="AA794" s="230"/>
      <c r="AB794" s="230"/>
      <c r="AC794" s="231"/>
      <c r="AD794" s="231"/>
      <c r="AE794" s="244"/>
      <c r="AF794" s="1331"/>
      <c r="AG794" s="1332"/>
      <c r="AH794" s="1332"/>
      <c r="AI794" s="1331"/>
      <c r="AJ794" s="1332"/>
      <c r="AK794" s="1332"/>
      <c r="AL794" s="771"/>
    </row>
    <row r="795" spans="1:38" ht="11.25" customHeight="1">
      <c r="A795" t="s">
        <v>1021</v>
      </c>
      <c r="E795" s="556"/>
      <c r="F795" s="1354"/>
      <c r="G795" s="1326"/>
      <c r="H795" s="1327" t="s">
        <v>116</v>
      </c>
      <c r="I795" s="1328"/>
      <c r="J795" s="1341"/>
      <c r="K795" s="1330"/>
      <c r="L795" s="1058"/>
      <c r="M795" s="1060"/>
      <c r="N795" s="1333"/>
      <c r="O795" s="1334"/>
      <c r="P795" s="1336"/>
      <c r="Q795" s="1323"/>
      <c r="R795" s="1323"/>
      <c r="S795" s="1338"/>
      <c r="T795" s="1323"/>
      <c r="U795" s="1323"/>
      <c r="V795" s="1323"/>
      <c r="W795" s="1323"/>
      <c r="X795" s="1323"/>
      <c r="Y795" s="1323"/>
      <c r="AA795" s="777">
        <v>1</v>
      </c>
      <c r="AB795" s="778" t="s">
        <v>1127</v>
      </c>
      <c r="AC795" s="236">
        <v>2376.5271290000001</v>
      </c>
      <c r="AD795" s="778" t="str">
        <f>AB795</f>
        <v xml:space="preserve">  Средства, полученные за счет платы за подключение (технологическое присоединение)</v>
      </c>
      <c r="AE795" s="236">
        <v>0</v>
      </c>
      <c r="AF795" s="1331"/>
      <c r="AG795" s="1332"/>
      <c r="AH795" s="1332"/>
      <c r="AI795" s="1331"/>
      <c r="AJ795" s="1332"/>
      <c r="AK795" s="1332"/>
      <c r="AL795" s="771"/>
    </row>
    <row r="796" spans="1:38" ht="11.25" customHeight="1">
      <c r="A796" t="s">
        <v>1021</v>
      </c>
      <c r="E796" s="556"/>
      <c r="F796" s="1354"/>
      <c r="G796" s="1326"/>
      <c r="H796" s="1327" t="s">
        <v>116</v>
      </c>
      <c r="I796" s="1328"/>
      <c r="J796" s="1341"/>
      <c r="K796" s="1330"/>
      <c r="L796" s="1058"/>
      <c r="M796" s="1060"/>
      <c r="N796" s="1333"/>
      <c r="O796" s="1334"/>
      <c r="P796" s="1337"/>
      <c r="Q796" s="1323"/>
      <c r="R796" s="1323"/>
      <c r="S796" s="1338"/>
      <c r="T796" s="1323"/>
      <c r="U796" s="1323"/>
      <c r="V796" s="1323"/>
      <c r="W796" s="1323"/>
      <c r="X796" s="1323"/>
      <c r="Y796" s="1323"/>
      <c r="Z796" s="229"/>
      <c r="AA796" s="230"/>
      <c r="AB796" s="44" t="s">
        <v>1064</v>
      </c>
      <c r="AC796" s="231"/>
      <c r="AD796" s="231"/>
      <c r="AE796" s="245"/>
      <c r="AF796" s="1331"/>
      <c r="AG796" s="1332"/>
      <c r="AH796" s="1332"/>
      <c r="AI796" s="1331"/>
      <c r="AJ796" s="1332"/>
      <c r="AK796" s="1332"/>
      <c r="AL796" s="771"/>
    </row>
    <row r="797" spans="1:38" ht="11.25" customHeight="1">
      <c r="A797" t="s">
        <v>1021</v>
      </c>
      <c r="E797" s="556"/>
      <c r="F797" s="1354"/>
      <c r="G797" s="1326"/>
      <c r="H797" s="1327" t="s">
        <v>116</v>
      </c>
      <c r="I797" s="1328"/>
      <c r="J797" s="1341"/>
      <c r="K797" s="1330"/>
      <c r="L797" s="1058"/>
      <c r="M797" s="1060"/>
      <c r="N797" s="229"/>
      <c r="O797" s="230"/>
      <c r="P797" s="44" t="s">
        <v>1065</v>
      </c>
      <c r="Q797" s="230"/>
      <c r="R797" s="230"/>
      <c r="S797" s="230"/>
      <c r="T797" s="230"/>
      <c r="U797" s="230"/>
      <c r="V797" s="230"/>
      <c r="W797" s="230"/>
      <c r="X797" s="230"/>
      <c r="Y797" s="230"/>
      <c r="Z797" s="230"/>
      <c r="AA797" s="230"/>
      <c r="AB797" s="230"/>
      <c r="AC797" s="230"/>
      <c r="AD797" s="230"/>
      <c r="AE797" s="246"/>
      <c r="AF797" s="1331"/>
      <c r="AG797" s="1332"/>
      <c r="AH797" s="1332"/>
      <c r="AI797" s="1331"/>
      <c r="AJ797" s="1332"/>
      <c r="AK797" s="1332"/>
      <c r="AL797" s="771"/>
    </row>
    <row r="798" spans="1:38" ht="11.25" customHeight="1">
      <c r="A798" t="s">
        <v>1021</v>
      </c>
      <c r="B798" t="s">
        <v>1122</v>
      </c>
      <c r="E798" s="556"/>
      <c r="F798" s="1354"/>
      <c r="G798" s="1304" t="s">
        <v>103</v>
      </c>
      <c r="H798" s="1327" t="s">
        <v>162</v>
      </c>
      <c r="I798" s="1328" t="s">
        <v>1123</v>
      </c>
      <c r="J798" s="1341" t="s">
        <v>1124</v>
      </c>
      <c r="K798" s="1330" t="s">
        <v>1165</v>
      </c>
      <c r="L798" s="1058" t="s">
        <v>19</v>
      </c>
      <c r="M798" s="1060"/>
      <c r="N798" s="241"/>
      <c r="O798" s="242" t="s">
        <v>387</v>
      </c>
      <c r="P798" s="243"/>
      <c r="Q798" s="243"/>
      <c r="R798" s="243"/>
      <c r="S798" s="243"/>
      <c r="T798" s="243"/>
      <c r="U798" s="243"/>
      <c r="V798" s="243"/>
      <c r="W798" s="243"/>
      <c r="X798" s="243"/>
      <c r="Y798" s="243"/>
      <c r="Z798" s="243"/>
      <c r="AA798" s="243"/>
      <c r="AB798" s="243"/>
      <c r="AC798" s="243"/>
      <c r="AD798" s="243"/>
      <c r="AE798" s="243"/>
      <c r="AF798" s="1331">
        <v>1</v>
      </c>
      <c r="AG798" s="1332" t="s">
        <v>1055</v>
      </c>
      <c r="AH798" s="1332" t="s">
        <v>1135</v>
      </c>
      <c r="AI798" s="1331">
        <v>1</v>
      </c>
      <c r="AJ798" s="1332" t="s">
        <v>1055</v>
      </c>
      <c r="AK798" s="1332" t="s">
        <v>1135</v>
      </c>
      <c r="AL798" s="771"/>
    </row>
    <row r="799" spans="1:38" ht="11.25" customHeight="1">
      <c r="A799" t="s">
        <v>1021</v>
      </c>
      <c r="E799" s="556"/>
      <c r="F799" s="1354"/>
      <c r="G799" s="1326"/>
      <c r="H799" s="1327" t="s">
        <v>161</v>
      </c>
      <c r="I799" s="1328"/>
      <c r="J799" s="1341"/>
      <c r="K799" s="1330"/>
      <c r="L799" s="1058"/>
      <c r="M799" s="1060"/>
      <c r="N799" s="1333"/>
      <c r="O799" s="1334">
        <v>1</v>
      </c>
      <c r="P799" s="1335" t="s">
        <v>19</v>
      </c>
      <c r="Q799" s="1323" t="s">
        <v>22</v>
      </c>
      <c r="R799" s="1323" t="s">
        <v>22</v>
      </c>
      <c r="S799" s="1323" t="s">
        <v>22</v>
      </c>
      <c r="T799" s="1323" t="s">
        <v>22</v>
      </c>
      <c r="U799" s="1323" t="s">
        <v>22</v>
      </c>
      <c r="V799" s="1323" t="s">
        <v>22</v>
      </c>
      <c r="W799" s="1323" t="s">
        <v>22</v>
      </c>
      <c r="X799" s="1323" t="s">
        <v>22</v>
      </c>
      <c r="Y799" s="1323"/>
      <c r="Z799" s="229"/>
      <c r="AA799" s="230"/>
      <c r="AB799" s="230"/>
      <c r="AC799" s="231"/>
      <c r="AD799" s="231"/>
      <c r="AE799" s="244"/>
      <c r="AF799" s="1331"/>
      <c r="AG799" s="1332"/>
      <c r="AH799" s="1332"/>
      <c r="AI799" s="1331"/>
      <c r="AJ799" s="1332"/>
      <c r="AK799" s="1332"/>
      <c r="AL799" s="771"/>
    </row>
    <row r="800" spans="1:38" ht="11.25" customHeight="1">
      <c r="A800" t="s">
        <v>1021</v>
      </c>
      <c r="E800" s="556"/>
      <c r="F800" s="1354"/>
      <c r="G800" s="1326"/>
      <c r="H800" s="1327" t="s">
        <v>161</v>
      </c>
      <c r="I800" s="1328"/>
      <c r="J800" s="1341"/>
      <c r="K800" s="1330"/>
      <c r="L800" s="1058"/>
      <c r="M800" s="1060"/>
      <c r="N800" s="1333"/>
      <c r="O800" s="1334"/>
      <c r="P800" s="1336"/>
      <c r="Q800" s="1323"/>
      <c r="R800" s="1323"/>
      <c r="S800" s="1338"/>
      <c r="T800" s="1323"/>
      <c r="U800" s="1323"/>
      <c r="V800" s="1323"/>
      <c r="W800" s="1323"/>
      <c r="X800" s="1323"/>
      <c r="Y800" s="1323"/>
      <c r="AA800" s="777">
        <v>1</v>
      </c>
      <c r="AB800" s="778" t="s">
        <v>1127</v>
      </c>
      <c r="AC800" s="236">
        <v>25315.245664027301</v>
      </c>
      <c r="AD800" s="778" t="str">
        <f>AB800</f>
        <v xml:space="preserve">  Средства, полученные за счет платы за подключение (технологическое присоединение)</v>
      </c>
      <c r="AE800" s="236">
        <v>0</v>
      </c>
      <c r="AF800" s="1331"/>
      <c r="AG800" s="1332"/>
      <c r="AH800" s="1332"/>
      <c r="AI800" s="1331"/>
      <c r="AJ800" s="1332"/>
      <c r="AK800" s="1332"/>
      <c r="AL800" s="771"/>
    </row>
    <row r="801" spans="1:38" ht="11.25" customHeight="1">
      <c r="A801" t="s">
        <v>1021</v>
      </c>
      <c r="E801" s="556"/>
      <c r="F801" s="1354"/>
      <c r="G801" s="1326"/>
      <c r="H801" s="1327" t="s">
        <v>161</v>
      </c>
      <c r="I801" s="1328"/>
      <c r="J801" s="1341"/>
      <c r="K801" s="1330"/>
      <c r="L801" s="1058"/>
      <c r="M801" s="1060"/>
      <c r="N801" s="1333"/>
      <c r="O801" s="1334"/>
      <c r="P801" s="1337"/>
      <c r="Q801" s="1323"/>
      <c r="R801" s="1323"/>
      <c r="S801" s="1338"/>
      <c r="T801" s="1323"/>
      <c r="U801" s="1323"/>
      <c r="V801" s="1323"/>
      <c r="W801" s="1323"/>
      <c r="X801" s="1323"/>
      <c r="Y801" s="1323"/>
      <c r="Z801" s="229"/>
      <c r="AA801" s="230"/>
      <c r="AB801" s="44" t="s">
        <v>1064</v>
      </c>
      <c r="AC801" s="231"/>
      <c r="AD801" s="231"/>
      <c r="AE801" s="245"/>
      <c r="AF801" s="1331"/>
      <c r="AG801" s="1332"/>
      <c r="AH801" s="1332"/>
      <c r="AI801" s="1331"/>
      <c r="AJ801" s="1332"/>
      <c r="AK801" s="1332"/>
      <c r="AL801" s="771"/>
    </row>
    <row r="802" spans="1:38" ht="11.25" customHeight="1">
      <c r="A802" t="s">
        <v>1021</v>
      </c>
      <c r="E802" s="556"/>
      <c r="F802" s="1354"/>
      <c r="G802" s="1326"/>
      <c r="H802" s="1327" t="s">
        <v>161</v>
      </c>
      <c r="I802" s="1328"/>
      <c r="J802" s="1341"/>
      <c r="K802" s="1330"/>
      <c r="L802" s="1058"/>
      <c r="M802" s="1060"/>
      <c r="N802" s="229"/>
      <c r="O802" s="230"/>
      <c r="P802" s="44" t="s">
        <v>1065</v>
      </c>
      <c r="Q802" s="230"/>
      <c r="R802" s="230"/>
      <c r="S802" s="230"/>
      <c r="T802" s="230"/>
      <c r="U802" s="230"/>
      <c r="V802" s="230"/>
      <c r="W802" s="230"/>
      <c r="X802" s="230"/>
      <c r="Y802" s="230"/>
      <c r="Z802" s="230"/>
      <c r="AA802" s="230"/>
      <c r="AB802" s="230"/>
      <c r="AC802" s="230"/>
      <c r="AD802" s="230"/>
      <c r="AE802" s="246"/>
      <c r="AF802" s="1331"/>
      <c r="AG802" s="1332"/>
      <c r="AH802" s="1332"/>
      <c r="AI802" s="1331"/>
      <c r="AJ802" s="1332"/>
      <c r="AK802" s="1332"/>
      <c r="AL802" s="771"/>
    </row>
    <row r="803" spans="1:38" ht="11.25" customHeight="1">
      <c r="A803" t="s">
        <v>1021</v>
      </c>
      <c r="B803" t="s">
        <v>1122</v>
      </c>
      <c r="E803" s="556"/>
      <c r="F803" s="1354"/>
      <c r="G803" s="1304" t="s">
        <v>103</v>
      </c>
      <c r="H803" s="1327" t="s">
        <v>163</v>
      </c>
      <c r="I803" s="1328" t="s">
        <v>1123</v>
      </c>
      <c r="J803" s="1341" t="s">
        <v>1124</v>
      </c>
      <c r="K803" s="1330" t="s">
        <v>1167</v>
      </c>
      <c r="L803" s="1058" t="s">
        <v>19</v>
      </c>
      <c r="M803" s="1060"/>
      <c r="N803" s="241"/>
      <c r="O803" s="242" t="s">
        <v>387</v>
      </c>
      <c r="P803" s="243"/>
      <c r="Q803" s="243"/>
      <c r="R803" s="243"/>
      <c r="S803" s="243"/>
      <c r="T803" s="243"/>
      <c r="U803" s="243"/>
      <c r="V803" s="243"/>
      <c r="W803" s="243"/>
      <c r="X803" s="243"/>
      <c r="Y803" s="243"/>
      <c r="Z803" s="243"/>
      <c r="AA803" s="243"/>
      <c r="AB803" s="243"/>
      <c r="AC803" s="243"/>
      <c r="AD803" s="243"/>
      <c r="AE803" s="243"/>
      <c r="AF803" s="1331">
        <v>1</v>
      </c>
      <c r="AG803" s="1332" t="s">
        <v>1055</v>
      </c>
      <c r="AH803" s="1332" t="s">
        <v>1135</v>
      </c>
      <c r="AI803" s="1331">
        <v>1</v>
      </c>
      <c r="AJ803" s="1332" t="s">
        <v>1055</v>
      </c>
      <c r="AK803" s="1332" t="s">
        <v>1135</v>
      </c>
      <c r="AL803" s="771"/>
    </row>
    <row r="804" spans="1:38" ht="11.25" customHeight="1">
      <c r="A804" t="s">
        <v>1021</v>
      </c>
      <c r="E804" s="556"/>
      <c r="F804" s="1354"/>
      <c r="G804" s="1326"/>
      <c r="H804" s="1327" t="s">
        <v>162</v>
      </c>
      <c r="I804" s="1328"/>
      <c r="J804" s="1341"/>
      <c r="K804" s="1330"/>
      <c r="L804" s="1058"/>
      <c r="M804" s="1060"/>
      <c r="N804" s="1333"/>
      <c r="O804" s="1334">
        <v>1</v>
      </c>
      <c r="P804" s="1335" t="s">
        <v>19</v>
      </c>
      <c r="Q804" s="1323" t="s">
        <v>22</v>
      </c>
      <c r="R804" s="1323" t="s">
        <v>22</v>
      </c>
      <c r="S804" s="1323" t="s">
        <v>22</v>
      </c>
      <c r="T804" s="1323" t="s">
        <v>22</v>
      </c>
      <c r="U804" s="1323" t="s">
        <v>22</v>
      </c>
      <c r="V804" s="1323" t="s">
        <v>22</v>
      </c>
      <c r="W804" s="1323" t="s">
        <v>22</v>
      </c>
      <c r="X804" s="1323" t="s">
        <v>22</v>
      </c>
      <c r="Y804" s="1323"/>
      <c r="Z804" s="229"/>
      <c r="AA804" s="230"/>
      <c r="AB804" s="230"/>
      <c r="AC804" s="231"/>
      <c r="AD804" s="231"/>
      <c r="AE804" s="244"/>
      <c r="AF804" s="1331"/>
      <c r="AG804" s="1332"/>
      <c r="AH804" s="1332"/>
      <c r="AI804" s="1331"/>
      <c r="AJ804" s="1332"/>
      <c r="AK804" s="1332"/>
      <c r="AL804" s="771"/>
    </row>
    <row r="805" spans="1:38" ht="11.25" customHeight="1">
      <c r="A805" t="s">
        <v>1021</v>
      </c>
      <c r="E805" s="556"/>
      <c r="F805" s="1354"/>
      <c r="G805" s="1326"/>
      <c r="H805" s="1327" t="s">
        <v>162</v>
      </c>
      <c r="I805" s="1328"/>
      <c r="J805" s="1341"/>
      <c r="K805" s="1330"/>
      <c r="L805" s="1058"/>
      <c r="M805" s="1060"/>
      <c r="N805" s="1333"/>
      <c r="O805" s="1334"/>
      <c r="P805" s="1336"/>
      <c r="Q805" s="1323"/>
      <c r="R805" s="1323"/>
      <c r="S805" s="1338"/>
      <c r="T805" s="1323"/>
      <c r="U805" s="1323"/>
      <c r="V805" s="1323"/>
      <c r="W805" s="1323"/>
      <c r="X805" s="1323"/>
      <c r="Y805" s="1323"/>
      <c r="AA805" s="777">
        <v>1</v>
      </c>
      <c r="AB805" s="778" t="s">
        <v>1127</v>
      </c>
      <c r="AC805" s="236">
        <v>33219.414378666697</v>
      </c>
      <c r="AD805" s="778" t="str">
        <f>AB805</f>
        <v xml:space="preserve">  Средства, полученные за счет платы за подключение (технологическое присоединение)</v>
      </c>
      <c r="AE805" s="236">
        <v>0</v>
      </c>
      <c r="AF805" s="1331"/>
      <c r="AG805" s="1332"/>
      <c r="AH805" s="1332"/>
      <c r="AI805" s="1331"/>
      <c r="AJ805" s="1332"/>
      <c r="AK805" s="1332"/>
      <c r="AL805" s="771"/>
    </row>
    <row r="806" spans="1:38" ht="11.25" customHeight="1">
      <c r="A806" t="s">
        <v>1021</v>
      </c>
      <c r="E806" s="556"/>
      <c r="F806" s="1354"/>
      <c r="G806" s="1326"/>
      <c r="H806" s="1327" t="s">
        <v>162</v>
      </c>
      <c r="I806" s="1328"/>
      <c r="J806" s="1341"/>
      <c r="K806" s="1330"/>
      <c r="L806" s="1058"/>
      <c r="M806" s="1060"/>
      <c r="N806" s="1333"/>
      <c r="O806" s="1334"/>
      <c r="P806" s="1337"/>
      <c r="Q806" s="1323"/>
      <c r="R806" s="1323"/>
      <c r="S806" s="1338"/>
      <c r="T806" s="1323"/>
      <c r="U806" s="1323"/>
      <c r="V806" s="1323"/>
      <c r="W806" s="1323"/>
      <c r="X806" s="1323"/>
      <c r="Y806" s="1323"/>
      <c r="Z806" s="229"/>
      <c r="AA806" s="230"/>
      <c r="AB806" s="44" t="s">
        <v>1064</v>
      </c>
      <c r="AC806" s="231"/>
      <c r="AD806" s="231"/>
      <c r="AE806" s="245"/>
      <c r="AF806" s="1331"/>
      <c r="AG806" s="1332"/>
      <c r="AH806" s="1332"/>
      <c r="AI806" s="1331"/>
      <c r="AJ806" s="1332"/>
      <c r="AK806" s="1332"/>
      <c r="AL806" s="771"/>
    </row>
    <row r="807" spans="1:38" ht="11.25" customHeight="1">
      <c r="A807" t="s">
        <v>1021</v>
      </c>
      <c r="E807" s="556"/>
      <c r="F807" s="1354"/>
      <c r="G807" s="1326"/>
      <c r="H807" s="1327" t="s">
        <v>162</v>
      </c>
      <c r="I807" s="1328"/>
      <c r="J807" s="1341"/>
      <c r="K807" s="1330"/>
      <c r="L807" s="1058"/>
      <c r="M807" s="1060"/>
      <c r="N807" s="229"/>
      <c r="O807" s="230"/>
      <c r="P807" s="44" t="s">
        <v>1065</v>
      </c>
      <c r="Q807" s="230"/>
      <c r="R807" s="230"/>
      <c r="S807" s="230"/>
      <c r="T807" s="230"/>
      <c r="U807" s="230"/>
      <c r="V807" s="230"/>
      <c r="W807" s="230"/>
      <c r="X807" s="230"/>
      <c r="Y807" s="230"/>
      <c r="Z807" s="230"/>
      <c r="AA807" s="230"/>
      <c r="AB807" s="230"/>
      <c r="AC807" s="230"/>
      <c r="AD807" s="230"/>
      <c r="AE807" s="246"/>
      <c r="AF807" s="1331"/>
      <c r="AG807" s="1332"/>
      <c r="AH807" s="1332"/>
      <c r="AI807" s="1331"/>
      <c r="AJ807" s="1332"/>
      <c r="AK807" s="1332"/>
      <c r="AL807" s="771"/>
    </row>
    <row r="808" spans="1:38" ht="11.25" customHeight="1">
      <c r="A808" t="s">
        <v>1021</v>
      </c>
      <c r="B808" t="s">
        <v>22</v>
      </c>
      <c r="E808" s="556"/>
      <c r="F808" s="1354"/>
      <c r="G808" s="1304" t="s">
        <v>103</v>
      </c>
      <c r="H808" s="1327" t="s">
        <v>164</v>
      </c>
      <c r="I808" s="1328" t="s">
        <v>1080</v>
      </c>
      <c r="J808" s="1329" t="s">
        <v>22</v>
      </c>
      <c r="K808" s="1330" t="s">
        <v>1136</v>
      </c>
      <c r="L808" s="1058" t="s">
        <v>19</v>
      </c>
      <c r="M808" s="1060"/>
      <c r="N808" s="241"/>
      <c r="O808" s="242" t="s">
        <v>387</v>
      </c>
      <c r="P808" s="243"/>
      <c r="Q808" s="243"/>
      <c r="R808" s="243"/>
      <c r="S808" s="243"/>
      <c r="T808" s="243"/>
      <c r="U808" s="243"/>
      <c r="V808" s="243"/>
      <c r="W808" s="243"/>
      <c r="X808" s="243"/>
      <c r="Y808" s="243"/>
      <c r="Z808" s="243"/>
      <c r="AA808" s="243"/>
      <c r="AB808" s="243"/>
      <c r="AC808" s="243"/>
      <c r="AD808" s="243"/>
      <c r="AE808" s="243"/>
      <c r="AF808" s="1331">
        <v>1</v>
      </c>
      <c r="AG808" s="1332" t="s">
        <v>1055</v>
      </c>
      <c r="AH808" s="1332" t="s">
        <v>1135</v>
      </c>
      <c r="AI808" s="1331">
        <v>1</v>
      </c>
      <c r="AJ808" s="1332" t="s">
        <v>1055</v>
      </c>
      <c r="AK808" s="1332" t="s">
        <v>1135</v>
      </c>
      <c r="AL808" s="771"/>
    </row>
    <row r="809" spans="1:38" ht="11.25" customHeight="1">
      <c r="A809" t="s">
        <v>1021</v>
      </c>
      <c r="E809" s="556"/>
      <c r="F809" s="1354"/>
      <c r="G809" s="1326"/>
      <c r="H809" s="1327" t="s">
        <v>163</v>
      </c>
      <c r="I809" s="1328"/>
      <c r="J809" s="1329"/>
      <c r="K809" s="1330"/>
      <c r="L809" s="1058"/>
      <c r="M809" s="1060"/>
      <c r="N809" s="1333"/>
      <c r="O809" s="1334">
        <v>1</v>
      </c>
      <c r="P809" s="1335" t="s">
        <v>19</v>
      </c>
      <c r="Q809" s="1323" t="s">
        <v>22</v>
      </c>
      <c r="R809" s="1323" t="s">
        <v>22</v>
      </c>
      <c r="S809" s="1323" t="s">
        <v>22</v>
      </c>
      <c r="T809" s="1323" t="s">
        <v>22</v>
      </c>
      <c r="U809" s="1323" t="s">
        <v>22</v>
      </c>
      <c r="V809" s="1323" t="s">
        <v>22</v>
      </c>
      <c r="W809" s="1323" t="s">
        <v>22</v>
      </c>
      <c r="X809" s="1323" t="s">
        <v>22</v>
      </c>
      <c r="Y809" s="1323"/>
      <c r="Z809" s="229"/>
      <c r="AA809" s="230"/>
      <c r="AB809" s="230"/>
      <c r="AC809" s="231"/>
      <c r="AD809" s="231"/>
      <c r="AE809" s="244"/>
      <c r="AF809" s="1331"/>
      <c r="AG809" s="1332"/>
      <c r="AH809" s="1332"/>
      <c r="AI809" s="1331"/>
      <c r="AJ809" s="1332"/>
      <c r="AK809" s="1332"/>
      <c r="AL809" s="771"/>
    </row>
    <row r="810" spans="1:38" ht="11.25" customHeight="1">
      <c r="A810" t="s">
        <v>1021</v>
      </c>
      <c r="E810" s="556"/>
      <c r="F810" s="1354"/>
      <c r="G810" s="1326"/>
      <c r="H810" s="1327" t="s">
        <v>163</v>
      </c>
      <c r="I810" s="1328"/>
      <c r="J810" s="1329"/>
      <c r="K810" s="1330"/>
      <c r="L810" s="1058"/>
      <c r="M810" s="1060"/>
      <c r="N810" s="1333"/>
      <c r="O810" s="1334"/>
      <c r="P810" s="1336"/>
      <c r="Q810" s="1323"/>
      <c r="R810" s="1323"/>
      <c r="S810" s="1338"/>
      <c r="T810" s="1323"/>
      <c r="U810" s="1323"/>
      <c r="V810" s="1323"/>
      <c r="W810" s="1323"/>
      <c r="X810" s="1323"/>
      <c r="Y810" s="1323"/>
      <c r="AA810" s="777">
        <v>1</v>
      </c>
      <c r="AB810" s="778" t="s">
        <v>1129</v>
      </c>
      <c r="AC810" s="236">
        <v>101592.803468642</v>
      </c>
      <c r="AD810" s="778" t="str">
        <f>AB810</f>
        <v xml:space="preserve">     Прочие амортизационные отчисления</v>
      </c>
      <c r="AE810" s="236">
        <v>0</v>
      </c>
      <c r="AF810" s="1331"/>
      <c r="AG810" s="1332"/>
      <c r="AH810" s="1332"/>
      <c r="AI810" s="1331"/>
      <c r="AJ810" s="1332"/>
      <c r="AK810" s="1332"/>
      <c r="AL810" s="771"/>
    </row>
    <row r="811" spans="1:38" ht="11.25" customHeight="1">
      <c r="A811" t="s">
        <v>1021</v>
      </c>
      <c r="E811" s="556"/>
      <c r="F811" s="1354"/>
      <c r="G811" s="1326"/>
      <c r="H811" s="1327" t="s">
        <v>163</v>
      </c>
      <c r="I811" s="1328"/>
      <c r="J811" s="1329"/>
      <c r="K811" s="1330"/>
      <c r="L811" s="1058"/>
      <c r="M811" s="1060"/>
      <c r="N811" s="1333"/>
      <c r="O811" s="1334"/>
      <c r="P811" s="1337"/>
      <c r="Q811" s="1323"/>
      <c r="R811" s="1323"/>
      <c r="S811" s="1338"/>
      <c r="T811" s="1323"/>
      <c r="U811" s="1323"/>
      <c r="V811" s="1323"/>
      <c r="W811" s="1323"/>
      <c r="X811" s="1323"/>
      <c r="Y811" s="1323"/>
      <c r="Z811" s="229"/>
      <c r="AA811" s="230"/>
      <c r="AB811" s="44" t="s">
        <v>1064</v>
      </c>
      <c r="AC811" s="231"/>
      <c r="AD811" s="231"/>
      <c r="AE811" s="245"/>
      <c r="AF811" s="1331"/>
      <c r="AG811" s="1332"/>
      <c r="AH811" s="1332"/>
      <c r="AI811" s="1331"/>
      <c r="AJ811" s="1332"/>
      <c r="AK811" s="1332"/>
      <c r="AL811" s="771"/>
    </row>
    <row r="812" spans="1:38" ht="11.25" customHeight="1">
      <c r="A812" t="s">
        <v>1021</v>
      </c>
      <c r="E812" s="556"/>
      <c r="F812" s="1354"/>
      <c r="G812" s="1326"/>
      <c r="H812" s="1327" t="s">
        <v>163</v>
      </c>
      <c r="I812" s="1328"/>
      <c r="J812" s="1329"/>
      <c r="K812" s="1330"/>
      <c r="L812" s="1058"/>
      <c r="M812" s="1060"/>
      <c r="N812" s="229"/>
      <c r="O812" s="230"/>
      <c r="P812" s="44" t="s">
        <v>1065</v>
      </c>
      <c r="Q812" s="230"/>
      <c r="R812" s="230"/>
      <c r="S812" s="230"/>
      <c r="T812" s="230"/>
      <c r="U812" s="230"/>
      <c r="V812" s="230"/>
      <c r="W812" s="230"/>
      <c r="X812" s="230"/>
      <c r="Y812" s="230"/>
      <c r="Z812" s="230"/>
      <c r="AA812" s="230"/>
      <c r="AB812" s="230"/>
      <c r="AC812" s="230"/>
      <c r="AD812" s="230"/>
      <c r="AE812" s="246"/>
      <c r="AF812" s="1331"/>
      <c r="AG812" s="1332"/>
      <c r="AH812" s="1332"/>
      <c r="AI812" s="1331"/>
      <c r="AJ812" s="1332"/>
      <c r="AK812" s="1332"/>
      <c r="AL812" s="771"/>
    </row>
    <row r="813" spans="1:38" ht="11.25" customHeight="1">
      <c r="A813" t="s">
        <v>1021</v>
      </c>
      <c r="B813" t="s">
        <v>22</v>
      </c>
      <c r="E813" s="556"/>
      <c r="F813" s="1354"/>
      <c r="G813" s="1304" t="s">
        <v>103</v>
      </c>
      <c r="H813" s="1327" t="s">
        <v>165</v>
      </c>
      <c r="I813" s="1328" t="s">
        <v>1080</v>
      </c>
      <c r="J813" s="1329" t="s">
        <v>22</v>
      </c>
      <c r="K813" s="1330" t="s">
        <v>1141</v>
      </c>
      <c r="L813" s="1058" t="s">
        <v>19</v>
      </c>
      <c r="M813" s="1060"/>
      <c r="N813" s="241"/>
      <c r="O813" s="242" t="s">
        <v>387</v>
      </c>
      <c r="P813" s="243"/>
      <c r="Q813" s="243"/>
      <c r="R813" s="243"/>
      <c r="S813" s="243"/>
      <c r="T813" s="243"/>
      <c r="U813" s="243"/>
      <c r="V813" s="243"/>
      <c r="W813" s="243"/>
      <c r="X813" s="243"/>
      <c r="Y813" s="243"/>
      <c r="Z813" s="243"/>
      <c r="AA813" s="243"/>
      <c r="AB813" s="243"/>
      <c r="AC813" s="243"/>
      <c r="AD813" s="243"/>
      <c r="AE813" s="243"/>
      <c r="AF813" s="1331">
        <v>1</v>
      </c>
      <c r="AG813" s="1332" t="s">
        <v>1055</v>
      </c>
      <c r="AH813" s="1332" t="s">
        <v>1135</v>
      </c>
      <c r="AI813" s="1331">
        <v>1</v>
      </c>
      <c r="AJ813" s="1332" t="s">
        <v>1055</v>
      </c>
      <c r="AK813" s="1332" t="s">
        <v>1135</v>
      </c>
      <c r="AL813" s="771"/>
    </row>
    <row r="814" spans="1:38" ht="11.25" customHeight="1">
      <c r="A814" t="s">
        <v>1021</v>
      </c>
      <c r="E814" s="556"/>
      <c r="F814" s="1354"/>
      <c r="G814" s="1326"/>
      <c r="H814" s="1327" t="s">
        <v>164</v>
      </c>
      <c r="I814" s="1328"/>
      <c r="J814" s="1329"/>
      <c r="K814" s="1330"/>
      <c r="L814" s="1058"/>
      <c r="M814" s="1060"/>
      <c r="N814" s="1333"/>
      <c r="O814" s="1334">
        <v>1</v>
      </c>
      <c r="P814" s="1335" t="s">
        <v>19</v>
      </c>
      <c r="Q814" s="1323" t="s">
        <v>22</v>
      </c>
      <c r="R814" s="1323" t="s">
        <v>22</v>
      </c>
      <c r="S814" s="1323" t="s">
        <v>22</v>
      </c>
      <c r="T814" s="1323" t="s">
        <v>22</v>
      </c>
      <c r="U814" s="1323" t="s">
        <v>22</v>
      </c>
      <c r="V814" s="1323" t="s">
        <v>22</v>
      </c>
      <c r="W814" s="1323" t="s">
        <v>22</v>
      </c>
      <c r="X814" s="1323" t="s">
        <v>22</v>
      </c>
      <c r="Y814" s="1323"/>
      <c r="Z814" s="229"/>
      <c r="AA814" s="230"/>
      <c r="AB814" s="230"/>
      <c r="AC814" s="231"/>
      <c r="AD814" s="231"/>
      <c r="AE814" s="244"/>
      <c r="AF814" s="1331"/>
      <c r="AG814" s="1332"/>
      <c r="AH814" s="1332"/>
      <c r="AI814" s="1331"/>
      <c r="AJ814" s="1332"/>
      <c r="AK814" s="1332"/>
      <c r="AL814" s="771"/>
    </row>
    <row r="815" spans="1:38" ht="11.25" customHeight="1">
      <c r="A815" t="s">
        <v>1021</v>
      </c>
      <c r="E815" s="556"/>
      <c r="F815" s="1354"/>
      <c r="G815" s="1326"/>
      <c r="H815" s="1327" t="s">
        <v>164</v>
      </c>
      <c r="I815" s="1328"/>
      <c r="J815" s="1329"/>
      <c r="K815" s="1330"/>
      <c r="L815" s="1058"/>
      <c r="M815" s="1060"/>
      <c r="N815" s="1333"/>
      <c r="O815" s="1334"/>
      <c r="P815" s="1336"/>
      <c r="Q815" s="1323"/>
      <c r="R815" s="1323"/>
      <c r="S815" s="1338"/>
      <c r="T815" s="1323"/>
      <c r="U815" s="1323"/>
      <c r="V815" s="1323"/>
      <c r="W815" s="1323"/>
      <c r="X815" s="1323"/>
      <c r="Y815" s="1323"/>
      <c r="AA815" s="777">
        <v>1</v>
      </c>
      <c r="AB815" s="778" t="s">
        <v>1129</v>
      </c>
      <c r="AC815" s="236">
        <v>7793.85449618642</v>
      </c>
      <c r="AD815" s="778" t="str">
        <f>AB815</f>
        <v xml:space="preserve">     Прочие амортизационные отчисления</v>
      </c>
      <c r="AE815" s="236">
        <v>0</v>
      </c>
      <c r="AF815" s="1331"/>
      <c r="AG815" s="1332"/>
      <c r="AH815" s="1332"/>
      <c r="AI815" s="1331"/>
      <c r="AJ815" s="1332"/>
      <c r="AK815" s="1332"/>
      <c r="AL815" s="771"/>
    </row>
    <row r="816" spans="1:38" ht="11.25" customHeight="1">
      <c r="A816" t="s">
        <v>1021</v>
      </c>
      <c r="E816" s="556"/>
      <c r="F816" s="1354"/>
      <c r="G816" s="1326"/>
      <c r="H816" s="1327" t="s">
        <v>164</v>
      </c>
      <c r="I816" s="1328"/>
      <c r="J816" s="1329"/>
      <c r="K816" s="1330"/>
      <c r="L816" s="1058"/>
      <c r="M816" s="1060"/>
      <c r="N816" s="1333"/>
      <c r="O816" s="1334"/>
      <c r="P816" s="1337"/>
      <c r="Q816" s="1323"/>
      <c r="R816" s="1323"/>
      <c r="S816" s="1338"/>
      <c r="T816" s="1323"/>
      <c r="U816" s="1323"/>
      <c r="V816" s="1323"/>
      <c r="W816" s="1323"/>
      <c r="X816" s="1323"/>
      <c r="Y816" s="1323"/>
      <c r="Z816" s="229"/>
      <c r="AA816" s="230"/>
      <c r="AB816" s="44" t="s">
        <v>1064</v>
      </c>
      <c r="AC816" s="231"/>
      <c r="AD816" s="231"/>
      <c r="AE816" s="245"/>
      <c r="AF816" s="1331"/>
      <c r="AG816" s="1332"/>
      <c r="AH816" s="1332"/>
      <c r="AI816" s="1331"/>
      <c r="AJ816" s="1332"/>
      <c r="AK816" s="1332"/>
      <c r="AL816" s="771"/>
    </row>
    <row r="817" spans="1:38" ht="11.25" customHeight="1">
      <c r="A817" t="s">
        <v>1021</v>
      </c>
      <c r="E817" s="556"/>
      <c r="F817" s="1354"/>
      <c r="G817" s="1326"/>
      <c r="H817" s="1327" t="s">
        <v>164</v>
      </c>
      <c r="I817" s="1328"/>
      <c r="J817" s="1329"/>
      <c r="K817" s="1330"/>
      <c r="L817" s="1058"/>
      <c r="M817" s="1060"/>
      <c r="N817" s="229"/>
      <c r="O817" s="230"/>
      <c r="P817" s="44" t="s">
        <v>1065</v>
      </c>
      <c r="Q817" s="230"/>
      <c r="R817" s="230"/>
      <c r="S817" s="230"/>
      <c r="T817" s="230"/>
      <c r="U817" s="230"/>
      <c r="V817" s="230"/>
      <c r="W817" s="230"/>
      <c r="X817" s="230"/>
      <c r="Y817" s="230"/>
      <c r="Z817" s="230"/>
      <c r="AA817" s="230"/>
      <c r="AB817" s="230"/>
      <c r="AC817" s="230"/>
      <c r="AD817" s="230"/>
      <c r="AE817" s="246"/>
      <c r="AF817" s="1331"/>
      <c r="AG817" s="1332"/>
      <c r="AH817" s="1332"/>
      <c r="AI817" s="1331"/>
      <c r="AJ817" s="1332"/>
      <c r="AK817" s="1332"/>
      <c r="AL817" s="771"/>
    </row>
    <row r="818" spans="1:38" ht="11.25" customHeight="1">
      <c r="A818" t="s">
        <v>1021</v>
      </c>
      <c r="B818" t="s">
        <v>22</v>
      </c>
      <c r="E818" s="556"/>
      <c r="F818" s="1354"/>
      <c r="G818" s="1304" t="s">
        <v>103</v>
      </c>
      <c r="H818" s="1327" t="s">
        <v>166</v>
      </c>
      <c r="I818" s="1328" t="s">
        <v>1053</v>
      </c>
      <c r="J818" s="1329" t="s">
        <v>22</v>
      </c>
      <c r="K818" s="1330" t="s">
        <v>1180</v>
      </c>
      <c r="L818" s="1058" t="s">
        <v>19</v>
      </c>
      <c r="M818" s="1060"/>
      <c r="N818" s="241"/>
      <c r="O818" s="242" t="s">
        <v>387</v>
      </c>
      <c r="P818" s="243"/>
      <c r="Q818" s="243"/>
      <c r="R818" s="243"/>
      <c r="S818" s="243"/>
      <c r="T818" s="243"/>
      <c r="U818" s="243"/>
      <c r="V818" s="243"/>
      <c r="W818" s="243"/>
      <c r="X818" s="243"/>
      <c r="Y818" s="243"/>
      <c r="Z818" s="243"/>
      <c r="AA818" s="243"/>
      <c r="AB818" s="243"/>
      <c r="AC818" s="243"/>
      <c r="AD818" s="243"/>
      <c r="AE818" s="243"/>
      <c r="AF818" s="1331">
        <v>2</v>
      </c>
      <c r="AG818" s="1332" t="s">
        <v>1055</v>
      </c>
      <c r="AH818" s="1332" t="s">
        <v>1177</v>
      </c>
      <c r="AI818" s="1331">
        <v>2</v>
      </c>
      <c r="AJ818" s="1332" t="s">
        <v>1055</v>
      </c>
      <c r="AK818" s="1332" t="s">
        <v>1177</v>
      </c>
      <c r="AL818" s="771"/>
    </row>
    <row r="819" spans="1:38" ht="11.25" customHeight="1">
      <c r="A819" t="s">
        <v>1021</v>
      </c>
      <c r="E819" s="556"/>
      <c r="F819" s="1354"/>
      <c r="G819" s="1326"/>
      <c r="H819" s="1327" t="s">
        <v>165</v>
      </c>
      <c r="I819" s="1328"/>
      <c r="J819" s="1329"/>
      <c r="K819" s="1330"/>
      <c r="L819" s="1058"/>
      <c r="M819" s="1060"/>
      <c r="N819" s="1333"/>
      <c r="O819" s="1334">
        <v>1</v>
      </c>
      <c r="P819" s="1335" t="s">
        <v>19</v>
      </c>
      <c r="Q819" s="1323" t="s">
        <v>22</v>
      </c>
      <c r="R819" s="1323" t="s">
        <v>22</v>
      </c>
      <c r="S819" s="1323" t="s">
        <v>22</v>
      </c>
      <c r="T819" s="1323" t="s">
        <v>22</v>
      </c>
      <c r="U819" s="1323" t="s">
        <v>22</v>
      </c>
      <c r="V819" s="1323" t="s">
        <v>22</v>
      </c>
      <c r="W819" s="1323" t="s">
        <v>22</v>
      </c>
      <c r="X819" s="1323" t="s">
        <v>22</v>
      </c>
      <c r="Y819" s="1323"/>
      <c r="Z819" s="229"/>
      <c r="AA819" s="230"/>
      <c r="AB819" s="230"/>
      <c r="AC819" s="231"/>
      <c r="AD819" s="231"/>
      <c r="AE819" s="244"/>
      <c r="AF819" s="1331"/>
      <c r="AG819" s="1332"/>
      <c r="AH819" s="1332"/>
      <c r="AI819" s="1331"/>
      <c r="AJ819" s="1332"/>
      <c r="AK819" s="1332"/>
      <c r="AL819" s="771"/>
    </row>
    <row r="820" spans="1:38" ht="11.25" customHeight="1">
      <c r="A820" t="s">
        <v>1021</v>
      </c>
      <c r="E820" s="556"/>
      <c r="F820" s="1354"/>
      <c r="G820" s="1326"/>
      <c r="H820" s="1327" t="s">
        <v>165</v>
      </c>
      <c r="I820" s="1328"/>
      <c r="J820" s="1329"/>
      <c r="K820" s="1330"/>
      <c r="L820" s="1058"/>
      <c r="M820" s="1060"/>
      <c r="N820" s="1333"/>
      <c r="O820" s="1334"/>
      <c r="P820" s="1336"/>
      <c r="Q820" s="1323"/>
      <c r="R820" s="1323"/>
      <c r="S820" s="1338"/>
      <c r="T820" s="1323"/>
      <c r="U820" s="1323"/>
      <c r="V820" s="1323"/>
      <c r="W820" s="1323"/>
      <c r="X820" s="1323"/>
      <c r="Y820" s="1323"/>
      <c r="AA820" s="777">
        <v>1</v>
      </c>
      <c r="AB820" s="778" t="s">
        <v>1129</v>
      </c>
      <c r="AC820" s="236">
        <v>23118.081684606801</v>
      </c>
      <c r="AD820" s="778" t="str">
        <f>AB820</f>
        <v xml:space="preserve">     Прочие амортизационные отчисления</v>
      </c>
      <c r="AE820" s="236">
        <v>0</v>
      </c>
      <c r="AF820" s="1331"/>
      <c r="AG820" s="1332"/>
      <c r="AH820" s="1332"/>
      <c r="AI820" s="1331"/>
      <c r="AJ820" s="1332"/>
      <c r="AK820" s="1332"/>
      <c r="AL820" s="771"/>
    </row>
    <row r="821" spans="1:38" ht="11.25" customHeight="1">
      <c r="A821" t="s">
        <v>1021</v>
      </c>
      <c r="E821" s="556"/>
      <c r="F821" s="1354"/>
      <c r="G821" s="1326"/>
      <c r="H821" s="1327" t="s">
        <v>165</v>
      </c>
      <c r="I821" s="1328"/>
      <c r="J821" s="1329"/>
      <c r="K821" s="1330"/>
      <c r="L821" s="1058"/>
      <c r="M821" s="1060"/>
      <c r="N821" s="1333"/>
      <c r="O821" s="1334"/>
      <c r="P821" s="1337"/>
      <c r="Q821" s="1323"/>
      <c r="R821" s="1323"/>
      <c r="S821" s="1338"/>
      <c r="T821" s="1323"/>
      <c r="U821" s="1323"/>
      <c r="V821" s="1323"/>
      <c r="W821" s="1323"/>
      <c r="X821" s="1323"/>
      <c r="Y821" s="1323"/>
      <c r="Z821" s="229"/>
      <c r="AA821" s="230"/>
      <c r="AB821" s="44" t="s">
        <v>1064</v>
      </c>
      <c r="AC821" s="231"/>
      <c r="AD821" s="231"/>
      <c r="AE821" s="245"/>
      <c r="AF821" s="1331"/>
      <c r="AG821" s="1332"/>
      <c r="AH821" s="1332"/>
      <c r="AI821" s="1331"/>
      <c r="AJ821" s="1332"/>
      <c r="AK821" s="1332"/>
      <c r="AL821" s="771"/>
    </row>
    <row r="822" spans="1:38" ht="11.25" customHeight="1">
      <c r="A822" t="s">
        <v>1021</v>
      </c>
      <c r="E822" s="556"/>
      <c r="F822" s="1354"/>
      <c r="G822" s="1326"/>
      <c r="H822" s="1327" t="s">
        <v>165</v>
      </c>
      <c r="I822" s="1328"/>
      <c r="J822" s="1329"/>
      <c r="K822" s="1330"/>
      <c r="L822" s="1058"/>
      <c r="M822" s="1060"/>
      <c r="N822" s="229"/>
      <c r="O822" s="230"/>
      <c r="P822" s="44" t="s">
        <v>1065</v>
      </c>
      <c r="Q822" s="230"/>
      <c r="R822" s="230"/>
      <c r="S822" s="230"/>
      <c r="T822" s="230"/>
      <c r="U822" s="230"/>
      <c r="V822" s="230"/>
      <c r="W822" s="230"/>
      <c r="X822" s="230"/>
      <c r="Y822" s="230"/>
      <c r="Z822" s="230"/>
      <c r="AA822" s="230"/>
      <c r="AB822" s="230"/>
      <c r="AC822" s="230"/>
      <c r="AD822" s="230"/>
      <c r="AE822" s="246"/>
      <c r="AF822" s="1331"/>
      <c r="AG822" s="1332"/>
      <c r="AH822" s="1332"/>
      <c r="AI822" s="1331"/>
      <c r="AJ822" s="1332"/>
      <c r="AK822" s="1332"/>
      <c r="AL822" s="771"/>
    </row>
    <row r="823" spans="1:38" ht="12" customHeight="1">
      <c r="A823" t="s">
        <v>1021</v>
      </c>
      <c r="E823" s="556"/>
      <c r="F823" s="1355"/>
      <c r="G823" s="774"/>
      <c r="H823" s="774"/>
      <c r="I823" s="1352" t="s">
        <v>1083</v>
      </c>
      <c r="J823" s="1352"/>
      <c r="K823" s="1352"/>
      <c r="L823" s="775"/>
      <c r="M823" s="775"/>
      <c r="N823" s="776"/>
      <c r="O823" s="776"/>
      <c r="P823" s="776"/>
      <c r="Q823" s="776"/>
      <c r="R823" s="776"/>
      <c r="S823" s="776"/>
      <c r="T823" s="776"/>
      <c r="U823" s="776"/>
      <c r="V823" s="776"/>
      <c r="W823" s="776"/>
      <c r="X823" s="776"/>
      <c r="Y823" s="776"/>
      <c r="Z823" s="776"/>
      <c r="AA823" s="776"/>
      <c r="AB823" s="776"/>
      <c r="AC823" s="776"/>
      <c r="AD823" s="776"/>
      <c r="AE823" s="776"/>
      <c r="AF823" s="776"/>
      <c r="AG823" s="775"/>
      <c r="AH823" s="775"/>
      <c r="AI823" s="776"/>
      <c r="AJ823" s="775"/>
      <c r="AK823" s="776"/>
      <c r="AL823" s="771"/>
    </row>
    <row r="824" spans="1:38" ht="0.75" customHeight="1">
      <c r="A824" t="s">
        <v>1021</v>
      </c>
      <c r="E824" s="556"/>
      <c r="F824" s="1353">
        <v>2025</v>
      </c>
      <c r="G824" s="1327"/>
      <c r="H824" s="1357" t="s">
        <v>387</v>
      </c>
      <c r="I824" s="1358"/>
      <c r="J824" s="1350"/>
      <c r="K824" s="1350"/>
      <c r="L824" s="1351"/>
      <c r="M824" s="1200"/>
      <c r="N824" s="214"/>
      <c r="O824" s="215"/>
      <c r="P824" s="214"/>
      <c r="Q824" s="214"/>
      <c r="R824" s="214"/>
      <c r="S824" s="214"/>
      <c r="T824" s="214"/>
      <c r="U824" s="214"/>
      <c r="V824" s="214"/>
      <c r="W824" s="214"/>
      <c r="X824" s="214"/>
      <c r="Y824" s="214"/>
      <c r="Z824" s="214"/>
      <c r="AA824" s="214"/>
      <c r="AB824" s="214"/>
      <c r="AC824" s="214"/>
      <c r="AD824" s="214"/>
      <c r="AE824" s="214"/>
      <c r="AF824" s="1356"/>
      <c r="AG824" s="1351"/>
      <c r="AH824" s="1351"/>
      <c r="AI824" s="1356"/>
      <c r="AJ824" s="1351"/>
      <c r="AK824" s="1351"/>
      <c r="AL824" s="771"/>
    </row>
    <row r="825" spans="1:38" ht="0.75" customHeight="1">
      <c r="A825" t="s">
        <v>1021</v>
      </c>
      <c r="E825" s="556"/>
      <c r="F825" s="1353"/>
      <c r="G825" s="1327"/>
      <c r="H825" s="1357"/>
      <c r="I825" s="1358"/>
      <c r="J825" s="1350"/>
      <c r="K825" s="1350"/>
      <c r="L825" s="1351"/>
      <c r="M825" s="1200"/>
      <c r="N825" s="1359"/>
      <c r="O825" s="1360"/>
      <c r="P825" s="1347"/>
      <c r="Q825" s="1350"/>
      <c r="R825" s="1350"/>
      <c r="S825" s="1350"/>
      <c r="T825" s="1350"/>
      <c r="U825" s="1350"/>
      <c r="V825" s="1350"/>
      <c r="W825" s="1350"/>
      <c r="X825" s="1350"/>
      <c r="Y825" s="1350"/>
      <c r="Z825" s="216"/>
      <c r="AA825" s="217"/>
      <c r="AB825" s="217"/>
      <c r="AC825" s="218"/>
      <c r="AD825" s="218"/>
      <c r="AE825" s="219"/>
      <c r="AF825" s="1356"/>
      <c r="AG825" s="1351"/>
      <c r="AH825" s="1351"/>
      <c r="AI825" s="1356"/>
      <c r="AJ825" s="1351"/>
      <c r="AK825" s="1351"/>
      <c r="AL825" s="771"/>
    </row>
    <row r="826" spans="1:38" ht="0.75" customHeight="1">
      <c r="A826" t="s">
        <v>1021</v>
      </c>
      <c r="E826" s="556"/>
      <c r="F826" s="1353"/>
      <c r="G826" s="1327"/>
      <c r="H826" s="1357"/>
      <c r="I826" s="1358"/>
      <c r="J826" s="1350"/>
      <c r="K826" s="1350"/>
      <c r="L826" s="1351"/>
      <c r="M826" s="1200"/>
      <c r="N826" s="1359"/>
      <c r="O826" s="1360"/>
      <c r="P826" s="1348"/>
      <c r="Q826" s="1350"/>
      <c r="R826" s="1350"/>
      <c r="S826" s="1350"/>
      <c r="T826" s="1350"/>
      <c r="U826" s="1350"/>
      <c r="V826" s="1350"/>
      <c r="W826" s="1350"/>
      <c r="X826" s="1350"/>
      <c r="Y826" s="1350"/>
      <c r="AA826" s="772"/>
      <c r="AB826" s="773"/>
      <c r="AC826" s="220"/>
      <c r="AD826" s="773"/>
      <c r="AE826" s="220"/>
      <c r="AF826" s="1356"/>
      <c r="AG826" s="1351"/>
      <c r="AH826" s="1351"/>
      <c r="AI826" s="1356"/>
      <c r="AJ826" s="1351"/>
      <c r="AK826" s="1351"/>
      <c r="AL826" s="771"/>
    </row>
    <row r="827" spans="1:38" ht="0.75" customHeight="1">
      <c r="A827" t="s">
        <v>1021</v>
      </c>
      <c r="E827" s="556"/>
      <c r="F827" s="1353"/>
      <c r="G827" s="1327"/>
      <c r="H827" s="1357"/>
      <c r="I827" s="1358"/>
      <c r="J827" s="1350"/>
      <c r="K827" s="1350"/>
      <c r="L827" s="1351"/>
      <c r="M827" s="1200"/>
      <c r="N827" s="1359"/>
      <c r="O827" s="1360"/>
      <c r="P827" s="1349"/>
      <c r="Q827" s="1350"/>
      <c r="R827" s="1350"/>
      <c r="S827" s="1350"/>
      <c r="T827" s="1350"/>
      <c r="U827" s="1350"/>
      <c r="V827" s="1350"/>
      <c r="W827" s="1350"/>
      <c r="X827" s="1350"/>
      <c r="Y827" s="1350"/>
      <c r="Z827" s="216"/>
      <c r="AA827" s="217"/>
      <c r="AB827" s="221"/>
      <c r="AC827" s="218"/>
      <c r="AD827" s="218"/>
      <c r="AE827" s="222"/>
      <c r="AF827" s="1356"/>
      <c r="AG827" s="1351"/>
      <c r="AH827" s="1351"/>
      <c r="AI827" s="1356"/>
      <c r="AJ827" s="1351"/>
      <c r="AK827" s="1351"/>
      <c r="AL827" s="771"/>
    </row>
    <row r="828" spans="1:38" ht="0.75" customHeight="1">
      <c r="A828" t="s">
        <v>1021</v>
      </c>
      <c r="E828" s="556"/>
      <c r="F828" s="1353"/>
      <c r="G828" s="1327"/>
      <c r="H828" s="1357"/>
      <c r="I828" s="1358"/>
      <c r="J828" s="1350"/>
      <c r="K828" s="1350"/>
      <c r="L828" s="1351"/>
      <c r="M828" s="1200"/>
      <c r="N828" s="217"/>
      <c r="O828" s="217"/>
      <c r="P828" s="221"/>
      <c r="Q828" s="217"/>
      <c r="R828" s="217"/>
      <c r="S828" s="217"/>
      <c r="T828" s="217"/>
      <c r="U828" s="217"/>
      <c r="V828" s="217"/>
      <c r="W828" s="217"/>
      <c r="X828" s="217"/>
      <c r="Y828" s="217"/>
      <c r="Z828" s="217"/>
      <c r="AA828" s="217"/>
      <c r="AB828" s="217"/>
      <c r="AC828" s="217"/>
      <c r="AD828" s="217"/>
      <c r="AE828" s="223"/>
      <c r="AF828" s="1356"/>
      <c r="AG828" s="1351"/>
      <c r="AH828" s="1351"/>
      <c r="AI828" s="1356"/>
      <c r="AJ828" s="1351"/>
      <c r="AK828" s="1351"/>
      <c r="AL828" s="771"/>
    </row>
    <row r="829" spans="1:38" ht="11.25" customHeight="1">
      <c r="A829" t="s">
        <v>1021</v>
      </c>
      <c r="B829" t="s">
        <v>22</v>
      </c>
      <c r="E829" s="556"/>
      <c r="F829" s="1354"/>
      <c r="G829" s="1304" t="s">
        <v>103</v>
      </c>
      <c r="H829" s="1327" t="s">
        <v>114</v>
      </c>
      <c r="I829" s="1328" t="s">
        <v>1053</v>
      </c>
      <c r="J829" s="1329" t="s">
        <v>22</v>
      </c>
      <c r="K829" s="1330" t="s">
        <v>1101</v>
      </c>
      <c r="L829" s="1058" t="s">
        <v>19</v>
      </c>
      <c r="M829" s="1060"/>
      <c r="N829" s="241"/>
      <c r="O829" s="242" t="s">
        <v>387</v>
      </c>
      <c r="P829" s="243"/>
      <c r="Q829" s="243"/>
      <c r="R829" s="243"/>
      <c r="S829" s="243"/>
      <c r="T829" s="243"/>
      <c r="U829" s="243"/>
      <c r="V829" s="243"/>
      <c r="W829" s="243"/>
      <c r="X829" s="243"/>
      <c r="Y829" s="243"/>
      <c r="Z829" s="243"/>
      <c r="AA829" s="243"/>
      <c r="AB829" s="243"/>
      <c r="AC829" s="243"/>
      <c r="AD829" s="243"/>
      <c r="AE829" s="243"/>
      <c r="AF829" s="1331">
        <v>2</v>
      </c>
      <c r="AG829" s="1332" t="s">
        <v>1055</v>
      </c>
      <c r="AH829" s="1332" t="s">
        <v>1102</v>
      </c>
      <c r="AI829" s="1331">
        <v>2</v>
      </c>
      <c r="AJ829" s="1332" t="s">
        <v>1055</v>
      </c>
      <c r="AK829" s="1332" t="s">
        <v>1102</v>
      </c>
      <c r="AL829" s="771"/>
    </row>
    <row r="830" spans="1:38" ht="11.25" customHeight="1">
      <c r="A830" t="s">
        <v>1021</v>
      </c>
      <c r="E830" s="556"/>
      <c r="F830" s="1354"/>
      <c r="G830" s="1326"/>
      <c r="H830" s="1327" t="s">
        <v>387</v>
      </c>
      <c r="I830" s="1328"/>
      <c r="J830" s="1329"/>
      <c r="K830" s="1330"/>
      <c r="L830" s="1058"/>
      <c r="M830" s="1060"/>
      <c r="N830" s="1333"/>
      <c r="O830" s="1334">
        <v>1</v>
      </c>
      <c r="P830" s="1335" t="s">
        <v>61</v>
      </c>
      <c r="Q830" s="1339" t="s">
        <v>1103</v>
      </c>
      <c r="R830" s="1340" t="s">
        <v>1104</v>
      </c>
      <c r="S830" s="1340" t="s">
        <v>99</v>
      </c>
      <c r="T830" s="1340" t="s">
        <v>99</v>
      </c>
      <c r="U830" s="1340" t="s">
        <v>100</v>
      </c>
      <c r="V830" s="1340" t="s">
        <v>1059</v>
      </c>
      <c r="W830" s="1340" t="s">
        <v>1060</v>
      </c>
      <c r="X830" s="1340" t="s">
        <v>1105</v>
      </c>
      <c r="Y830" s="1340" t="s">
        <v>1106</v>
      </c>
      <c r="Z830" s="229"/>
      <c r="AA830" s="230"/>
      <c r="AB830" s="230"/>
      <c r="AC830" s="231"/>
      <c r="AD830" s="231"/>
      <c r="AE830" s="244"/>
      <c r="AF830" s="1331"/>
      <c r="AG830" s="1332"/>
      <c r="AH830" s="1332"/>
      <c r="AI830" s="1331"/>
      <c r="AJ830" s="1332"/>
      <c r="AK830" s="1332"/>
      <c r="AL830" s="771"/>
    </row>
    <row r="831" spans="1:38" ht="11.25" customHeight="1">
      <c r="A831" t="s">
        <v>1021</v>
      </c>
      <c r="E831" s="556"/>
      <c r="F831" s="1354"/>
      <c r="G831" s="1326"/>
      <c r="H831" s="1327" t="s">
        <v>387</v>
      </c>
      <c r="I831" s="1328"/>
      <c r="J831" s="1329"/>
      <c r="K831" s="1330"/>
      <c r="L831" s="1058"/>
      <c r="M831" s="1060"/>
      <c r="N831" s="1333"/>
      <c r="O831" s="1334"/>
      <c r="P831" s="1336"/>
      <c r="Q831" s="1339"/>
      <c r="R831" s="1323"/>
      <c r="S831" s="1338"/>
      <c r="T831" s="1323"/>
      <c r="U831" s="1323"/>
      <c r="V831" s="1323"/>
      <c r="W831" s="1323"/>
      <c r="X831" s="1323"/>
      <c r="Y831" s="1323"/>
      <c r="AA831" s="777">
        <v>1</v>
      </c>
      <c r="AB831" s="778" t="s">
        <v>1129</v>
      </c>
      <c r="AC831" s="236">
        <v>53661.699496854402</v>
      </c>
      <c r="AD831" s="778" t="str">
        <f>AB831</f>
        <v xml:space="preserve">     Прочие амортизационные отчисления</v>
      </c>
      <c r="AE831" s="236">
        <v>0</v>
      </c>
      <c r="AF831" s="1331"/>
      <c r="AG831" s="1332"/>
      <c r="AH831" s="1332"/>
      <c r="AI831" s="1331"/>
      <c r="AJ831" s="1332"/>
      <c r="AK831" s="1332"/>
      <c r="AL831" s="771"/>
    </row>
    <row r="832" spans="1:38" ht="11.25" customHeight="1">
      <c r="A832" t="s">
        <v>1021</v>
      </c>
      <c r="E832" s="556"/>
      <c r="F832" s="1354"/>
      <c r="G832" s="1326"/>
      <c r="H832" s="1327" t="s">
        <v>387</v>
      </c>
      <c r="I832" s="1328"/>
      <c r="J832" s="1329"/>
      <c r="K832" s="1330"/>
      <c r="L832" s="1058"/>
      <c r="M832" s="1060"/>
      <c r="N832" s="1333"/>
      <c r="O832" s="1334"/>
      <c r="P832" s="1337"/>
      <c r="Q832" s="1339"/>
      <c r="R832" s="1323"/>
      <c r="S832" s="1338"/>
      <c r="T832" s="1323"/>
      <c r="U832" s="1323"/>
      <c r="V832" s="1323"/>
      <c r="W832" s="1323"/>
      <c r="X832" s="1323"/>
      <c r="Y832" s="1323"/>
      <c r="Z832" s="229"/>
      <c r="AA832" s="230"/>
      <c r="AB832" s="44" t="s">
        <v>1064</v>
      </c>
      <c r="AC832" s="231"/>
      <c r="AD832" s="231"/>
      <c r="AE832" s="245"/>
      <c r="AF832" s="1331"/>
      <c r="AG832" s="1332"/>
      <c r="AH832" s="1332"/>
      <c r="AI832" s="1331"/>
      <c r="AJ832" s="1332"/>
      <c r="AK832" s="1332"/>
      <c r="AL832" s="771"/>
    </row>
    <row r="833" spans="1:38" ht="11.25" customHeight="1">
      <c r="A833" t="s">
        <v>1021</v>
      </c>
      <c r="E833" s="556"/>
      <c r="F833" s="1354"/>
      <c r="G833" s="1326"/>
      <c r="H833" s="1327" t="s">
        <v>387</v>
      </c>
      <c r="I833" s="1328"/>
      <c r="J833" s="1329"/>
      <c r="K833" s="1330"/>
      <c r="L833" s="1058"/>
      <c r="M833" s="1060"/>
      <c r="N833" s="229"/>
      <c r="O833" s="230"/>
      <c r="P833" s="44" t="s">
        <v>1065</v>
      </c>
      <c r="Q833" s="230"/>
      <c r="R833" s="230"/>
      <c r="S833" s="230"/>
      <c r="T833" s="230"/>
      <c r="U833" s="230"/>
      <c r="V833" s="230"/>
      <c r="W833" s="230"/>
      <c r="X833" s="230"/>
      <c r="Y833" s="230"/>
      <c r="Z833" s="230"/>
      <c r="AA833" s="230"/>
      <c r="AB833" s="230"/>
      <c r="AC833" s="230"/>
      <c r="AD833" s="230"/>
      <c r="AE833" s="246"/>
      <c r="AF833" s="1331"/>
      <c r="AG833" s="1332"/>
      <c r="AH833" s="1332"/>
      <c r="AI833" s="1331"/>
      <c r="AJ833" s="1332"/>
      <c r="AK833" s="1332"/>
      <c r="AL833" s="771"/>
    </row>
    <row r="834" spans="1:38" ht="11.25" customHeight="1">
      <c r="A834" t="s">
        <v>1021</v>
      </c>
      <c r="B834" t="s">
        <v>1076</v>
      </c>
      <c r="E834" s="556"/>
      <c r="F834" s="1354"/>
      <c r="G834" s="1304" t="s">
        <v>103</v>
      </c>
      <c r="H834" s="1327" t="s">
        <v>102</v>
      </c>
      <c r="I834" s="1328" t="s">
        <v>1077</v>
      </c>
      <c r="J834" s="1341" t="s">
        <v>1130</v>
      </c>
      <c r="K834" s="1330" t="s">
        <v>1176</v>
      </c>
      <c r="L834" s="1058" t="s">
        <v>19</v>
      </c>
      <c r="M834" s="1060"/>
      <c r="N834" s="241"/>
      <c r="O834" s="242" t="s">
        <v>387</v>
      </c>
      <c r="P834" s="243"/>
      <c r="Q834" s="243"/>
      <c r="R834" s="243"/>
      <c r="S834" s="243"/>
      <c r="T834" s="243"/>
      <c r="U834" s="243"/>
      <c r="V834" s="243"/>
      <c r="W834" s="243"/>
      <c r="X834" s="243"/>
      <c r="Y834" s="243"/>
      <c r="Z834" s="243"/>
      <c r="AA834" s="243"/>
      <c r="AB834" s="243"/>
      <c r="AC834" s="243"/>
      <c r="AD834" s="243"/>
      <c r="AE834" s="243"/>
      <c r="AF834" s="1331">
        <v>1</v>
      </c>
      <c r="AG834" s="1332" t="s">
        <v>1055</v>
      </c>
      <c r="AH834" s="1332" t="s">
        <v>1177</v>
      </c>
      <c r="AI834" s="1331">
        <v>1</v>
      </c>
      <c r="AJ834" s="1332" t="s">
        <v>1055</v>
      </c>
      <c r="AK834" s="1332" t="s">
        <v>1177</v>
      </c>
      <c r="AL834" s="771"/>
    </row>
    <row r="835" spans="1:38" ht="11.25" customHeight="1">
      <c r="A835" t="s">
        <v>1021</v>
      </c>
      <c r="E835" s="556"/>
      <c r="F835" s="1354"/>
      <c r="G835" s="1326"/>
      <c r="H835" s="1327" t="s">
        <v>114</v>
      </c>
      <c r="I835" s="1328"/>
      <c r="J835" s="1341"/>
      <c r="K835" s="1330"/>
      <c r="L835" s="1058"/>
      <c r="M835" s="1060"/>
      <c r="N835" s="1333"/>
      <c r="O835" s="1334">
        <v>1</v>
      </c>
      <c r="P835" s="1335" t="s">
        <v>19</v>
      </c>
      <c r="Q835" s="1323" t="s">
        <v>22</v>
      </c>
      <c r="R835" s="1323" t="s">
        <v>22</v>
      </c>
      <c r="S835" s="1323" t="s">
        <v>22</v>
      </c>
      <c r="T835" s="1323" t="s">
        <v>22</v>
      </c>
      <c r="U835" s="1323" t="s">
        <v>22</v>
      </c>
      <c r="V835" s="1323" t="s">
        <v>22</v>
      </c>
      <c r="W835" s="1323" t="s">
        <v>22</v>
      </c>
      <c r="X835" s="1323" t="s">
        <v>22</v>
      </c>
      <c r="Y835" s="1323"/>
      <c r="Z835" s="229"/>
      <c r="AA835" s="230"/>
      <c r="AB835" s="230"/>
      <c r="AC835" s="231"/>
      <c r="AD835" s="231"/>
      <c r="AE835" s="244"/>
      <c r="AF835" s="1331"/>
      <c r="AG835" s="1332"/>
      <c r="AH835" s="1332"/>
      <c r="AI835" s="1331"/>
      <c r="AJ835" s="1332"/>
      <c r="AK835" s="1332"/>
      <c r="AL835" s="771"/>
    </row>
    <row r="836" spans="1:38" ht="11.25" customHeight="1">
      <c r="A836" t="s">
        <v>1021</v>
      </c>
      <c r="E836" s="556"/>
      <c r="F836" s="1354"/>
      <c r="G836" s="1326"/>
      <c r="H836" s="1327" t="s">
        <v>114</v>
      </c>
      <c r="I836" s="1328"/>
      <c r="J836" s="1341"/>
      <c r="K836" s="1330"/>
      <c r="L836" s="1058"/>
      <c r="M836" s="1060"/>
      <c r="N836" s="1333"/>
      <c r="O836" s="1334"/>
      <c r="P836" s="1336"/>
      <c r="Q836" s="1323"/>
      <c r="R836" s="1323"/>
      <c r="S836" s="1338"/>
      <c r="T836" s="1323"/>
      <c r="U836" s="1323"/>
      <c r="V836" s="1323"/>
      <c r="W836" s="1323"/>
      <c r="X836" s="1323"/>
      <c r="Y836" s="1323"/>
      <c r="AA836" s="777">
        <v>1</v>
      </c>
      <c r="AB836" s="778" t="s">
        <v>1129</v>
      </c>
      <c r="AC836" s="236">
        <v>16082.2690437644</v>
      </c>
      <c r="AD836" s="778" t="str">
        <f>AB836</f>
        <v xml:space="preserve">     Прочие амортизационные отчисления</v>
      </c>
      <c r="AE836" s="236">
        <v>0</v>
      </c>
      <c r="AF836" s="1331"/>
      <c r="AG836" s="1332"/>
      <c r="AH836" s="1332"/>
      <c r="AI836" s="1331"/>
      <c r="AJ836" s="1332"/>
      <c r="AK836" s="1332"/>
      <c r="AL836" s="771"/>
    </row>
    <row r="837" spans="1:38" ht="11.25" customHeight="1">
      <c r="A837" t="s">
        <v>1021</v>
      </c>
      <c r="E837" s="556"/>
      <c r="F837" s="1354"/>
      <c r="G837" s="1326"/>
      <c r="H837" s="1327" t="s">
        <v>114</v>
      </c>
      <c r="I837" s="1328"/>
      <c r="J837" s="1341"/>
      <c r="K837" s="1330"/>
      <c r="L837" s="1058"/>
      <c r="M837" s="1060"/>
      <c r="N837" s="1333"/>
      <c r="O837" s="1334"/>
      <c r="P837" s="1337"/>
      <c r="Q837" s="1323"/>
      <c r="R837" s="1323"/>
      <c r="S837" s="1338"/>
      <c r="T837" s="1323"/>
      <c r="U837" s="1323"/>
      <c r="V837" s="1323"/>
      <c r="W837" s="1323"/>
      <c r="X837" s="1323"/>
      <c r="Y837" s="1323"/>
      <c r="Z837" s="229"/>
      <c r="AA837" s="230"/>
      <c r="AB837" s="44" t="s">
        <v>1064</v>
      </c>
      <c r="AC837" s="231"/>
      <c r="AD837" s="231"/>
      <c r="AE837" s="245"/>
      <c r="AF837" s="1331"/>
      <c r="AG837" s="1332"/>
      <c r="AH837" s="1332"/>
      <c r="AI837" s="1331"/>
      <c r="AJ837" s="1332"/>
      <c r="AK837" s="1332"/>
      <c r="AL837" s="771"/>
    </row>
    <row r="838" spans="1:38" ht="11.25" customHeight="1">
      <c r="A838" t="s">
        <v>1021</v>
      </c>
      <c r="E838" s="556"/>
      <c r="F838" s="1354"/>
      <c r="G838" s="1326"/>
      <c r="H838" s="1327" t="s">
        <v>114</v>
      </c>
      <c r="I838" s="1328"/>
      <c r="J838" s="1341"/>
      <c r="K838" s="1330"/>
      <c r="L838" s="1058"/>
      <c r="M838" s="1060"/>
      <c r="N838" s="229"/>
      <c r="O838" s="230"/>
      <c r="P838" s="44" t="s">
        <v>1065</v>
      </c>
      <c r="Q838" s="230"/>
      <c r="R838" s="230"/>
      <c r="S838" s="230"/>
      <c r="T838" s="230"/>
      <c r="U838" s="230"/>
      <c r="V838" s="230"/>
      <c r="W838" s="230"/>
      <c r="X838" s="230"/>
      <c r="Y838" s="230"/>
      <c r="Z838" s="230"/>
      <c r="AA838" s="230"/>
      <c r="AB838" s="230"/>
      <c r="AC838" s="230"/>
      <c r="AD838" s="230"/>
      <c r="AE838" s="246"/>
      <c r="AF838" s="1331"/>
      <c r="AG838" s="1332"/>
      <c r="AH838" s="1332"/>
      <c r="AI838" s="1331"/>
      <c r="AJ838" s="1332"/>
      <c r="AK838" s="1332"/>
      <c r="AL838" s="771"/>
    </row>
    <row r="839" spans="1:38" ht="11.25" customHeight="1">
      <c r="A839" t="s">
        <v>1021</v>
      </c>
      <c r="B839" t="s">
        <v>1076</v>
      </c>
      <c r="E839" s="556"/>
      <c r="F839" s="1354"/>
      <c r="G839" s="1304" t="s">
        <v>103</v>
      </c>
      <c r="H839" s="1327" t="s">
        <v>89</v>
      </c>
      <c r="I839" s="1328" t="s">
        <v>1077</v>
      </c>
      <c r="J839" s="1341" t="s">
        <v>1078</v>
      </c>
      <c r="K839" s="1330" t="s">
        <v>1108</v>
      </c>
      <c r="L839" s="1058" t="s">
        <v>61</v>
      </c>
      <c r="M839" s="1342" t="s">
        <v>1020</v>
      </c>
      <c r="N839" s="241"/>
      <c r="O839" s="242" t="s">
        <v>387</v>
      </c>
      <c r="P839" s="243"/>
      <c r="Q839" s="243"/>
      <c r="R839" s="243"/>
      <c r="S839" s="243"/>
      <c r="T839" s="243"/>
      <c r="U839" s="243"/>
      <c r="V839" s="243"/>
      <c r="W839" s="243"/>
      <c r="X839" s="243"/>
      <c r="Y839" s="243"/>
      <c r="Z839" s="243"/>
      <c r="AA839" s="243"/>
      <c r="AB839" s="243"/>
      <c r="AC839" s="243"/>
      <c r="AD839" s="243"/>
      <c r="AE839" s="243"/>
      <c r="AF839" s="1331">
        <v>3</v>
      </c>
      <c r="AG839" s="1332" t="s">
        <v>1055</v>
      </c>
      <c r="AH839" s="1332" t="s">
        <v>1109</v>
      </c>
      <c r="AI839" s="1331">
        <v>3</v>
      </c>
      <c r="AJ839" s="1332" t="s">
        <v>1055</v>
      </c>
      <c r="AK839" s="1332" t="s">
        <v>1109</v>
      </c>
      <c r="AL839" s="771"/>
    </row>
    <row r="840" spans="1:38" ht="11.25" customHeight="1">
      <c r="A840" t="s">
        <v>1021</v>
      </c>
      <c r="E840" s="556"/>
      <c r="F840" s="1354"/>
      <c r="G840" s="1326"/>
      <c r="H840" s="1327" t="s">
        <v>102</v>
      </c>
      <c r="I840" s="1328"/>
      <c r="J840" s="1341"/>
      <c r="K840" s="1330"/>
      <c r="L840" s="1058"/>
      <c r="M840" s="1342"/>
      <c r="N840" s="1333"/>
      <c r="O840" s="1334">
        <v>1</v>
      </c>
      <c r="P840" s="1335" t="s">
        <v>19</v>
      </c>
      <c r="Q840" s="1323" t="s">
        <v>22</v>
      </c>
      <c r="R840" s="1323" t="s">
        <v>22</v>
      </c>
      <c r="S840" s="1323" t="s">
        <v>22</v>
      </c>
      <c r="T840" s="1323" t="s">
        <v>22</v>
      </c>
      <c r="U840" s="1323" t="s">
        <v>22</v>
      </c>
      <c r="V840" s="1323" t="s">
        <v>22</v>
      </c>
      <c r="W840" s="1323" t="s">
        <v>22</v>
      </c>
      <c r="X840" s="1323" t="s">
        <v>22</v>
      </c>
      <c r="Y840" s="1323"/>
      <c r="Z840" s="229"/>
      <c r="AA840" s="230"/>
      <c r="AB840" s="230"/>
      <c r="AC840" s="231"/>
      <c r="AD840" s="231"/>
      <c r="AE840" s="244"/>
      <c r="AF840" s="1331"/>
      <c r="AG840" s="1332"/>
      <c r="AH840" s="1332"/>
      <c r="AI840" s="1331"/>
      <c r="AJ840" s="1332"/>
      <c r="AK840" s="1332"/>
      <c r="AL840" s="771"/>
    </row>
    <row r="841" spans="1:38" ht="11.25" customHeight="1">
      <c r="A841" t="s">
        <v>1021</v>
      </c>
      <c r="E841" s="556"/>
      <c r="F841" s="1354"/>
      <c r="G841" s="1326"/>
      <c r="H841" s="1327" t="s">
        <v>102</v>
      </c>
      <c r="I841" s="1328"/>
      <c r="J841" s="1341"/>
      <c r="K841" s="1330"/>
      <c r="L841" s="1058"/>
      <c r="M841" s="1342"/>
      <c r="N841" s="1333"/>
      <c r="O841" s="1334"/>
      <c r="P841" s="1336"/>
      <c r="Q841" s="1323"/>
      <c r="R841" s="1323"/>
      <c r="S841" s="1338"/>
      <c r="T841" s="1323"/>
      <c r="U841" s="1323"/>
      <c r="V841" s="1323"/>
      <c r="W841" s="1323"/>
      <c r="X841" s="1323"/>
      <c r="Y841" s="1323"/>
      <c r="AA841" s="777">
        <v>1</v>
      </c>
      <c r="AB841" s="778" t="s">
        <v>1129</v>
      </c>
      <c r="AC841" s="236">
        <v>34023.453157958502</v>
      </c>
      <c r="AD841" s="778" t="str">
        <f>AB841</f>
        <v xml:space="preserve">     Прочие амортизационные отчисления</v>
      </c>
      <c r="AE841" s="236">
        <v>0</v>
      </c>
      <c r="AF841" s="1331"/>
      <c r="AG841" s="1332"/>
      <c r="AH841" s="1332"/>
      <c r="AI841" s="1331"/>
      <c r="AJ841" s="1332"/>
      <c r="AK841" s="1332"/>
      <c r="AL841" s="771"/>
    </row>
    <row r="842" spans="1:38" ht="11.25" customHeight="1">
      <c r="A842" t="s">
        <v>1021</v>
      </c>
      <c r="E842" s="556"/>
      <c r="F842" s="1354"/>
      <c r="G842" s="1326"/>
      <c r="H842" s="1327" t="s">
        <v>102</v>
      </c>
      <c r="I842" s="1328"/>
      <c r="J842" s="1341"/>
      <c r="K842" s="1330"/>
      <c r="L842" s="1058"/>
      <c r="M842" s="1342"/>
      <c r="N842" s="1333"/>
      <c r="O842" s="1334"/>
      <c r="P842" s="1337"/>
      <c r="Q842" s="1323"/>
      <c r="R842" s="1323"/>
      <c r="S842" s="1338"/>
      <c r="T842" s="1323"/>
      <c r="U842" s="1323"/>
      <c r="V842" s="1323"/>
      <c r="W842" s="1323"/>
      <c r="X842" s="1323"/>
      <c r="Y842" s="1323"/>
      <c r="Z842" s="229"/>
      <c r="AA842" s="230"/>
      <c r="AB842" s="44" t="s">
        <v>1064</v>
      </c>
      <c r="AC842" s="231"/>
      <c r="AD842" s="231"/>
      <c r="AE842" s="245"/>
      <c r="AF842" s="1331"/>
      <c r="AG842" s="1332"/>
      <c r="AH842" s="1332"/>
      <c r="AI842" s="1331"/>
      <c r="AJ842" s="1332"/>
      <c r="AK842" s="1332"/>
      <c r="AL842" s="771"/>
    </row>
    <row r="843" spans="1:38" ht="11.25" customHeight="1">
      <c r="A843" t="s">
        <v>1021</v>
      </c>
      <c r="E843" s="556"/>
      <c r="F843" s="1354"/>
      <c r="G843" s="1326"/>
      <c r="H843" s="1327" t="s">
        <v>102</v>
      </c>
      <c r="I843" s="1328"/>
      <c r="J843" s="1341"/>
      <c r="K843" s="1330"/>
      <c r="L843" s="1058"/>
      <c r="M843" s="1342"/>
      <c r="N843" s="229"/>
      <c r="O843" s="230"/>
      <c r="P843" s="44" t="s">
        <v>1065</v>
      </c>
      <c r="Q843" s="230"/>
      <c r="R843" s="230"/>
      <c r="S843" s="230"/>
      <c r="T843" s="230"/>
      <c r="U843" s="230"/>
      <c r="V843" s="230"/>
      <c r="W843" s="230"/>
      <c r="X843" s="230"/>
      <c r="Y843" s="230"/>
      <c r="Z843" s="230"/>
      <c r="AA843" s="230"/>
      <c r="AB843" s="230"/>
      <c r="AC843" s="230"/>
      <c r="AD843" s="230"/>
      <c r="AE843" s="246"/>
      <c r="AF843" s="1331"/>
      <c r="AG843" s="1332"/>
      <c r="AH843" s="1332"/>
      <c r="AI843" s="1331"/>
      <c r="AJ843" s="1332"/>
      <c r="AK843" s="1332"/>
      <c r="AL843" s="771"/>
    </row>
    <row r="844" spans="1:38" ht="11.25" customHeight="1">
      <c r="A844" t="s">
        <v>1021</v>
      </c>
      <c r="B844" t="s">
        <v>22</v>
      </c>
      <c r="E844" s="556"/>
      <c r="F844" s="1354"/>
      <c r="G844" s="1304" t="s">
        <v>103</v>
      </c>
      <c r="H844" s="1327" t="s">
        <v>90</v>
      </c>
      <c r="I844" s="1328" t="s">
        <v>1080</v>
      </c>
      <c r="J844" s="1329" t="s">
        <v>22</v>
      </c>
      <c r="K844" s="1330" t="s">
        <v>1181</v>
      </c>
      <c r="L844" s="1058" t="s">
        <v>19</v>
      </c>
      <c r="M844" s="1060"/>
      <c r="N844" s="241"/>
      <c r="O844" s="242" t="s">
        <v>387</v>
      </c>
      <c r="P844" s="243"/>
      <c r="Q844" s="243"/>
      <c r="R844" s="243"/>
      <c r="S844" s="243"/>
      <c r="T844" s="243"/>
      <c r="U844" s="243"/>
      <c r="V844" s="243"/>
      <c r="W844" s="243"/>
      <c r="X844" s="243"/>
      <c r="Y844" s="243"/>
      <c r="Z844" s="243"/>
      <c r="AA844" s="243"/>
      <c r="AB844" s="243"/>
      <c r="AC844" s="243"/>
      <c r="AD844" s="243"/>
      <c r="AE844" s="243"/>
      <c r="AF844" s="1331">
        <v>2</v>
      </c>
      <c r="AG844" s="1332" t="s">
        <v>1055</v>
      </c>
      <c r="AH844" s="1332" t="s">
        <v>1102</v>
      </c>
      <c r="AI844" s="1331">
        <v>2</v>
      </c>
      <c r="AJ844" s="1332" t="s">
        <v>1055</v>
      </c>
      <c r="AK844" s="1332" t="s">
        <v>1102</v>
      </c>
      <c r="AL844" s="771"/>
    </row>
    <row r="845" spans="1:38" ht="11.25" customHeight="1">
      <c r="A845" t="s">
        <v>1021</v>
      </c>
      <c r="E845" s="556"/>
      <c r="F845" s="1354"/>
      <c r="G845" s="1326"/>
      <c r="H845" s="1327" t="s">
        <v>89</v>
      </c>
      <c r="I845" s="1328"/>
      <c r="J845" s="1329"/>
      <c r="K845" s="1330"/>
      <c r="L845" s="1058"/>
      <c r="M845" s="1060"/>
      <c r="N845" s="1333"/>
      <c r="O845" s="1334">
        <v>1</v>
      </c>
      <c r="P845" s="1335" t="s">
        <v>19</v>
      </c>
      <c r="Q845" s="1323" t="s">
        <v>22</v>
      </c>
      <c r="R845" s="1323" t="s">
        <v>22</v>
      </c>
      <c r="S845" s="1323" t="s">
        <v>22</v>
      </c>
      <c r="T845" s="1323" t="s">
        <v>22</v>
      </c>
      <c r="U845" s="1323" t="s">
        <v>22</v>
      </c>
      <c r="V845" s="1323" t="s">
        <v>22</v>
      </c>
      <c r="W845" s="1323" t="s">
        <v>22</v>
      </c>
      <c r="X845" s="1323" t="s">
        <v>22</v>
      </c>
      <c r="Y845" s="1323"/>
      <c r="Z845" s="229"/>
      <c r="AA845" s="230"/>
      <c r="AB845" s="230"/>
      <c r="AC845" s="231"/>
      <c r="AD845" s="231"/>
      <c r="AE845" s="244"/>
      <c r="AF845" s="1331"/>
      <c r="AG845" s="1332"/>
      <c r="AH845" s="1332"/>
      <c r="AI845" s="1331"/>
      <c r="AJ845" s="1332"/>
      <c r="AK845" s="1332"/>
      <c r="AL845" s="771"/>
    </row>
    <row r="846" spans="1:38" ht="11.25" customHeight="1">
      <c r="A846" t="s">
        <v>1021</v>
      </c>
      <c r="E846" s="556"/>
      <c r="F846" s="1354"/>
      <c r="G846" s="1326"/>
      <c r="H846" s="1327" t="s">
        <v>89</v>
      </c>
      <c r="I846" s="1328"/>
      <c r="J846" s="1329"/>
      <c r="K846" s="1330"/>
      <c r="L846" s="1058"/>
      <c r="M846" s="1060"/>
      <c r="N846" s="1333"/>
      <c r="O846" s="1334"/>
      <c r="P846" s="1336"/>
      <c r="Q846" s="1323"/>
      <c r="R846" s="1323"/>
      <c r="S846" s="1338"/>
      <c r="T846" s="1323"/>
      <c r="U846" s="1323"/>
      <c r="V846" s="1323"/>
      <c r="W846" s="1323"/>
      <c r="X846" s="1323"/>
      <c r="Y846" s="1323"/>
      <c r="AA846" s="777">
        <v>1</v>
      </c>
      <c r="AB846" s="778" t="s">
        <v>1129</v>
      </c>
      <c r="AC846" s="236">
        <v>3042.7933333333299</v>
      </c>
      <c r="AD846" s="778" t="str">
        <f>AB846</f>
        <v xml:space="preserve">     Прочие амортизационные отчисления</v>
      </c>
      <c r="AE846" s="236">
        <v>0</v>
      </c>
      <c r="AF846" s="1331"/>
      <c r="AG846" s="1332"/>
      <c r="AH846" s="1332"/>
      <c r="AI846" s="1331"/>
      <c r="AJ846" s="1332"/>
      <c r="AK846" s="1332"/>
      <c r="AL846" s="771"/>
    </row>
    <row r="847" spans="1:38" ht="11.25" customHeight="1">
      <c r="A847" t="s">
        <v>1021</v>
      </c>
      <c r="E847" s="556"/>
      <c r="F847" s="1354"/>
      <c r="G847" s="1326"/>
      <c r="H847" s="1327" t="s">
        <v>89</v>
      </c>
      <c r="I847" s="1328"/>
      <c r="J847" s="1329"/>
      <c r="K847" s="1330"/>
      <c r="L847" s="1058"/>
      <c r="M847" s="1060"/>
      <c r="N847" s="1333"/>
      <c r="O847" s="1334"/>
      <c r="P847" s="1337"/>
      <c r="Q847" s="1323"/>
      <c r="R847" s="1323"/>
      <c r="S847" s="1338"/>
      <c r="T847" s="1323"/>
      <c r="U847" s="1323"/>
      <c r="V847" s="1323"/>
      <c r="W847" s="1323"/>
      <c r="X847" s="1323"/>
      <c r="Y847" s="1323"/>
      <c r="Z847" s="229"/>
      <c r="AA847" s="230"/>
      <c r="AB847" s="44" t="s">
        <v>1064</v>
      </c>
      <c r="AC847" s="231"/>
      <c r="AD847" s="231"/>
      <c r="AE847" s="245"/>
      <c r="AF847" s="1331"/>
      <c r="AG847" s="1332"/>
      <c r="AH847" s="1332"/>
      <c r="AI847" s="1331"/>
      <c r="AJ847" s="1332"/>
      <c r="AK847" s="1332"/>
      <c r="AL847" s="771"/>
    </row>
    <row r="848" spans="1:38" ht="11.25" customHeight="1">
      <c r="A848" t="s">
        <v>1021</v>
      </c>
      <c r="E848" s="556"/>
      <c r="F848" s="1354"/>
      <c r="G848" s="1326"/>
      <c r="H848" s="1327" t="s">
        <v>89</v>
      </c>
      <c r="I848" s="1328"/>
      <c r="J848" s="1329"/>
      <c r="K848" s="1330"/>
      <c r="L848" s="1058"/>
      <c r="M848" s="1060"/>
      <c r="N848" s="229"/>
      <c r="O848" s="230"/>
      <c r="P848" s="44" t="s">
        <v>1065</v>
      </c>
      <c r="Q848" s="230"/>
      <c r="R848" s="230"/>
      <c r="S848" s="230"/>
      <c r="T848" s="230"/>
      <c r="U848" s="230"/>
      <c r="V848" s="230"/>
      <c r="W848" s="230"/>
      <c r="X848" s="230"/>
      <c r="Y848" s="230"/>
      <c r="Z848" s="230"/>
      <c r="AA848" s="230"/>
      <c r="AB848" s="230"/>
      <c r="AC848" s="230"/>
      <c r="AD848" s="230"/>
      <c r="AE848" s="246"/>
      <c r="AF848" s="1331"/>
      <c r="AG848" s="1332"/>
      <c r="AH848" s="1332"/>
      <c r="AI848" s="1331"/>
      <c r="AJ848" s="1332"/>
      <c r="AK848" s="1332"/>
      <c r="AL848" s="771"/>
    </row>
    <row r="849" spans="1:38" ht="11.25" customHeight="1">
      <c r="A849" t="s">
        <v>1021</v>
      </c>
      <c r="B849" t="s">
        <v>22</v>
      </c>
      <c r="E849" s="556"/>
      <c r="F849" s="1354"/>
      <c r="G849" s="1304" t="s">
        <v>103</v>
      </c>
      <c r="H849" s="1327" t="s">
        <v>115</v>
      </c>
      <c r="I849" s="1328" t="s">
        <v>1053</v>
      </c>
      <c r="J849" s="1329" t="s">
        <v>22</v>
      </c>
      <c r="K849" s="1330" t="s">
        <v>1180</v>
      </c>
      <c r="L849" s="1058" t="s">
        <v>19</v>
      </c>
      <c r="M849" s="1060"/>
      <c r="N849" s="241"/>
      <c r="O849" s="242" t="s">
        <v>387</v>
      </c>
      <c r="P849" s="243"/>
      <c r="Q849" s="243"/>
      <c r="R849" s="243"/>
      <c r="S849" s="243"/>
      <c r="T849" s="243"/>
      <c r="U849" s="243"/>
      <c r="V849" s="243"/>
      <c r="W849" s="243"/>
      <c r="X849" s="243"/>
      <c r="Y849" s="243"/>
      <c r="Z849" s="243"/>
      <c r="AA849" s="243"/>
      <c r="AB849" s="243"/>
      <c r="AC849" s="243"/>
      <c r="AD849" s="243"/>
      <c r="AE849" s="243"/>
      <c r="AF849" s="1331">
        <v>1</v>
      </c>
      <c r="AG849" s="1332" t="s">
        <v>1055</v>
      </c>
      <c r="AH849" s="1332" t="s">
        <v>1177</v>
      </c>
      <c r="AI849" s="1331">
        <v>1</v>
      </c>
      <c r="AJ849" s="1332" t="s">
        <v>1055</v>
      </c>
      <c r="AK849" s="1332" t="s">
        <v>1177</v>
      </c>
      <c r="AL849" s="771"/>
    </row>
    <row r="850" spans="1:38" ht="11.25" customHeight="1">
      <c r="A850" t="s">
        <v>1021</v>
      </c>
      <c r="E850" s="556"/>
      <c r="F850" s="1354"/>
      <c r="G850" s="1326"/>
      <c r="H850" s="1327" t="s">
        <v>90</v>
      </c>
      <c r="I850" s="1328"/>
      <c r="J850" s="1329"/>
      <c r="K850" s="1330"/>
      <c r="L850" s="1058"/>
      <c r="M850" s="1060"/>
      <c r="N850" s="1333"/>
      <c r="O850" s="1334">
        <v>1</v>
      </c>
      <c r="P850" s="1335" t="s">
        <v>19</v>
      </c>
      <c r="Q850" s="1323" t="s">
        <v>22</v>
      </c>
      <c r="R850" s="1323" t="s">
        <v>22</v>
      </c>
      <c r="S850" s="1323" t="s">
        <v>22</v>
      </c>
      <c r="T850" s="1323" t="s">
        <v>22</v>
      </c>
      <c r="U850" s="1323" t="s">
        <v>22</v>
      </c>
      <c r="V850" s="1323" t="s">
        <v>22</v>
      </c>
      <c r="W850" s="1323" t="s">
        <v>22</v>
      </c>
      <c r="X850" s="1323" t="s">
        <v>22</v>
      </c>
      <c r="Y850" s="1323"/>
      <c r="Z850" s="229"/>
      <c r="AA850" s="230"/>
      <c r="AB850" s="230"/>
      <c r="AC850" s="231"/>
      <c r="AD850" s="231"/>
      <c r="AE850" s="244"/>
      <c r="AF850" s="1331"/>
      <c r="AG850" s="1332"/>
      <c r="AH850" s="1332"/>
      <c r="AI850" s="1331"/>
      <c r="AJ850" s="1332"/>
      <c r="AK850" s="1332"/>
      <c r="AL850" s="771"/>
    </row>
    <row r="851" spans="1:38" ht="11.25" customHeight="1">
      <c r="A851" t="s">
        <v>1021</v>
      </c>
      <c r="E851" s="556"/>
      <c r="F851" s="1354"/>
      <c r="G851" s="1326"/>
      <c r="H851" s="1327" t="s">
        <v>90</v>
      </c>
      <c r="I851" s="1328"/>
      <c r="J851" s="1329"/>
      <c r="K851" s="1330"/>
      <c r="L851" s="1058"/>
      <c r="M851" s="1060"/>
      <c r="N851" s="1333"/>
      <c r="O851" s="1334"/>
      <c r="P851" s="1336"/>
      <c r="Q851" s="1323"/>
      <c r="R851" s="1323"/>
      <c r="S851" s="1338"/>
      <c r="T851" s="1323"/>
      <c r="U851" s="1323"/>
      <c r="V851" s="1323"/>
      <c r="W851" s="1323"/>
      <c r="X851" s="1323"/>
      <c r="Y851" s="1323"/>
      <c r="AA851" s="777">
        <v>1</v>
      </c>
      <c r="AB851" s="778" t="s">
        <v>1129</v>
      </c>
      <c r="AC851" s="236">
        <v>35164.070850327298</v>
      </c>
      <c r="AD851" s="778" t="str">
        <f>AB851</f>
        <v xml:space="preserve">     Прочие амортизационные отчисления</v>
      </c>
      <c r="AE851" s="236">
        <v>0</v>
      </c>
      <c r="AF851" s="1331"/>
      <c r="AG851" s="1332"/>
      <c r="AH851" s="1332"/>
      <c r="AI851" s="1331"/>
      <c r="AJ851" s="1332"/>
      <c r="AK851" s="1332"/>
      <c r="AL851" s="771"/>
    </row>
    <row r="852" spans="1:38" ht="11.25" customHeight="1">
      <c r="A852" t="s">
        <v>1021</v>
      </c>
      <c r="E852" s="556"/>
      <c r="F852" s="1354"/>
      <c r="G852" s="1326"/>
      <c r="H852" s="1327" t="s">
        <v>90</v>
      </c>
      <c r="I852" s="1328"/>
      <c r="J852" s="1329"/>
      <c r="K852" s="1330"/>
      <c r="L852" s="1058"/>
      <c r="M852" s="1060"/>
      <c r="N852" s="1333"/>
      <c r="O852" s="1334"/>
      <c r="P852" s="1337"/>
      <c r="Q852" s="1323"/>
      <c r="R852" s="1323"/>
      <c r="S852" s="1338"/>
      <c r="T852" s="1323"/>
      <c r="U852" s="1323"/>
      <c r="V852" s="1323"/>
      <c r="W852" s="1323"/>
      <c r="X852" s="1323"/>
      <c r="Y852" s="1323"/>
      <c r="Z852" s="229"/>
      <c r="AA852" s="230"/>
      <c r="AB852" s="44" t="s">
        <v>1064</v>
      </c>
      <c r="AC852" s="231"/>
      <c r="AD852" s="231"/>
      <c r="AE852" s="245"/>
      <c r="AF852" s="1331"/>
      <c r="AG852" s="1332"/>
      <c r="AH852" s="1332"/>
      <c r="AI852" s="1331"/>
      <c r="AJ852" s="1332"/>
      <c r="AK852" s="1332"/>
      <c r="AL852" s="771"/>
    </row>
    <row r="853" spans="1:38" ht="11.25" customHeight="1">
      <c r="A853" t="s">
        <v>1021</v>
      </c>
      <c r="E853" s="556"/>
      <c r="F853" s="1354"/>
      <c r="G853" s="1326"/>
      <c r="H853" s="1327" t="s">
        <v>90</v>
      </c>
      <c r="I853" s="1328"/>
      <c r="J853" s="1329"/>
      <c r="K853" s="1330"/>
      <c r="L853" s="1058"/>
      <c r="M853" s="1060"/>
      <c r="N853" s="229"/>
      <c r="O853" s="230"/>
      <c r="P853" s="44" t="s">
        <v>1065</v>
      </c>
      <c r="Q853" s="230"/>
      <c r="R853" s="230"/>
      <c r="S853" s="230"/>
      <c r="T853" s="230"/>
      <c r="U853" s="230"/>
      <c r="V853" s="230"/>
      <c r="W853" s="230"/>
      <c r="X853" s="230"/>
      <c r="Y853" s="230"/>
      <c r="Z853" s="230"/>
      <c r="AA853" s="230"/>
      <c r="AB853" s="230"/>
      <c r="AC853" s="230"/>
      <c r="AD853" s="230"/>
      <c r="AE853" s="246"/>
      <c r="AF853" s="1331"/>
      <c r="AG853" s="1332"/>
      <c r="AH853" s="1332"/>
      <c r="AI853" s="1331"/>
      <c r="AJ853" s="1332"/>
      <c r="AK853" s="1332"/>
      <c r="AL853" s="771"/>
    </row>
    <row r="854" spans="1:38" ht="12" customHeight="1">
      <c r="A854" t="s">
        <v>1021</v>
      </c>
      <c r="E854" s="556"/>
      <c r="F854" s="1355"/>
      <c r="G854" s="774"/>
      <c r="H854" s="774"/>
      <c r="I854" s="1352" t="s">
        <v>1083</v>
      </c>
      <c r="J854" s="1352"/>
      <c r="K854" s="1352"/>
      <c r="L854" s="775"/>
      <c r="M854" s="775"/>
      <c r="N854" s="776"/>
      <c r="O854" s="776"/>
      <c r="P854" s="776"/>
      <c r="Q854" s="776"/>
      <c r="R854" s="776"/>
      <c r="S854" s="776"/>
      <c r="T854" s="776"/>
      <c r="U854" s="776"/>
      <c r="V854" s="776"/>
      <c r="W854" s="776"/>
      <c r="X854" s="776"/>
      <c r="Y854" s="776"/>
      <c r="Z854" s="776"/>
      <c r="AA854" s="776"/>
      <c r="AB854" s="776"/>
      <c r="AC854" s="776"/>
      <c r="AD854" s="776"/>
      <c r="AE854" s="776"/>
      <c r="AF854" s="776"/>
      <c r="AG854" s="775"/>
      <c r="AH854" s="775"/>
      <c r="AI854" s="776"/>
      <c r="AJ854" s="775"/>
      <c r="AK854" s="776"/>
      <c r="AL854" s="771"/>
    </row>
    <row r="855" spans="1:38" ht="0.75" customHeight="1">
      <c r="A855" t="s">
        <v>1021</v>
      </c>
      <c r="E855" s="556"/>
      <c r="F855" s="1353">
        <v>2026</v>
      </c>
      <c r="G855" s="1327"/>
      <c r="H855" s="1357" t="s">
        <v>387</v>
      </c>
      <c r="I855" s="1358"/>
      <c r="J855" s="1350"/>
      <c r="K855" s="1350"/>
      <c r="L855" s="1351"/>
      <c r="M855" s="1200"/>
      <c r="N855" s="214"/>
      <c r="O855" s="215"/>
      <c r="P855" s="214"/>
      <c r="Q855" s="214"/>
      <c r="R855" s="214"/>
      <c r="S855" s="214"/>
      <c r="T855" s="214"/>
      <c r="U855" s="214"/>
      <c r="V855" s="214"/>
      <c r="W855" s="214"/>
      <c r="X855" s="214"/>
      <c r="Y855" s="214"/>
      <c r="Z855" s="214"/>
      <c r="AA855" s="214"/>
      <c r="AB855" s="214"/>
      <c r="AC855" s="214"/>
      <c r="AD855" s="214"/>
      <c r="AE855" s="214"/>
      <c r="AF855" s="1356"/>
      <c r="AG855" s="1351"/>
      <c r="AH855" s="1351"/>
      <c r="AI855" s="1356"/>
      <c r="AJ855" s="1351"/>
      <c r="AK855" s="1351"/>
      <c r="AL855" s="771"/>
    </row>
    <row r="856" spans="1:38" ht="0.75" customHeight="1">
      <c r="A856" t="s">
        <v>1021</v>
      </c>
      <c r="E856" s="556"/>
      <c r="F856" s="1353"/>
      <c r="G856" s="1327"/>
      <c r="H856" s="1357"/>
      <c r="I856" s="1358"/>
      <c r="J856" s="1350"/>
      <c r="K856" s="1350"/>
      <c r="L856" s="1351"/>
      <c r="M856" s="1200"/>
      <c r="N856" s="1359"/>
      <c r="O856" s="1360"/>
      <c r="P856" s="1347"/>
      <c r="Q856" s="1350"/>
      <c r="R856" s="1350"/>
      <c r="S856" s="1350"/>
      <c r="T856" s="1350"/>
      <c r="U856" s="1350"/>
      <c r="V856" s="1350"/>
      <c r="W856" s="1350"/>
      <c r="X856" s="1350"/>
      <c r="Y856" s="1350"/>
      <c r="Z856" s="216"/>
      <c r="AA856" s="217"/>
      <c r="AB856" s="217"/>
      <c r="AC856" s="218"/>
      <c r="AD856" s="218"/>
      <c r="AE856" s="219"/>
      <c r="AF856" s="1356"/>
      <c r="AG856" s="1351"/>
      <c r="AH856" s="1351"/>
      <c r="AI856" s="1356"/>
      <c r="AJ856" s="1351"/>
      <c r="AK856" s="1351"/>
      <c r="AL856" s="771"/>
    </row>
    <row r="857" spans="1:38" ht="0.75" customHeight="1">
      <c r="A857" t="s">
        <v>1021</v>
      </c>
      <c r="E857" s="556"/>
      <c r="F857" s="1353"/>
      <c r="G857" s="1327"/>
      <c r="H857" s="1357"/>
      <c r="I857" s="1358"/>
      <c r="J857" s="1350"/>
      <c r="K857" s="1350"/>
      <c r="L857" s="1351"/>
      <c r="M857" s="1200"/>
      <c r="N857" s="1359"/>
      <c r="O857" s="1360"/>
      <c r="P857" s="1348"/>
      <c r="Q857" s="1350"/>
      <c r="R857" s="1350"/>
      <c r="S857" s="1350"/>
      <c r="T857" s="1350"/>
      <c r="U857" s="1350"/>
      <c r="V857" s="1350"/>
      <c r="W857" s="1350"/>
      <c r="X857" s="1350"/>
      <c r="Y857" s="1350"/>
      <c r="AA857" s="772"/>
      <c r="AB857" s="773"/>
      <c r="AC857" s="220"/>
      <c r="AD857" s="773"/>
      <c r="AE857" s="220"/>
      <c r="AF857" s="1356"/>
      <c r="AG857" s="1351"/>
      <c r="AH857" s="1351"/>
      <c r="AI857" s="1356"/>
      <c r="AJ857" s="1351"/>
      <c r="AK857" s="1351"/>
      <c r="AL857" s="771"/>
    </row>
    <row r="858" spans="1:38" ht="0.75" customHeight="1">
      <c r="A858" t="s">
        <v>1021</v>
      </c>
      <c r="E858" s="556"/>
      <c r="F858" s="1353"/>
      <c r="G858" s="1327"/>
      <c r="H858" s="1357"/>
      <c r="I858" s="1358"/>
      <c r="J858" s="1350"/>
      <c r="K858" s="1350"/>
      <c r="L858" s="1351"/>
      <c r="M858" s="1200"/>
      <c r="N858" s="1359"/>
      <c r="O858" s="1360"/>
      <c r="P858" s="1349"/>
      <c r="Q858" s="1350"/>
      <c r="R858" s="1350"/>
      <c r="S858" s="1350"/>
      <c r="T858" s="1350"/>
      <c r="U858" s="1350"/>
      <c r="V858" s="1350"/>
      <c r="W858" s="1350"/>
      <c r="X858" s="1350"/>
      <c r="Y858" s="1350"/>
      <c r="Z858" s="216"/>
      <c r="AA858" s="217"/>
      <c r="AB858" s="221"/>
      <c r="AC858" s="218"/>
      <c r="AD858" s="218"/>
      <c r="AE858" s="222"/>
      <c r="AF858" s="1356"/>
      <c r="AG858" s="1351"/>
      <c r="AH858" s="1351"/>
      <c r="AI858" s="1356"/>
      <c r="AJ858" s="1351"/>
      <c r="AK858" s="1351"/>
      <c r="AL858" s="771"/>
    </row>
    <row r="859" spans="1:38" ht="0.75" customHeight="1">
      <c r="A859" t="s">
        <v>1021</v>
      </c>
      <c r="E859" s="556"/>
      <c r="F859" s="1353"/>
      <c r="G859" s="1327"/>
      <c r="H859" s="1357"/>
      <c r="I859" s="1358"/>
      <c r="J859" s="1350"/>
      <c r="K859" s="1350"/>
      <c r="L859" s="1351"/>
      <c r="M859" s="1200"/>
      <c r="N859" s="217"/>
      <c r="O859" s="217"/>
      <c r="P859" s="221"/>
      <c r="Q859" s="217"/>
      <c r="R859" s="217"/>
      <c r="S859" s="217"/>
      <c r="T859" s="217"/>
      <c r="U859" s="217"/>
      <c r="V859" s="217"/>
      <c r="W859" s="217"/>
      <c r="X859" s="217"/>
      <c r="Y859" s="217"/>
      <c r="Z859" s="217"/>
      <c r="AA859" s="217"/>
      <c r="AB859" s="217"/>
      <c r="AC859" s="217"/>
      <c r="AD859" s="217"/>
      <c r="AE859" s="223"/>
      <c r="AF859" s="1356"/>
      <c r="AG859" s="1351"/>
      <c r="AH859" s="1351"/>
      <c r="AI859" s="1356"/>
      <c r="AJ859" s="1351"/>
      <c r="AK859" s="1351"/>
      <c r="AL859" s="771"/>
    </row>
    <row r="860" spans="1:38" ht="11.25" customHeight="1">
      <c r="A860" t="s">
        <v>1021</v>
      </c>
      <c r="B860" t="s">
        <v>22</v>
      </c>
      <c r="E860" s="556"/>
      <c r="F860" s="1354"/>
      <c r="G860" s="1304" t="s">
        <v>103</v>
      </c>
      <c r="H860" s="1327" t="s">
        <v>114</v>
      </c>
      <c r="I860" s="1328" t="s">
        <v>1053</v>
      </c>
      <c r="J860" s="1329" t="s">
        <v>22</v>
      </c>
      <c r="K860" s="1330" t="s">
        <v>1101</v>
      </c>
      <c r="L860" s="1058" t="s">
        <v>19</v>
      </c>
      <c r="M860" s="1060"/>
      <c r="N860" s="241"/>
      <c r="O860" s="242" t="s">
        <v>387</v>
      </c>
      <c r="P860" s="243"/>
      <c r="Q860" s="243"/>
      <c r="R860" s="243"/>
      <c r="S860" s="243"/>
      <c r="T860" s="243"/>
      <c r="U860" s="243"/>
      <c r="V860" s="243"/>
      <c r="W860" s="243"/>
      <c r="X860" s="243"/>
      <c r="Y860" s="243"/>
      <c r="Z860" s="243"/>
      <c r="AA860" s="243"/>
      <c r="AB860" s="243"/>
      <c r="AC860" s="243"/>
      <c r="AD860" s="243"/>
      <c r="AE860" s="243"/>
      <c r="AF860" s="1331">
        <v>1</v>
      </c>
      <c r="AG860" s="1332" t="s">
        <v>1055</v>
      </c>
      <c r="AH860" s="1332" t="s">
        <v>1102</v>
      </c>
      <c r="AI860" s="1331">
        <v>1</v>
      </c>
      <c r="AJ860" s="1332" t="s">
        <v>1055</v>
      </c>
      <c r="AK860" s="1332" t="s">
        <v>1102</v>
      </c>
      <c r="AL860" s="771"/>
    </row>
    <row r="861" spans="1:38" ht="11.25" customHeight="1">
      <c r="A861" t="s">
        <v>1021</v>
      </c>
      <c r="E861" s="556"/>
      <c r="F861" s="1354"/>
      <c r="G861" s="1326"/>
      <c r="H861" s="1327" t="s">
        <v>387</v>
      </c>
      <c r="I861" s="1328"/>
      <c r="J861" s="1329"/>
      <c r="K861" s="1330"/>
      <c r="L861" s="1058"/>
      <c r="M861" s="1060"/>
      <c r="N861" s="1333"/>
      <c r="O861" s="1334">
        <v>1</v>
      </c>
      <c r="P861" s="1335" t="s">
        <v>61</v>
      </c>
      <c r="Q861" s="1339" t="s">
        <v>1103</v>
      </c>
      <c r="R861" s="1340" t="s">
        <v>1104</v>
      </c>
      <c r="S861" s="1340" t="s">
        <v>99</v>
      </c>
      <c r="T861" s="1340" t="s">
        <v>99</v>
      </c>
      <c r="U861" s="1340" t="s">
        <v>100</v>
      </c>
      <c r="V861" s="1340" t="s">
        <v>1059</v>
      </c>
      <c r="W861" s="1340" t="s">
        <v>1060</v>
      </c>
      <c r="X861" s="1340" t="s">
        <v>1105</v>
      </c>
      <c r="Y861" s="1340" t="s">
        <v>1106</v>
      </c>
      <c r="Z861" s="229"/>
      <c r="AA861" s="230"/>
      <c r="AB861" s="230"/>
      <c r="AC861" s="231"/>
      <c r="AD861" s="231"/>
      <c r="AE861" s="244"/>
      <c r="AF861" s="1331"/>
      <c r="AG861" s="1332"/>
      <c r="AH861" s="1332"/>
      <c r="AI861" s="1331"/>
      <c r="AJ861" s="1332"/>
      <c r="AK861" s="1332"/>
      <c r="AL861" s="771"/>
    </row>
    <row r="862" spans="1:38" ht="11.25" customHeight="1">
      <c r="A862" t="s">
        <v>1021</v>
      </c>
      <c r="E862" s="556"/>
      <c r="F862" s="1354"/>
      <c r="G862" s="1326"/>
      <c r="H862" s="1327" t="s">
        <v>387</v>
      </c>
      <c r="I862" s="1328"/>
      <c r="J862" s="1329"/>
      <c r="K862" s="1330"/>
      <c r="L862" s="1058"/>
      <c r="M862" s="1060"/>
      <c r="N862" s="1333"/>
      <c r="O862" s="1334"/>
      <c r="P862" s="1336"/>
      <c r="Q862" s="1339"/>
      <c r="R862" s="1323"/>
      <c r="S862" s="1338"/>
      <c r="T862" s="1323"/>
      <c r="U862" s="1323"/>
      <c r="V862" s="1323"/>
      <c r="W862" s="1323"/>
      <c r="X862" s="1323"/>
      <c r="Y862" s="1323"/>
      <c r="AA862" s="777">
        <v>1</v>
      </c>
      <c r="AB862" s="778" t="s">
        <v>1129</v>
      </c>
      <c r="AC862" s="236">
        <v>32179.278461424299</v>
      </c>
      <c r="AD862" s="778" t="str">
        <f>AB862</f>
        <v xml:space="preserve">     Прочие амортизационные отчисления</v>
      </c>
      <c r="AE862" s="236">
        <v>0</v>
      </c>
      <c r="AF862" s="1331"/>
      <c r="AG862" s="1332"/>
      <c r="AH862" s="1332"/>
      <c r="AI862" s="1331"/>
      <c r="AJ862" s="1332"/>
      <c r="AK862" s="1332"/>
      <c r="AL862" s="771"/>
    </row>
    <row r="863" spans="1:38" ht="11.25" customHeight="1">
      <c r="A863" t="s">
        <v>1021</v>
      </c>
      <c r="E863" s="556"/>
      <c r="F863" s="1326"/>
      <c r="G863" s="1326"/>
      <c r="H863" s="1326"/>
      <c r="I863" s="1326"/>
      <c r="J863" s="1326"/>
      <c r="K863" s="1326"/>
      <c r="L863" s="1326"/>
      <c r="M863" s="1326"/>
      <c r="N863" s="1326"/>
      <c r="O863" s="1326"/>
      <c r="P863" s="1326"/>
      <c r="Q863" s="1326"/>
      <c r="R863" s="1326"/>
      <c r="S863" s="1326"/>
      <c r="T863" s="1326"/>
      <c r="U863" s="1326"/>
      <c r="V863" s="1326"/>
      <c r="W863" s="1326"/>
      <c r="X863" s="1326"/>
      <c r="Y863" s="1326"/>
      <c r="Z863" s="181" t="s">
        <v>103</v>
      </c>
      <c r="AA863" s="779" t="s">
        <v>102</v>
      </c>
      <c r="AB863" s="778" t="s">
        <v>1063</v>
      </c>
      <c r="AC863" s="236">
        <v>4595.3775224402298</v>
      </c>
      <c r="AD863" s="778" t="str">
        <f>AB863</f>
        <v xml:space="preserve">  Кредиты</v>
      </c>
      <c r="AE863" s="236">
        <v>0</v>
      </c>
      <c r="AF863" s="1343"/>
      <c r="AG863" s="1344"/>
      <c r="AH863" s="1344"/>
      <c r="AI863" s="1343"/>
      <c r="AJ863" s="1344"/>
      <c r="AK863" s="1345"/>
      <c r="AL863" s="771"/>
    </row>
    <row r="864" spans="1:38" ht="11.25" customHeight="1">
      <c r="A864" t="s">
        <v>1021</v>
      </c>
      <c r="E864" s="556"/>
      <c r="F864" s="1354"/>
      <c r="G864" s="1326"/>
      <c r="H864" s="1327" t="s">
        <v>387</v>
      </c>
      <c r="I864" s="1328"/>
      <c r="J864" s="1329"/>
      <c r="K864" s="1330"/>
      <c r="L864" s="1058"/>
      <c r="M864" s="1060"/>
      <c r="N864" s="1333"/>
      <c r="O864" s="1334"/>
      <c r="P864" s="1337"/>
      <c r="Q864" s="1339"/>
      <c r="R864" s="1323"/>
      <c r="S864" s="1338"/>
      <c r="T864" s="1323"/>
      <c r="U864" s="1323"/>
      <c r="V864" s="1323"/>
      <c r="W864" s="1323"/>
      <c r="X864" s="1323"/>
      <c r="Y864" s="1323"/>
      <c r="Z864" s="229"/>
      <c r="AA864" s="230"/>
      <c r="AB864" s="44" t="s">
        <v>1064</v>
      </c>
      <c r="AC864" s="231"/>
      <c r="AD864" s="231"/>
      <c r="AE864" s="245"/>
      <c r="AF864" s="1331"/>
      <c r="AG864" s="1332"/>
      <c r="AH864" s="1332"/>
      <c r="AI864" s="1331"/>
      <c r="AJ864" s="1332"/>
      <c r="AK864" s="1332"/>
      <c r="AL864" s="771"/>
    </row>
    <row r="865" spans="1:38" ht="11.25" customHeight="1">
      <c r="A865" t="s">
        <v>1021</v>
      </c>
      <c r="E865" s="556"/>
      <c r="F865" s="1354"/>
      <c r="G865" s="1326"/>
      <c r="H865" s="1327" t="s">
        <v>387</v>
      </c>
      <c r="I865" s="1328"/>
      <c r="J865" s="1329"/>
      <c r="K865" s="1330"/>
      <c r="L865" s="1058"/>
      <c r="M865" s="1060"/>
      <c r="N865" s="229"/>
      <c r="O865" s="230"/>
      <c r="P865" s="44" t="s">
        <v>1065</v>
      </c>
      <c r="Q865" s="230"/>
      <c r="R865" s="230"/>
      <c r="S865" s="230"/>
      <c r="T865" s="230"/>
      <c r="U865" s="230"/>
      <c r="V865" s="230"/>
      <c r="W865" s="230"/>
      <c r="X865" s="230"/>
      <c r="Y865" s="230"/>
      <c r="Z865" s="230"/>
      <c r="AA865" s="230"/>
      <c r="AB865" s="230"/>
      <c r="AC865" s="230"/>
      <c r="AD865" s="230"/>
      <c r="AE865" s="246"/>
      <c r="AF865" s="1331"/>
      <c r="AG865" s="1332"/>
      <c r="AH865" s="1332"/>
      <c r="AI865" s="1331"/>
      <c r="AJ865" s="1332"/>
      <c r="AK865" s="1332"/>
      <c r="AL865" s="771"/>
    </row>
    <row r="866" spans="1:38" ht="11.25" customHeight="1">
      <c r="A866" t="s">
        <v>1021</v>
      </c>
      <c r="B866" t="s">
        <v>1076</v>
      </c>
      <c r="E866" s="556"/>
      <c r="F866" s="1354"/>
      <c r="G866" s="1304" t="s">
        <v>103</v>
      </c>
      <c r="H866" s="1327" t="s">
        <v>102</v>
      </c>
      <c r="I866" s="1328" t="s">
        <v>1077</v>
      </c>
      <c r="J866" s="1341" t="s">
        <v>1078</v>
      </c>
      <c r="K866" s="1330" t="s">
        <v>1084</v>
      </c>
      <c r="L866" s="1058" t="s">
        <v>61</v>
      </c>
      <c r="M866" s="1342" t="s">
        <v>1020</v>
      </c>
      <c r="N866" s="241"/>
      <c r="O866" s="242" t="s">
        <v>387</v>
      </c>
      <c r="P866" s="243"/>
      <c r="Q866" s="243"/>
      <c r="R866" s="243"/>
      <c r="S866" s="243"/>
      <c r="T866" s="243"/>
      <c r="U866" s="243"/>
      <c r="V866" s="243"/>
      <c r="W866" s="243"/>
      <c r="X866" s="243"/>
      <c r="Y866" s="243"/>
      <c r="Z866" s="243"/>
      <c r="AA866" s="243"/>
      <c r="AB866" s="243"/>
      <c r="AC866" s="243"/>
      <c r="AD866" s="243"/>
      <c r="AE866" s="243"/>
      <c r="AF866" s="1331">
        <v>3</v>
      </c>
      <c r="AG866" s="1332" t="s">
        <v>1055</v>
      </c>
      <c r="AH866" s="1332" t="s">
        <v>1085</v>
      </c>
      <c r="AI866" s="1331">
        <v>3</v>
      </c>
      <c r="AJ866" s="1332" t="s">
        <v>1055</v>
      </c>
      <c r="AK866" s="1332" t="s">
        <v>1085</v>
      </c>
      <c r="AL866" s="771"/>
    </row>
    <row r="867" spans="1:38" ht="11.25" customHeight="1">
      <c r="A867" t="s">
        <v>1021</v>
      </c>
      <c r="E867" s="556"/>
      <c r="F867" s="1354"/>
      <c r="G867" s="1326"/>
      <c r="H867" s="1327" t="s">
        <v>114</v>
      </c>
      <c r="I867" s="1328"/>
      <c r="J867" s="1341"/>
      <c r="K867" s="1330"/>
      <c r="L867" s="1058"/>
      <c r="M867" s="1342"/>
      <c r="N867" s="1333"/>
      <c r="O867" s="1334">
        <v>1</v>
      </c>
      <c r="P867" s="1335" t="s">
        <v>19</v>
      </c>
      <c r="Q867" s="1323" t="s">
        <v>22</v>
      </c>
      <c r="R867" s="1323" t="s">
        <v>22</v>
      </c>
      <c r="S867" s="1323" t="s">
        <v>22</v>
      </c>
      <c r="T867" s="1323" t="s">
        <v>22</v>
      </c>
      <c r="U867" s="1323" t="s">
        <v>22</v>
      </c>
      <c r="V867" s="1323" t="s">
        <v>22</v>
      </c>
      <c r="W867" s="1323" t="s">
        <v>22</v>
      </c>
      <c r="X867" s="1323" t="s">
        <v>22</v>
      </c>
      <c r="Y867" s="1323"/>
      <c r="Z867" s="229"/>
      <c r="AA867" s="230"/>
      <c r="AB867" s="230"/>
      <c r="AC867" s="231"/>
      <c r="AD867" s="231"/>
      <c r="AE867" s="244"/>
      <c r="AF867" s="1331"/>
      <c r="AG867" s="1332"/>
      <c r="AH867" s="1332"/>
      <c r="AI867" s="1331"/>
      <c r="AJ867" s="1332"/>
      <c r="AK867" s="1332"/>
      <c r="AL867" s="771"/>
    </row>
    <row r="868" spans="1:38" ht="11.25" customHeight="1">
      <c r="A868" t="s">
        <v>1021</v>
      </c>
      <c r="E868" s="556"/>
      <c r="F868" s="1354"/>
      <c r="G868" s="1326"/>
      <c r="H868" s="1327" t="s">
        <v>114</v>
      </c>
      <c r="I868" s="1328"/>
      <c r="J868" s="1341"/>
      <c r="K868" s="1330"/>
      <c r="L868" s="1058"/>
      <c r="M868" s="1342"/>
      <c r="N868" s="1333"/>
      <c r="O868" s="1334"/>
      <c r="P868" s="1336"/>
      <c r="Q868" s="1323"/>
      <c r="R868" s="1323"/>
      <c r="S868" s="1338"/>
      <c r="T868" s="1323"/>
      <c r="U868" s="1323"/>
      <c r="V868" s="1323"/>
      <c r="W868" s="1323"/>
      <c r="X868" s="1323"/>
      <c r="Y868" s="1323"/>
      <c r="AA868" s="777">
        <v>1</v>
      </c>
      <c r="AB868" s="778" t="s">
        <v>1129</v>
      </c>
      <c r="AC868" s="236">
        <v>11664.6010557636</v>
      </c>
      <c r="AD868" s="778" t="str">
        <f>AB868</f>
        <v xml:space="preserve">     Прочие амортизационные отчисления</v>
      </c>
      <c r="AE868" s="236">
        <v>0</v>
      </c>
      <c r="AF868" s="1331"/>
      <c r="AG868" s="1332"/>
      <c r="AH868" s="1332"/>
      <c r="AI868" s="1331"/>
      <c r="AJ868" s="1332"/>
      <c r="AK868" s="1332"/>
      <c r="AL868" s="771"/>
    </row>
    <row r="869" spans="1:38" ht="11.25" customHeight="1">
      <c r="A869" t="s">
        <v>1021</v>
      </c>
      <c r="E869" s="556"/>
      <c r="F869" s="1326"/>
      <c r="G869" s="1326"/>
      <c r="H869" s="1326"/>
      <c r="I869" s="1326"/>
      <c r="J869" s="1326"/>
      <c r="K869" s="1326"/>
      <c r="L869" s="1326"/>
      <c r="M869" s="1346"/>
      <c r="N869" s="1326"/>
      <c r="O869" s="1326"/>
      <c r="P869" s="1326"/>
      <c r="Q869" s="1326"/>
      <c r="R869" s="1326"/>
      <c r="S869" s="1326"/>
      <c r="T869" s="1326"/>
      <c r="U869" s="1326"/>
      <c r="V869" s="1326"/>
      <c r="W869" s="1326"/>
      <c r="X869" s="1326"/>
      <c r="Y869" s="1326"/>
      <c r="Z869" s="181" t="s">
        <v>103</v>
      </c>
      <c r="AA869" s="779" t="s">
        <v>102</v>
      </c>
      <c r="AB869" s="778" t="s">
        <v>1063</v>
      </c>
      <c r="AC869" s="236">
        <v>1665.7690309665199</v>
      </c>
      <c r="AD869" s="778" t="str">
        <f>AB869</f>
        <v xml:space="preserve">  Кредиты</v>
      </c>
      <c r="AE869" s="236">
        <v>0</v>
      </c>
      <c r="AF869" s="1343"/>
      <c r="AG869" s="1344"/>
      <c r="AH869" s="1344"/>
      <c r="AI869" s="1343"/>
      <c r="AJ869" s="1344"/>
      <c r="AK869" s="1345"/>
      <c r="AL869" s="771"/>
    </row>
    <row r="870" spans="1:38" ht="11.25" customHeight="1">
      <c r="A870" t="s">
        <v>1021</v>
      </c>
      <c r="E870" s="556"/>
      <c r="F870" s="1354"/>
      <c r="G870" s="1326"/>
      <c r="H870" s="1327" t="s">
        <v>114</v>
      </c>
      <c r="I870" s="1328"/>
      <c r="J870" s="1341"/>
      <c r="K870" s="1330"/>
      <c r="L870" s="1058"/>
      <c r="M870" s="1342"/>
      <c r="N870" s="1333"/>
      <c r="O870" s="1334"/>
      <c r="P870" s="1337"/>
      <c r="Q870" s="1323"/>
      <c r="R870" s="1323"/>
      <c r="S870" s="1338"/>
      <c r="T870" s="1323"/>
      <c r="U870" s="1323"/>
      <c r="V870" s="1323"/>
      <c r="W870" s="1323"/>
      <c r="X870" s="1323"/>
      <c r="Y870" s="1323"/>
      <c r="Z870" s="229"/>
      <c r="AA870" s="230"/>
      <c r="AB870" s="44" t="s">
        <v>1064</v>
      </c>
      <c r="AC870" s="231"/>
      <c r="AD870" s="231"/>
      <c r="AE870" s="245"/>
      <c r="AF870" s="1331"/>
      <c r="AG870" s="1332"/>
      <c r="AH870" s="1332"/>
      <c r="AI870" s="1331"/>
      <c r="AJ870" s="1332"/>
      <c r="AK870" s="1332"/>
      <c r="AL870" s="771"/>
    </row>
    <row r="871" spans="1:38" ht="11.25" customHeight="1">
      <c r="A871" t="s">
        <v>1021</v>
      </c>
      <c r="E871" s="556"/>
      <c r="F871" s="1354"/>
      <c r="G871" s="1326"/>
      <c r="H871" s="1327" t="s">
        <v>114</v>
      </c>
      <c r="I871" s="1328"/>
      <c r="J871" s="1341"/>
      <c r="K871" s="1330"/>
      <c r="L871" s="1058"/>
      <c r="M871" s="1342"/>
      <c r="N871" s="229"/>
      <c r="O871" s="230"/>
      <c r="P871" s="44" t="s">
        <v>1065</v>
      </c>
      <c r="Q871" s="230"/>
      <c r="R871" s="230"/>
      <c r="S871" s="230"/>
      <c r="T871" s="230"/>
      <c r="U871" s="230"/>
      <c r="V871" s="230"/>
      <c r="W871" s="230"/>
      <c r="X871" s="230"/>
      <c r="Y871" s="230"/>
      <c r="Z871" s="230"/>
      <c r="AA871" s="230"/>
      <c r="AB871" s="230"/>
      <c r="AC871" s="230"/>
      <c r="AD871" s="230"/>
      <c r="AE871" s="246"/>
      <c r="AF871" s="1331"/>
      <c r="AG871" s="1332"/>
      <c r="AH871" s="1332"/>
      <c r="AI871" s="1331"/>
      <c r="AJ871" s="1332"/>
      <c r="AK871" s="1332"/>
      <c r="AL871" s="771"/>
    </row>
    <row r="872" spans="1:38" ht="11.25" customHeight="1">
      <c r="A872" t="s">
        <v>1021</v>
      </c>
      <c r="B872" t="s">
        <v>1076</v>
      </c>
      <c r="E872" s="556"/>
      <c r="F872" s="1354"/>
      <c r="G872" s="1304" t="s">
        <v>103</v>
      </c>
      <c r="H872" s="1327" t="s">
        <v>89</v>
      </c>
      <c r="I872" s="1328" t="s">
        <v>1077</v>
      </c>
      <c r="J872" s="1341" t="s">
        <v>1130</v>
      </c>
      <c r="K872" s="1330" t="s">
        <v>1182</v>
      </c>
      <c r="L872" s="1058" t="s">
        <v>19</v>
      </c>
      <c r="M872" s="1060"/>
      <c r="N872" s="241"/>
      <c r="O872" s="242" t="s">
        <v>387</v>
      </c>
      <c r="P872" s="243"/>
      <c r="Q872" s="243"/>
      <c r="R872" s="243"/>
      <c r="S872" s="243"/>
      <c r="T872" s="243"/>
      <c r="U872" s="243"/>
      <c r="V872" s="243"/>
      <c r="W872" s="243"/>
      <c r="X872" s="243"/>
      <c r="Y872" s="243"/>
      <c r="Z872" s="243"/>
      <c r="AA872" s="243"/>
      <c r="AB872" s="243"/>
      <c r="AC872" s="243"/>
      <c r="AD872" s="243"/>
      <c r="AE872" s="243"/>
      <c r="AF872" s="1331">
        <v>2</v>
      </c>
      <c r="AG872" s="1332" t="s">
        <v>1055</v>
      </c>
      <c r="AH872" s="1332" t="s">
        <v>1109</v>
      </c>
      <c r="AI872" s="1331">
        <v>2</v>
      </c>
      <c r="AJ872" s="1332" t="s">
        <v>1055</v>
      </c>
      <c r="AK872" s="1332" t="s">
        <v>1109</v>
      </c>
      <c r="AL872" s="771"/>
    </row>
    <row r="873" spans="1:38" ht="11.25" customHeight="1">
      <c r="A873" t="s">
        <v>1021</v>
      </c>
      <c r="E873" s="556"/>
      <c r="F873" s="1354"/>
      <c r="G873" s="1326"/>
      <c r="H873" s="1327" t="s">
        <v>102</v>
      </c>
      <c r="I873" s="1328"/>
      <c r="J873" s="1341"/>
      <c r="K873" s="1330"/>
      <c r="L873" s="1058"/>
      <c r="M873" s="1060"/>
      <c r="N873" s="1333"/>
      <c r="O873" s="1334">
        <v>1</v>
      </c>
      <c r="P873" s="1335" t="s">
        <v>19</v>
      </c>
      <c r="Q873" s="1323" t="s">
        <v>22</v>
      </c>
      <c r="R873" s="1323" t="s">
        <v>22</v>
      </c>
      <c r="S873" s="1323" t="s">
        <v>22</v>
      </c>
      <c r="T873" s="1323" t="s">
        <v>22</v>
      </c>
      <c r="U873" s="1323" t="s">
        <v>22</v>
      </c>
      <c r="V873" s="1323" t="s">
        <v>22</v>
      </c>
      <c r="W873" s="1323" t="s">
        <v>22</v>
      </c>
      <c r="X873" s="1323" t="s">
        <v>22</v>
      </c>
      <c r="Y873" s="1323"/>
      <c r="Z873" s="229"/>
      <c r="AA873" s="230"/>
      <c r="AB873" s="230"/>
      <c r="AC873" s="231"/>
      <c r="AD873" s="231"/>
      <c r="AE873" s="244"/>
      <c r="AF873" s="1331"/>
      <c r="AG873" s="1332"/>
      <c r="AH873" s="1332"/>
      <c r="AI873" s="1331"/>
      <c r="AJ873" s="1332"/>
      <c r="AK873" s="1332"/>
      <c r="AL873" s="771"/>
    </row>
    <row r="874" spans="1:38" ht="11.25" customHeight="1">
      <c r="A874" t="s">
        <v>1021</v>
      </c>
      <c r="E874" s="556"/>
      <c r="F874" s="1354"/>
      <c r="G874" s="1326"/>
      <c r="H874" s="1327" t="s">
        <v>102</v>
      </c>
      <c r="I874" s="1328"/>
      <c r="J874" s="1341"/>
      <c r="K874" s="1330"/>
      <c r="L874" s="1058"/>
      <c r="M874" s="1060"/>
      <c r="N874" s="1333"/>
      <c r="O874" s="1334"/>
      <c r="P874" s="1336"/>
      <c r="Q874" s="1323"/>
      <c r="R874" s="1323"/>
      <c r="S874" s="1338"/>
      <c r="T874" s="1323"/>
      <c r="U874" s="1323"/>
      <c r="V874" s="1323"/>
      <c r="W874" s="1323"/>
      <c r="X874" s="1323"/>
      <c r="Y874" s="1323"/>
      <c r="AA874" s="777">
        <v>1</v>
      </c>
      <c r="AB874" s="778" t="s">
        <v>1129</v>
      </c>
      <c r="AC874" s="236">
        <v>2117.4853741607599</v>
      </c>
      <c r="AD874" s="778" t="str">
        <f>AB874</f>
        <v xml:space="preserve">     Прочие амортизационные отчисления</v>
      </c>
      <c r="AE874" s="236">
        <v>0</v>
      </c>
      <c r="AF874" s="1331"/>
      <c r="AG874" s="1332"/>
      <c r="AH874" s="1332"/>
      <c r="AI874" s="1331"/>
      <c r="AJ874" s="1332"/>
      <c r="AK874" s="1332"/>
      <c r="AL874" s="771"/>
    </row>
    <row r="875" spans="1:38" ht="11.25" customHeight="1">
      <c r="A875" t="s">
        <v>1021</v>
      </c>
      <c r="E875" s="556"/>
      <c r="F875" s="1326"/>
      <c r="G875" s="1326"/>
      <c r="H875" s="1326"/>
      <c r="I875" s="1326"/>
      <c r="J875" s="1326"/>
      <c r="K875" s="1326"/>
      <c r="L875" s="1326"/>
      <c r="M875" s="1326"/>
      <c r="N875" s="1326"/>
      <c r="O875" s="1326"/>
      <c r="P875" s="1326"/>
      <c r="Q875" s="1326"/>
      <c r="R875" s="1326"/>
      <c r="S875" s="1326"/>
      <c r="T875" s="1326"/>
      <c r="U875" s="1326"/>
      <c r="V875" s="1326"/>
      <c r="W875" s="1326"/>
      <c r="X875" s="1326"/>
      <c r="Y875" s="1326"/>
      <c r="Z875" s="181" t="s">
        <v>103</v>
      </c>
      <c r="AA875" s="779" t="s">
        <v>102</v>
      </c>
      <c r="AB875" s="778" t="s">
        <v>1063</v>
      </c>
      <c r="AC875" s="236">
        <v>302.38852944385201</v>
      </c>
      <c r="AD875" s="778" t="str">
        <f>AB875</f>
        <v xml:space="preserve">  Кредиты</v>
      </c>
      <c r="AE875" s="236">
        <v>0</v>
      </c>
      <c r="AF875" s="1343"/>
      <c r="AG875" s="1344"/>
      <c r="AH875" s="1344"/>
      <c r="AI875" s="1343"/>
      <c r="AJ875" s="1344"/>
      <c r="AK875" s="1345"/>
      <c r="AL875" s="771"/>
    </row>
    <row r="876" spans="1:38" ht="11.25" customHeight="1">
      <c r="A876" t="s">
        <v>1021</v>
      </c>
      <c r="E876" s="556"/>
      <c r="F876" s="1354"/>
      <c r="G876" s="1326"/>
      <c r="H876" s="1327" t="s">
        <v>102</v>
      </c>
      <c r="I876" s="1328"/>
      <c r="J876" s="1341"/>
      <c r="K876" s="1330"/>
      <c r="L876" s="1058"/>
      <c r="M876" s="1060"/>
      <c r="N876" s="1333"/>
      <c r="O876" s="1334"/>
      <c r="P876" s="1337"/>
      <c r="Q876" s="1323"/>
      <c r="R876" s="1323"/>
      <c r="S876" s="1338"/>
      <c r="T876" s="1323"/>
      <c r="U876" s="1323"/>
      <c r="V876" s="1323"/>
      <c r="W876" s="1323"/>
      <c r="X876" s="1323"/>
      <c r="Y876" s="1323"/>
      <c r="Z876" s="229"/>
      <c r="AA876" s="230"/>
      <c r="AB876" s="44" t="s">
        <v>1064</v>
      </c>
      <c r="AC876" s="231"/>
      <c r="AD876" s="231"/>
      <c r="AE876" s="245"/>
      <c r="AF876" s="1331"/>
      <c r="AG876" s="1332"/>
      <c r="AH876" s="1332"/>
      <c r="AI876" s="1331"/>
      <c r="AJ876" s="1332"/>
      <c r="AK876" s="1332"/>
      <c r="AL876" s="771"/>
    </row>
    <row r="877" spans="1:38" ht="11.25" customHeight="1">
      <c r="A877" t="s">
        <v>1021</v>
      </c>
      <c r="E877" s="556"/>
      <c r="F877" s="1354"/>
      <c r="G877" s="1326"/>
      <c r="H877" s="1327" t="s">
        <v>102</v>
      </c>
      <c r="I877" s="1328"/>
      <c r="J877" s="1341"/>
      <c r="K877" s="1330"/>
      <c r="L877" s="1058"/>
      <c r="M877" s="1060"/>
      <c r="N877" s="229"/>
      <c r="O877" s="230"/>
      <c r="P877" s="44" t="s">
        <v>1065</v>
      </c>
      <c r="Q877" s="230"/>
      <c r="R877" s="230"/>
      <c r="S877" s="230"/>
      <c r="T877" s="230"/>
      <c r="U877" s="230"/>
      <c r="V877" s="230"/>
      <c r="W877" s="230"/>
      <c r="X877" s="230"/>
      <c r="Y877" s="230"/>
      <c r="Z877" s="230"/>
      <c r="AA877" s="230"/>
      <c r="AB877" s="230"/>
      <c r="AC877" s="230"/>
      <c r="AD877" s="230"/>
      <c r="AE877" s="246"/>
      <c r="AF877" s="1331"/>
      <c r="AG877" s="1332"/>
      <c r="AH877" s="1332"/>
      <c r="AI877" s="1331"/>
      <c r="AJ877" s="1332"/>
      <c r="AK877" s="1332"/>
      <c r="AL877" s="771"/>
    </row>
    <row r="878" spans="1:38" ht="11.25" customHeight="1">
      <c r="A878" t="s">
        <v>1021</v>
      </c>
      <c r="B878" t="s">
        <v>1076</v>
      </c>
      <c r="E878" s="556"/>
      <c r="F878" s="1354"/>
      <c r="G878" s="1304" t="s">
        <v>103</v>
      </c>
      <c r="H878" s="1327" t="s">
        <v>90</v>
      </c>
      <c r="I878" s="1328" t="s">
        <v>1077</v>
      </c>
      <c r="J878" s="1341" t="s">
        <v>1078</v>
      </c>
      <c r="K878" s="1330" t="s">
        <v>1108</v>
      </c>
      <c r="L878" s="1058" t="s">
        <v>61</v>
      </c>
      <c r="M878" s="1342" t="s">
        <v>1020</v>
      </c>
      <c r="N878" s="241"/>
      <c r="O878" s="242" t="s">
        <v>387</v>
      </c>
      <c r="P878" s="243"/>
      <c r="Q878" s="243"/>
      <c r="R878" s="243"/>
      <c r="S878" s="243"/>
      <c r="T878" s="243"/>
      <c r="U878" s="243"/>
      <c r="V878" s="243"/>
      <c r="W878" s="243"/>
      <c r="X878" s="243"/>
      <c r="Y878" s="243"/>
      <c r="Z878" s="243"/>
      <c r="AA878" s="243"/>
      <c r="AB878" s="243"/>
      <c r="AC878" s="243"/>
      <c r="AD878" s="243"/>
      <c r="AE878" s="243"/>
      <c r="AF878" s="1331">
        <v>2</v>
      </c>
      <c r="AG878" s="1332" t="s">
        <v>1055</v>
      </c>
      <c r="AH878" s="1332" t="s">
        <v>1109</v>
      </c>
      <c r="AI878" s="1331">
        <v>2</v>
      </c>
      <c r="AJ878" s="1332" t="s">
        <v>1055</v>
      </c>
      <c r="AK878" s="1332" t="s">
        <v>1109</v>
      </c>
      <c r="AL878" s="771"/>
    </row>
    <row r="879" spans="1:38" ht="11.25" customHeight="1">
      <c r="A879" t="s">
        <v>1021</v>
      </c>
      <c r="E879" s="556"/>
      <c r="F879" s="1354"/>
      <c r="G879" s="1326"/>
      <c r="H879" s="1327" t="s">
        <v>89</v>
      </c>
      <c r="I879" s="1328"/>
      <c r="J879" s="1341"/>
      <c r="K879" s="1330"/>
      <c r="L879" s="1058"/>
      <c r="M879" s="1342"/>
      <c r="N879" s="1333"/>
      <c r="O879" s="1334">
        <v>1</v>
      </c>
      <c r="P879" s="1335" t="s">
        <v>19</v>
      </c>
      <c r="Q879" s="1323" t="s">
        <v>22</v>
      </c>
      <c r="R879" s="1323" t="s">
        <v>22</v>
      </c>
      <c r="S879" s="1323" t="s">
        <v>22</v>
      </c>
      <c r="T879" s="1323" t="s">
        <v>22</v>
      </c>
      <c r="U879" s="1323" t="s">
        <v>22</v>
      </c>
      <c r="V879" s="1323" t="s">
        <v>22</v>
      </c>
      <c r="W879" s="1323" t="s">
        <v>22</v>
      </c>
      <c r="X879" s="1323" t="s">
        <v>22</v>
      </c>
      <c r="Y879" s="1323"/>
      <c r="Z879" s="229"/>
      <c r="AA879" s="230"/>
      <c r="AB879" s="230"/>
      <c r="AC879" s="231"/>
      <c r="AD879" s="231"/>
      <c r="AE879" s="244"/>
      <c r="AF879" s="1331"/>
      <c r="AG879" s="1332"/>
      <c r="AH879" s="1332"/>
      <c r="AI879" s="1331"/>
      <c r="AJ879" s="1332"/>
      <c r="AK879" s="1332"/>
      <c r="AL879" s="771"/>
    </row>
    <row r="880" spans="1:38" ht="11.25" customHeight="1">
      <c r="A880" t="s">
        <v>1021</v>
      </c>
      <c r="E880" s="556"/>
      <c r="F880" s="1354"/>
      <c r="G880" s="1326"/>
      <c r="H880" s="1327" t="s">
        <v>89</v>
      </c>
      <c r="I880" s="1328"/>
      <c r="J880" s="1341"/>
      <c r="K880" s="1330"/>
      <c r="L880" s="1058"/>
      <c r="M880" s="1342"/>
      <c r="N880" s="1333"/>
      <c r="O880" s="1334"/>
      <c r="P880" s="1336"/>
      <c r="Q880" s="1323"/>
      <c r="R880" s="1323"/>
      <c r="S880" s="1338"/>
      <c r="T880" s="1323"/>
      <c r="U880" s="1323"/>
      <c r="V880" s="1323"/>
      <c r="W880" s="1323"/>
      <c r="X880" s="1323"/>
      <c r="Y880" s="1323"/>
      <c r="AA880" s="777">
        <v>1</v>
      </c>
      <c r="AB880" s="778" t="s">
        <v>1129</v>
      </c>
      <c r="AC880" s="236">
        <v>65584.525292476901</v>
      </c>
      <c r="AD880" s="778" t="str">
        <f>AB880</f>
        <v xml:space="preserve">     Прочие амортизационные отчисления</v>
      </c>
      <c r="AE880" s="236">
        <v>0</v>
      </c>
      <c r="AF880" s="1331"/>
      <c r="AG880" s="1332"/>
      <c r="AH880" s="1332"/>
      <c r="AI880" s="1331"/>
      <c r="AJ880" s="1332"/>
      <c r="AK880" s="1332"/>
      <c r="AL880" s="771"/>
    </row>
    <row r="881" spans="1:38" ht="11.25" customHeight="1">
      <c r="A881" t="s">
        <v>1021</v>
      </c>
      <c r="E881" s="556"/>
      <c r="F881" s="1326"/>
      <c r="G881" s="1326"/>
      <c r="H881" s="1326"/>
      <c r="I881" s="1326"/>
      <c r="J881" s="1326"/>
      <c r="K881" s="1326"/>
      <c r="L881" s="1326"/>
      <c r="M881" s="1346"/>
      <c r="N881" s="1326"/>
      <c r="O881" s="1326"/>
      <c r="P881" s="1326"/>
      <c r="Q881" s="1326"/>
      <c r="R881" s="1326"/>
      <c r="S881" s="1326"/>
      <c r="T881" s="1326"/>
      <c r="U881" s="1326"/>
      <c r="V881" s="1326"/>
      <c r="W881" s="1326"/>
      <c r="X881" s="1326"/>
      <c r="Y881" s="1326"/>
      <c r="Z881" s="181" t="s">
        <v>103</v>
      </c>
      <c r="AA881" s="779" t="s">
        <v>102</v>
      </c>
      <c r="AB881" s="778" t="s">
        <v>1063</v>
      </c>
      <c r="AC881" s="236">
        <v>9365.8300545879101</v>
      </c>
      <c r="AD881" s="778" t="str">
        <f>AB881</f>
        <v xml:space="preserve">  Кредиты</v>
      </c>
      <c r="AE881" s="236">
        <v>0</v>
      </c>
      <c r="AF881" s="1343"/>
      <c r="AG881" s="1344"/>
      <c r="AH881" s="1344"/>
      <c r="AI881" s="1343"/>
      <c r="AJ881" s="1344"/>
      <c r="AK881" s="1345"/>
      <c r="AL881" s="771"/>
    </row>
    <row r="882" spans="1:38" ht="11.25" customHeight="1">
      <c r="A882" t="s">
        <v>1021</v>
      </c>
      <c r="E882" s="556"/>
      <c r="F882" s="1354"/>
      <c r="G882" s="1326"/>
      <c r="H882" s="1327" t="s">
        <v>89</v>
      </c>
      <c r="I882" s="1328"/>
      <c r="J882" s="1341"/>
      <c r="K882" s="1330"/>
      <c r="L882" s="1058"/>
      <c r="M882" s="1342"/>
      <c r="N882" s="1333"/>
      <c r="O882" s="1334"/>
      <c r="P882" s="1337"/>
      <c r="Q882" s="1323"/>
      <c r="R882" s="1323"/>
      <c r="S882" s="1338"/>
      <c r="T882" s="1323"/>
      <c r="U882" s="1323"/>
      <c r="V882" s="1323"/>
      <c r="W882" s="1323"/>
      <c r="X882" s="1323"/>
      <c r="Y882" s="1323"/>
      <c r="Z882" s="229"/>
      <c r="AA882" s="230"/>
      <c r="AB882" s="44" t="s">
        <v>1064</v>
      </c>
      <c r="AC882" s="231"/>
      <c r="AD882" s="231"/>
      <c r="AE882" s="245"/>
      <c r="AF882" s="1331"/>
      <c r="AG882" s="1332"/>
      <c r="AH882" s="1332"/>
      <c r="AI882" s="1331"/>
      <c r="AJ882" s="1332"/>
      <c r="AK882" s="1332"/>
      <c r="AL882" s="771"/>
    </row>
    <row r="883" spans="1:38" ht="11.25" customHeight="1">
      <c r="A883" t="s">
        <v>1021</v>
      </c>
      <c r="E883" s="556"/>
      <c r="F883" s="1354"/>
      <c r="G883" s="1326"/>
      <c r="H883" s="1327" t="s">
        <v>89</v>
      </c>
      <c r="I883" s="1328"/>
      <c r="J883" s="1341"/>
      <c r="K883" s="1330"/>
      <c r="L883" s="1058"/>
      <c r="M883" s="1342"/>
      <c r="N883" s="229"/>
      <c r="O883" s="230"/>
      <c r="P883" s="44" t="s">
        <v>1065</v>
      </c>
      <c r="Q883" s="230"/>
      <c r="R883" s="230"/>
      <c r="S883" s="230"/>
      <c r="T883" s="230"/>
      <c r="U883" s="230"/>
      <c r="V883" s="230"/>
      <c r="W883" s="230"/>
      <c r="X883" s="230"/>
      <c r="Y883" s="230"/>
      <c r="Z883" s="230"/>
      <c r="AA883" s="230"/>
      <c r="AB883" s="230"/>
      <c r="AC883" s="230"/>
      <c r="AD883" s="230"/>
      <c r="AE883" s="246"/>
      <c r="AF883" s="1331"/>
      <c r="AG883" s="1332"/>
      <c r="AH883" s="1332"/>
      <c r="AI883" s="1331"/>
      <c r="AJ883" s="1332"/>
      <c r="AK883" s="1332"/>
      <c r="AL883" s="771"/>
    </row>
    <row r="884" spans="1:38" ht="11.25" customHeight="1">
      <c r="A884" t="s">
        <v>1021</v>
      </c>
      <c r="B884" t="s">
        <v>22</v>
      </c>
      <c r="E884" s="556"/>
      <c r="F884" s="1354"/>
      <c r="G884" s="1304" t="s">
        <v>103</v>
      </c>
      <c r="H884" s="1327" t="s">
        <v>115</v>
      </c>
      <c r="I884" s="1328" t="s">
        <v>1080</v>
      </c>
      <c r="J884" s="1329" t="s">
        <v>22</v>
      </c>
      <c r="K884" s="1330" t="s">
        <v>1183</v>
      </c>
      <c r="L884" s="1058" t="s">
        <v>19</v>
      </c>
      <c r="M884" s="1060"/>
      <c r="N884" s="241"/>
      <c r="O884" s="242" t="s">
        <v>387</v>
      </c>
      <c r="P884" s="243"/>
      <c r="Q884" s="243"/>
      <c r="R884" s="243"/>
      <c r="S884" s="243"/>
      <c r="T884" s="243"/>
      <c r="U884" s="243"/>
      <c r="V884" s="243"/>
      <c r="W884" s="243"/>
      <c r="X884" s="243"/>
      <c r="Y884" s="243"/>
      <c r="Z884" s="243"/>
      <c r="AA884" s="243"/>
      <c r="AB884" s="243"/>
      <c r="AC884" s="243"/>
      <c r="AD884" s="243"/>
      <c r="AE884" s="243"/>
      <c r="AF884" s="1331">
        <v>2</v>
      </c>
      <c r="AG884" s="1332" t="s">
        <v>1055</v>
      </c>
      <c r="AH884" s="1332" t="s">
        <v>1109</v>
      </c>
      <c r="AI884" s="1331">
        <v>2</v>
      </c>
      <c r="AJ884" s="1332" t="s">
        <v>1055</v>
      </c>
      <c r="AK884" s="1332" t="s">
        <v>1109</v>
      </c>
      <c r="AL884" s="771"/>
    </row>
    <row r="885" spans="1:38" ht="11.25" customHeight="1">
      <c r="A885" t="s">
        <v>1021</v>
      </c>
      <c r="E885" s="556"/>
      <c r="F885" s="1354"/>
      <c r="G885" s="1326"/>
      <c r="H885" s="1327" t="s">
        <v>90</v>
      </c>
      <c r="I885" s="1328"/>
      <c r="J885" s="1329"/>
      <c r="K885" s="1330"/>
      <c r="L885" s="1058"/>
      <c r="M885" s="1060"/>
      <c r="N885" s="1333"/>
      <c r="O885" s="1334">
        <v>1</v>
      </c>
      <c r="P885" s="1335" t="s">
        <v>19</v>
      </c>
      <c r="Q885" s="1323" t="s">
        <v>22</v>
      </c>
      <c r="R885" s="1323" t="s">
        <v>22</v>
      </c>
      <c r="S885" s="1323" t="s">
        <v>22</v>
      </c>
      <c r="T885" s="1323" t="s">
        <v>22</v>
      </c>
      <c r="U885" s="1323" t="s">
        <v>22</v>
      </c>
      <c r="V885" s="1323" t="s">
        <v>22</v>
      </c>
      <c r="W885" s="1323" t="s">
        <v>22</v>
      </c>
      <c r="X885" s="1323" t="s">
        <v>22</v>
      </c>
      <c r="Y885" s="1323"/>
      <c r="Z885" s="229"/>
      <c r="AA885" s="230"/>
      <c r="AB885" s="230"/>
      <c r="AC885" s="231"/>
      <c r="AD885" s="231"/>
      <c r="AE885" s="244"/>
      <c r="AF885" s="1331"/>
      <c r="AG885" s="1332"/>
      <c r="AH885" s="1332"/>
      <c r="AI885" s="1331"/>
      <c r="AJ885" s="1332"/>
      <c r="AK885" s="1332"/>
      <c r="AL885" s="771"/>
    </row>
    <row r="886" spans="1:38" ht="11.25" customHeight="1">
      <c r="A886" t="s">
        <v>1021</v>
      </c>
      <c r="E886" s="556"/>
      <c r="F886" s="1354"/>
      <c r="G886" s="1326"/>
      <c r="H886" s="1327" t="s">
        <v>90</v>
      </c>
      <c r="I886" s="1328"/>
      <c r="J886" s="1329"/>
      <c r="K886" s="1330"/>
      <c r="L886" s="1058"/>
      <c r="M886" s="1060"/>
      <c r="N886" s="1333"/>
      <c r="O886" s="1334"/>
      <c r="P886" s="1336"/>
      <c r="Q886" s="1323"/>
      <c r="R886" s="1323"/>
      <c r="S886" s="1338"/>
      <c r="T886" s="1323"/>
      <c r="U886" s="1323"/>
      <c r="V886" s="1323"/>
      <c r="W886" s="1323"/>
      <c r="X886" s="1323"/>
      <c r="Y886" s="1323"/>
      <c r="AA886" s="777">
        <v>1</v>
      </c>
      <c r="AB886" s="778" t="s">
        <v>1129</v>
      </c>
      <c r="AC886" s="236">
        <v>49072.624306684702</v>
      </c>
      <c r="AD886" s="778" t="str">
        <f>AB886</f>
        <v xml:space="preserve">     Прочие амортизационные отчисления</v>
      </c>
      <c r="AE886" s="236">
        <v>0</v>
      </c>
      <c r="AF886" s="1331"/>
      <c r="AG886" s="1332"/>
      <c r="AH886" s="1332"/>
      <c r="AI886" s="1331"/>
      <c r="AJ886" s="1332"/>
      <c r="AK886" s="1332"/>
      <c r="AL886" s="771"/>
    </row>
    <row r="887" spans="1:38" ht="11.25" customHeight="1">
      <c r="A887" t="s">
        <v>1021</v>
      </c>
      <c r="E887" s="556"/>
      <c r="F887" s="1326"/>
      <c r="G887" s="1326"/>
      <c r="H887" s="1326"/>
      <c r="I887" s="1326"/>
      <c r="J887" s="1326"/>
      <c r="K887" s="1326"/>
      <c r="L887" s="1326"/>
      <c r="M887" s="1326"/>
      <c r="N887" s="1326"/>
      <c r="O887" s="1326"/>
      <c r="P887" s="1326"/>
      <c r="Q887" s="1326"/>
      <c r="R887" s="1326"/>
      <c r="S887" s="1326"/>
      <c r="T887" s="1326"/>
      <c r="U887" s="1326"/>
      <c r="V887" s="1326"/>
      <c r="W887" s="1326"/>
      <c r="X887" s="1326"/>
      <c r="Y887" s="1326"/>
      <c r="Z887" s="181" t="s">
        <v>103</v>
      </c>
      <c r="AA887" s="779" t="s">
        <v>102</v>
      </c>
      <c r="AB887" s="778" t="s">
        <v>1063</v>
      </c>
      <c r="AC887" s="236">
        <v>7007.8399979174601</v>
      </c>
      <c r="AD887" s="778" t="str">
        <f>AB887</f>
        <v xml:space="preserve">  Кредиты</v>
      </c>
      <c r="AE887" s="236">
        <v>0</v>
      </c>
      <c r="AF887" s="1343"/>
      <c r="AG887" s="1344"/>
      <c r="AH887" s="1344"/>
      <c r="AI887" s="1343"/>
      <c r="AJ887" s="1344"/>
      <c r="AK887" s="1345"/>
      <c r="AL887" s="771"/>
    </row>
    <row r="888" spans="1:38" ht="11.25" customHeight="1">
      <c r="A888" t="s">
        <v>1021</v>
      </c>
      <c r="E888" s="556"/>
      <c r="F888" s="1354"/>
      <c r="G888" s="1326"/>
      <c r="H888" s="1327" t="s">
        <v>90</v>
      </c>
      <c r="I888" s="1328"/>
      <c r="J888" s="1329"/>
      <c r="K888" s="1330"/>
      <c r="L888" s="1058"/>
      <c r="M888" s="1060"/>
      <c r="N888" s="1333"/>
      <c r="O888" s="1334"/>
      <c r="P888" s="1337"/>
      <c r="Q888" s="1323"/>
      <c r="R888" s="1323"/>
      <c r="S888" s="1338"/>
      <c r="T888" s="1323"/>
      <c r="U888" s="1323"/>
      <c r="V888" s="1323"/>
      <c r="W888" s="1323"/>
      <c r="X888" s="1323"/>
      <c r="Y888" s="1323"/>
      <c r="Z888" s="229"/>
      <c r="AA888" s="230"/>
      <c r="AB888" s="44" t="s">
        <v>1064</v>
      </c>
      <c r="AC888" s="231"/>
      <c r="AD888" s="231"/>
      <c r="AE888" s="245"/>
      <c r="AF888" s="1331"/>
      <c r="AG888" s="1332"/>
      <c r="AH888" s="1332"/>
      <c r="AI888" s="1331"/>
      <c r="AJ888" s="1332"/>
      <c r="AK888" s="1332"/>
      <c r="AL888" s="771"/>
    </row>
    <row r="889" spans="1:38" ht="11.25" customHeight="1">
      <c r="A889" t="s">
        <v>1021</v>
      </c>
      <c r="E889" s="556"/>
      <c r="F889" s="1354"/>
      <c r="G889" s="1326"/>
      <c r="H889" s="1327" t="s">
        <v>90</v>
      </c>
      <c r="I889" s="1328"/>
      <c r="J889" s="1329"/>
      <c r="K889" s="1330"/>
      <c r="L889" s="1058"/>
      <c r="M889" s="1060"/>
      <c r="N889" s="229"/>
      <c r="O889" s="230"/>
      <c r="P889" s="44" t="s">
        <v>1065</v>
      </c>
      <c r="Q889" s="230"/>
      <c r="R889" s="230"/>
      <c r="S889" s="230"/>
      <c r="T889" s="230"/>
      <c r="U889" s="230"/>
      <c r="V889" s="230"/>
      <c r="W889" s="230"/>
      <c r="X889" s="230"/>
      <c r="Y889" s="230"/>
      <c r="Z889" s="230"/>
      <c r="AA889" s="230"/>
      <c r="AB889" s="230"/>
      <c r="AC889" s="230"/>
      <c r="AD889" s="230"/>
      <c r="AE889" s="246"/>
      <c r="AF889" s="1331"/>
      <c r="AG889" s="1332"/>
      <c r="AH889" s="1332"/>
      <c r="AI889" s="1331"/>
      <c r="AJ889" s="1332"/>
      <c r="AK889" s="1332"/>
      <c r="AL889" s="771"/>
    </row>
    <row r="890" spans="1:38" ht="11.25" customHeight="1">
      <c r="A890" t="s">
        <v>1021</v>
      </c>
      <c r="B890" t="s">
        <v>22</v>
      </c>
      <c r="E890" s="556"/>
      <c r="F890" s="1354"/>
      <c r="G890" s="1304" t="s">
        <v>103</v>
      </c>
      <c r="H890" s="1327" t="s">
        <v>91</v>
      </c>
      <c r="I890" s="1328" t="s">
        <v>1080</v>
      </c>
      <c r="J890" s="1329" t="s">
        <v>22</v>
      </c>
      <c r="K890" s="1330" t="s">
        <v>1184</v>
      </c>
      <c r="L890" s="1058" t="s">
        <v>19</v>
      </c>
      <c r="M890" s="1060"/>
      <c r="N890" s="241"/>
      <c r="O890" s="242" t="s">
        <v>387</v>
      </c>
      <c r="P890" s="243"/>
      <c r="Q890" s="243"/>
      <c r="R890" s="243"/>
      <c r="S890" s="243"/>
      <c r="T890" s="243"/>
      <c r="U890" s="243"/>
      <c r="V890" s="243"/>
      <c r="W890" s="243"/>
      <c r="X890" s="243"/>
      <c r="Y890" s="243"/>
      <c r="Z890" s="243"/>
      <c r="AA890" s="243"/>
      <c r="AB890" s="243"/>
      <c r="AC890" s="243"/>
      <c r="AD890" s="243"/>
      <c r="AE890" s="243"/>
      <c r="AF890" s="1331">
        <v>2</v>
      </c>
      <c r="AG890" s="1332" t="s">
        <v>1055</v>
      </c>
      <c r="AH890" s="1332" t="s">
        <v>1109</v>
      </c>
      <c r="AI890" s="1331">
        <v>2</v>
      </c>
      <c r="AJ890" s="1332" t="s">
        <v>1055</v>
      </c>
      <c r="AK890" s="1332" t="s">
        <v>1109</v>
      </c>
      <c r="AL890" s="771"/>
    </row>
    <row r="891" spans="1:38" ht="11.25" customHeight="1">
      <c r="A891" t="s">
        <v>1021</v>
      </c>
      <c r="E891" s="556"/>
      <c r="F891" s="1354"/>
      <c r="G891" s="1326"/>
      <c r="H891" s="1327" t="s">
        <v>115</v>
      </c>
      <c r="I891" s="1328"/>
      <c r="J891" s="1329"/>
      <c r="K891" s="1330"/>
      <c r="L891" s="1058"/>
      <c r="M891" s="1060"/>
      <c r="N891" s="1333"/>
      <c r="O891" s="1334">
        <v>1</v>
      </c>
      <c r="P891" s="1335" t="s">
        <v>19</v>
      </c>
      <c r="Q891" s="1323" t="s">
        <v>22</v>
      </c>
      <c r="R891" s="1323" t="s">
        <v>22</v>
      </c>
      <c r="S891" s="1323" t="s">
        <v>22</v>
      </c>
      <c r="T891" s="1323" t="s">
        <v>22</v>
      </c>
      <c r="U891" s="1323" t="s">
        <v>22</v>
      </c>
      <c r="V891" s="1323" t="s">
        <v>22</v>
      </c>
      <c r="W891" s="1323" t="s">
        <v>22</v>
      </c>
      <c r="X891" s="1323" t="s">
        <v>22</v>
      </c>
      <c r="Y891" s="1323"/>
      <c r="Z891" s="229"/>
      <c r="AA891" s="230"/>
      <c r="AB891" s="230"/>
      <c r="AC891" s="231"/>
      <c r="AD891" s="231"/>
      <c r="AE891" s="244"/>
      <c r="AF891" s="1331"/>
      <c r="AG891" s="1332"/>
      <c r="AH891" s="1332"/>
      <c r="AI891" s="1331"/>
      <c r="AJ891" s="1332"/>
      <c r="AK891" s="1332"/>
      <c r="AL891" s="771"/>
    </row>
    <row r="892" spans="1:38" ht="11.25" customHeight="1">
      <c r="A892" t="s">
        <v>1021</v>
      </c>
      <c r="E892" s="556"/>
      <c r="F892" s="1354"/>
      <c r="G892" s="1326"/>
      <c r="H892" s="1327" t="s">
        <v>115</v>
      </c>
      <c r="I892" s="1328"/>
      <c r="J892" s="1329"/>
      <c r="K892" s="1330"/>
      <c r="L892" s="1058"/>
      <c r="M892" s="1060"/>
      <c r="N892" s="1333"/>
      <c r="O892" s="1334"/>
      <c r="P892" s="1336"/>
      <c r="Q892" s="1323"/>
      <c r="R892" s="1323"/>
      <c r="S892" s="1338"/>
      <c r="T892" s="1323"/>
      <c r="U892" s="1323"/>
      <c r="V892" s="1323"/>
      <c r="W892" s="1323"/>
      <c r="X892" s="1323"/>
      <c r="Y892" s="1323"/>
      <c r="AA892" s="777">
        <v>1</v>
      </c>
      <c r="AB892" s="778" t="s">
        <v>1129</v>
      </c>
      <c r="AC892" s="236">
        <v>2891.88867961607</v>
      </c>
      <c r="AD892" s="778" t="str">
        <f>AB892</f>
        <v xml:space="preserve">     Прочие амортизационные отчисления</v>
      </c>
      <c r="AE892" s="236">
        <v>0</v>
      </c>
      <c r="AF892" s="1331"/>
      <c r="AG892" s="1332"/>
      <c r="AH892" s="1332"/>
      <c r="AI892" s="1331"/>
      <c r="AJ892" s="1332"/>
      <c r="AK892" s="1332"/>
      <c r="AL892" s="771"/>
    </row>
    <row r="893" spans="1:38" ht="11.25" customHeight="1">
      <c r="A893" t="s">
        <v>1021</v>
      </c>
      <c r="E893" s="556"/>
      <c r="F893" s="1326"/>
      <c r="G893" s="1326"/>
      <c r="H893" s="1326"/>
      <c r="I893" s="1326"/>
      <c r="J893" s="1326"/>
      <c r="K893" s="1326"/>
      <c r="L893" s="1326"/>
      <c r="M893" s="1326"/>
      <c r="N893" s="1326"/>
      <c r="O893" s="1326"/>
      <c r="P893" s="1326"/>
      <c r="Q893" s="1326"/>
      <c r="R893" s="1326"/>
      <c r="S893" s="1326"/>
      <c r="T893" s="1326"/>
      <c r="U893" s="1326"/>
      <c r="V893" s="1326"/>
      <c r="W893" s="1326"/>
      <c r="X893" s="1326"/>
      <c r="Y893" s="1326"/>
      <c r="Z893" s="181" t="s">
        <v>103</v>
      </c>
      <c r="AA893" s="779" t="s">
        <v>102</v>
      </c>
      <c r="AB893" s="778" t="s">
        <v>1063</v>
      </c>
      <c r="AC893" s="236">
        <v>412.97757038393303</v>
      </c>
      <c r="AD893" s="778" t="str">
        <f>AB893</f>
        <v xml:space="preserve">  Кредиты</v>
      </c>
      <c r="AE893" s="236">
        <v>0</v>
      </c>
      <c r="AF893" s="1343"/>
      <c r="AG893" s="1344"/>
      <c r="AH893" s="1344"/>
      <c r="AI893" s="1343"/>
      <c r="AJ893" s="1344"/>
      <c r="AK893" s="1345"/>
      <c r="AL893" s="771"/>
    </row>
    <row r="894" spans="1:38" ht="11.25" customHeight="1">
      <c r="A894" t="s">
        <v>1021</v>
      </c>
      <c r="E894" s="556"/>
      <c r="F894" s="1354"/>
      <c r="G894" s="1326"/>
      <c r="H894" s="1327" t="s">
        <v>115</v>
      </c>
      <c r="I894" s="1328"/>
      <c r="J894" s="1329"/>
      <c r="K894" s="1330"/>
      <c r="L894" s="1058"/>
      <c r="M894" s="1060"/>
      <c r="N894" s="1333"/>
      <c r="O894" s="1334"/>
      <c r="P894" s="1337"/>
      <c r="Q894" s="1323"/>
      <c r="R894" s="1323"/>
      <c r="S894" s="1338"/>
      <c r="T894" s="1323"/>
      <c r="U894" s="1323"/>
      <c r="V894" s="1323"/>
      <c r="W894" s="1323"/>
      <c r="X894" s="1323"/>
      <c r="Y894" s="1323"/>
      <c r="Z894" s="229"/>
      <c r="AA894" s="230"/>
      <c r="AB894" s="44" t="s">
        <v>1064</v>
      </c>
      <c r="AC894" s="231"/>
      <c r="AD894" s="231"/>
      <c r="AE894" s="245"/>
      <c r="AF894" s="1331"/>
      <c r="AG894" s="1332"/>
      <c r="AH894" s="1332"/>
      <c r="AI894" s="1331"/>
      <c r="AJ894" s="1332"/>
      <c r="AK894" s="1332"/>
      <c r="AL894" s="771"/>
    </row>
    <row r="895" spans="1:38" ht="11.25" customHeight="1">
      <c r="A895" t="s">
        <v>1021</v>
      </c>
      <c r="E895" s="556"/>
      <c r="F895" s="1354"/>
      <c r="G895" s="1326"/>
      <c r="H895" s="1327" t="s">
        <v>115</v>
      </c>
      <c r="I895" s="1328"/>
      <c r="J895" s="1329"/>
      <c r="K895" s="1330"/>
      <c r="L895" s="1058"/>
      <c r="M895" s="1060"/>
      <c r="N895" s="229"/>
      <c r="O895" s="230"/>
      <c r="P895" s="44" t="s">
        <v>1065</v>
      </c>
      <c r="Q895" s="230"/>
      <c r="R895" s="230"/>
      <c r="S895" s="230"/>
      <c r="T895" s="230"/>
      <c r="U895" s="230"/>
      <c r="V895" s="230"/>
      <c r="W895" s="230"/>
      <c r="X895" s="230"/>
      <c r="Y895" s="230"/>
      <c r="Z895" s="230"/>
      <c r="AA895" s="230"/>
      <c r="AB895" s="230"/>
      <c r="AC895" s="230"/>
      <c r="AD895" s="230"/>
      <c r="AE895" s="246"/>
      <c r="AF895" s="1331"/>
      <c r="AG895" s="1332"/>
      <c r="AH895" s="1332"/>
      <c r="AI895" s="1331"/>
      <c r="AJ895" s="1332"/>
      <c r="AK895" s="1332"/>
      <c r="AL895" s="771"/>
    </row>
    <row r="896" spans="1:38" ht="11.25" customHeight="1">
      <c r="A896" t="s">
        <v>1021</v>
      </c>
      <c r="B896" t="s">
        <v>22</v>
      </c>
      <c r="E896" s="556"/>
      <c r="F896" s="1354"/>
      <c r="G896" s="1304" t="s">
        <v>103</v>
      </c>
      <c r="H896" s="1327" t="s">
        <v>92</v>
      </c>
      <c r="I896" s="1328" t="s">
        <v>1080</v>
      </c>
      <c r="J896" s="1329" t="s">
        <v>22</v>
      </c>
      <c r="K896" s="1330" t="s">
        <v>1181</v>
      </c>
      <c r="L896" s="1058" t="s">
        <v>19</v>
      </c>
      <c r="M896" s="1060"/>
      <c r="N896" s="241"/>
      <c r="O896" s="242" t="s">
        <v>387</v>
      </c>
      <c r="P896" s="243"/>
      <c r="Q896" s="243"/>
      <c r="R896" s="243"/>
      <c r="S896" s="243"/>
      <c r="T896" s="243"/>
      <c r="U896" s="243"/>
      <c r="V896" s="243"/>
      <c r="W896" s="243"/>
      <c r="X896" s="243"/>
      <c r="Y896" s="243"/>
      <c r="Z896" s="243"/>
      <c r="AA896" s="243"/>
      <c r="AB896" s="243"/>
      <c r="AC896" s="243"/>
      <c r="AD896" s="243"/>
      <c r="AE896" s="243"/>
      <c r="AF896" s="1331">
        <v>1</v>
      </c>
      <c r="AG896" s="1332" t="s">
        <v>1055</v>
      </c>
      <c r="AH896" s="1332" t="s">
        <v>1102</v>
      </c>
      <c r="AI896" s="1331">
        <v>1</v>
      </c>
      <c r="AJ896" s="1332" t="s">
        <v>1055</v>
      </c>
      <c r="AK896" s="1332" t="s">
        <v>1102</v>
      </c>
      <c r="AL896" s="771"/>
    </row>
    <row r="897" spans="1:38" ht="11.25" customHeight="1">
      <c r="A897" t="s">
        <v>1021</v>
      </c>
      <c r="E897" s="556"/>
      <c r="F897" s="1354"/>
      <c r="G897" s="1326"/>
      <c r="H897" s="1327" t="s">
        <v>91</v>
      </c>
      <c r="I897" s="1328"/>
      <c r="J897" s="1329"/>
      <c r="K897" s="1330"/>
      <c r="L897" s="1058"/>
      <c r="M897" s="1060"/>
      <c r="N897" s="1333"/>
      <c r="O897" s="1334">
        <v>1</v>
      </c>
      <c r="P897" s="1335" t="s">
        <v>19</v>
      </c>
      <c r="Q897" s="1323" t="s">
        <v>22</v>
      </c>
      <c r="R897" s="1323" t="s">
        <v>22</v>
      </c>
      <c r="S897" s="1323" t="s">
        <v>22</v>
      </c>
      <c r="T897" s="1323" t="s">
        <v>22</v>
      </c>
      <c r="U897" s="1323" t="s">
        <v>22</v>
      </c>
      <c r="V897" s="1323" t="s">
        <v>22</v>
      </c>
      <c r="W897" s="1323" t="s">
        <v>22</v>
      </c>
      <c r="X897" s="1323" t="s">
        <v>22</v>
      </c>
      <c r="Y897" s="1323"/>
      <c r="Z897" s="229"/>
      <c r="AA897" s="230"/>
      <c r="AB897" s="230"/>
      <c r="AC897" s="231"/>
      <c r="AD897" s="231"/>
      <c r="AE897" s="244"/>
      <c r="AF897" s="1331"/>
      <c r="AG897" s="1332"/>
      <c r="AH897" s="1332"/>
      <c r="AI897" s="1331"/>
      <c r="AJ897" s="1332"/>
      <c r="AK897" s="1332"/>
      <c r="AL897" s="771"/>
    </row>
    <row r="898" spans="1:38" ht="11.25" customHeight="1">
      <c r="A898" t="s">
        <v>1021</v>
      </c>
      <c r="E898" s="556"/>
      <c r="F898" s="1354"/>
      <c r="G898" s="1326"/>
      <c r="H898" s="1327" t="s">
        <v>91</v>
      </c>
      <c r="I898" s="1328"/>
      <c r="J898" s="1329"/>
      <c r="K898" s="1330"/>
      <c r="L898" s="1058"/>
      <c r="M898" s="1060"/>
      <c r="N898" s="1333"/>
      <c r="O898" s="1334"/>
      <c r="P898" s="1336"/>
      <c r="Q898" s="1323"/>
      <c r="R898" s="1323"/>
      <c r="S898" s="1338"/>
      <c r="T898" s="1323"/>
      <c r="U898" s="1323"/>
      <c r="V898" s="1323"/>
      <c r="W898" s="1323"/>
      <c r="X898" s="1323"/>
      <c r="Y898" s="1323"/>
      <c r="AA898" s="777">
        <v>1</v>
      </c>
      <c r="AB898" s="778" t="s">
        <v>1129</v>
      </c>
      <c r="AC898" s="236">
        <v>4629.4317463092502</v>
      </c>
      <c r="AD898" s="778" t="str">
        <f>AB898</f>
        <v xml:space="preserve">     Прочие амортизационные отчисления</v>
      </c>
      <c r="AE898" s="236">
        <v>0</v>
      </c>
      <c r="AF898" s="1331"/>
      <c r="AG898" s="1332"/>
      <c r="AH898" s="1332"/>
      <c r="AI898" s="1331"/>
      <c r="AJ898" s="1332"/>
      <c r="AK898" s="1332"/>
      <c r="AL898" s="771"/>
    </row>
    <row r="899" spans="1:38" ht="11.25" customHeight="1">
      <c r="A899" t="s">
        <v>1021</v>
      </c>
      <c r="E899" s="556"/>
      <c r="F899" s="1326"/>
      <c r="G899" s="1326"/>
      <c r="H899" s="1326"/>
      <c r="I899" s="1326"/>
      <c r="J899" s="1326"/>
      <c r="K899" s="1326"/>
      <c r="L899" s="1326"/>
      <c r="M899" s="1326"/>
      <c r="N899" s="1326"/>
      <c r="O899" s="1326"/>
      <c r="P899" s="1326"/>
      <c r="Q899" s="1326"/>
      <c r="R899" s="1326"/>
      <c r="S899" s="1326"/>
      <c r="T899" s="1326"/>
      <c r="U899" s="1326"/>
      <c r="V899" s="1326"/>
      <c r="W899" s="1326"/>
      <c r="X899" s="1326"/>
      <c r="Y899" s="1326"/>
      <c r="Z899" s="181" t="s">
        <v>103</v>
      </c>
      <c r="AA899" s="779" t="s">
        <v>102</v>
      </c>
      <c r="AB899" s="778" t="s">
        <v>1063</v>
      </c>
      <c r="AC899" s="236">
        <v>661.10825369075496</v>
      </c>
      <c r="AD899" s="778" t="str">
        <f>AB899</f>
        <v xml:space="preserve">  Кредиты</v>
      </c>
      <c r="AE899" s="236">
        <v>0</v>
      </c>
      <c r="AF899" s="1343"/>
      <c r="AG899" s="1344"/>
      <c r="AH899" s="1344"/>
      <c r="AI899" s="1343"/>
      <c r="AJ899" s="1344"/>
      <c r="AK899" s="1345"/>
      <c r="AL899" s="771"/>
    </row>
    <row r="900" spans="1:38" ht="11.25" customHeight="1">
      <c r="A900" t="s">
        <v>1021</v>
      </c>
      <c r="E900" s="556"/>
      <c r="F900" s="1354"/>
      <c r="G900" s="1326"/>
      <c r="H900" s="1327" t="s">
        <v>91</v>
      </c>
      <c r="I900" s="1328"/>
      <c r="J900" s="1329"/>
      <c r="K900" s="1330"/>
      <c r="L900" s="1058"/>
      <c r="M900" s="1060"/>
      <c r="N900" s="1333"/>
      <c r="O900" s="1334"/>
      <c r="P900" s="1337"/>
      <c r="Q900" s="1323"/>
      <c r="R900" s="1323"/>
      <c r="S900" s="1338"/>
      <c r="T900" s="1323"/>
      <c r="U900" s="1323"/>
      <c r="V900" s="1323"/>
      <c r="W900" s="1323"/>
      <c r="X900" s="1323"/>
      <c r="Y900" s="1323"/>
      <c r="Z900" s="229"/>
      <c r="AA900" s="230"/>
      <c r="AB900" s="44" t="s">
        <v>1064</v>
      </c>
      <c r="AC900" s="231"/>
      <c r="AD900" s="231"/>
      <c r="AE900" s="245"/>
      <c r="AF900" s="1331"/>
      <c r="AG900" s="1332"/>
      <c r="AH900" s="1332"/>
      <c r="AI900" s="1331"/>
      <c r="AJ900" s="1332"/>
      <c r="AK900" s="1332"/>
      <c r="AL900" s="771"/>
    </row>
    <row r="901" spans="1:38" ht="11.25" customHeight="1">
      <c r="A901" t="s">
        <v>1021</v>
      </c>
      <c r="E901" s="556"/>
      <c r="F901" s="1354"/>
      <c r="G901" s="1326"/>
      <c r="H901" s="1327" t="s">
        <v>91</v>
      </c>
      <c r="I901" s="1328"/>
      <c r="J901" s="1329"/>
      <c r="K901" s="1330"/>
      <c r="L901" s="1058"/>
      <c r="M901" s="1060"/>
      <c r="N901" s="229"/>
      <c r="O901" s="230"/>
      <c r="P901" s="44" t="s">
        <v>1065</v>
      </c>
      <c r="Q901" s="230"/>
      <c r="R901" s="230"/>
      <c r="S901" s="230"/>
      <c r="T901" s="230"/>
      <c r="U901" s="230"/>
      <c r="V901" s="230"/>
      <c r="W901" s="230"/>
      <c r="X901" s="230"/>
      <c r="Y901" s="230"/>
      <c r="Z901" s="230"/>
      <c r="AA901" s="230"/>
      <c r="AB901" s="230"/>
      <c r="AC901" s="230"/>
      <c r="AD901" s="230"/>
      <c r="AE901" s="246"/>
      <c r="AF901" s="1331"/>
      <c r="AG901" s="1332"/>
      <c r="AH901" s="1332"/>
      <c r="AI901" s="1331"/>
      <c r="AJ901" s="1332"/>
      <c r="AK901" s="1332"/>
      <c r="AL901" s="771"/>
    </row>
    <row r="902" spans="1:38" ht="12" customHeight="1">
      <c r="A902" t="s">
        <v>1021</v>
      </c>
      <c r="E902" s="556"/>
      <c r="F902" s="1355"/>
      <c r="G902" s="774"/>
      <c r="H902" s="774"/>
      <c r="I902" s="1352" t="s">
        <v>1083</v>
      </c>
      <c r="J902" s="1352"/>
      <c r="K902" s="1352"/>
      <c r="L902" s="775"/>
      <c r="M902" s="775"/>
      <c r="N902" s="776"/>
      <c r="O902" s="776"/>
      <c r="P902" s="776"/>
      <c r="Q902" s="776"/>
      <c r="R902" s="776"/>
      <c r="S902" s="776"/>
      <c r="T902" s="776"/>
      <c r="U902" s="776"/>
      <c r="V902" s="776"/>
      <c r="W902" s="776"/>
      <c r="X902" s="776"/>
      <c r="Y902" s="776"/>
      <c r="Z902" s="776"/>
      <c r="AA902" s="776"/>
      <c r="AB902" s="776"/>
      <c r="AC902" s="776"/>
      <c r="AD902" s="776"/>
      <c r="AE902" s="776"/>
      <c r="AF902" s="776"/>
      <c r="AG902" s="775"/>
      <c r="AH902" s="775"/>
      <c r="AI902" s="776"/>
      <c r="AJ902" s="775"/>
      <c r="AK902" s="776"/>
      <c r="AL902" s="771"/>
    </row>
    <row r="903" spans="1:38" ht="0.75" customHeight="1">
      <c r="A903" t="s">
        <v>1021</v>
      </c>
      <c r="E903" s="556"/>
      <c r="F903" s="1353">
        <v>2027</v>
      </c>
      <c r="G903" s="1327"/>
      <c r="H903" s="1357" t="s">
        <v>387</v>
      </c>
      <c r="I903" s="1358"/>
      <c r="J903" s="1350"/>
      <c r="K903" s="1350"/>
      <c r="L903" s="1351"/>
      <c r="M903" s="1200"/>
      <c r="N903" s="214"/>
      <c r="O903" s="215"/>
      <c r="P903" s="214"/>
      <c r="Q903" s="214"/>
      <c r="R903" s="214"/>
      <c r="S903" s="214"/>
      <c r="T903" s="214"/>
      <c r="U903" s="214"/>
      <c r="V903" s="214"/>
      <c r="W903" s="214"/>
      <c r="X903" s="214"/>
      <c r="Y903" s="214"/>
      <c r="Z903" s="214"/>
      <c r="AA903" s="214"/>
      <c r="AB903" s="214"/>
      <c r="AC903" s="214"/>
      <c r="AD903" s="214"/>
      <c r="AE903" s="214"/>
      <c r="AF903" s="1356"/>
      <c r="AG903" s="1351"/>
      <c r="AH903" s="1351"/>
      <c r="AI903" s="1356"/>
      <c r="AJ903" s="1351"/>
      <c r="AK903" s="1351"/>
      <c r="AL903" s="771"/>
    </row>
    <row r="904" spans="1:38" ht="0.75" customHeight="1">
      <c r="A904" t="s">
        <v>1021</v>
      </c>
      <c r="E904" s="556"/>
      <c r="F904" s="1353"/>
      <c r="G904" s="1327"/>
      <c r="H904" s="1357"/>
      <c r="I904" s="1358"/>
      <c r="J904" s="1350"/>
      <c r="K904" s="1350"/>
      <c r="L904" s="1351"/>
      <c r="M904" s="1200"/>
      <c r="N904" s="1359"/>
      <c r="O904" s="1360"/>
      <c r="P904" s="1347"/>
      <c r="Q904" s="1350"/>
      <c r="R904" s="1350"/>
      <c r="S904" s="1350"/>
      <c r="T904" s="1350"/>
      <c r="U904" s="1350"/>
      <c r="V904" s="1350"/>
      <c r="W904" s="1350"/>
      <c r="X904" s="1350"/>
      <c r="Y904" s="1350"/>
      <c r="Z904" s="216"/>
      <c r="AA904" s="217"/>
      <c r="AB904" s="217"/>
      <c r="AC904" s="218"/>
      <c r="AD904" s="218"/>
      <c r="AE904" s="219"/>
      <c r="AF904" s="1356"/>
      <c r="AG904" s="1351"/>
      <c r="AH904" s="1351"/>
      <c r="AI904" s="1356"/>
      <c r="AJ904" s="1351"/>
      <c r="AK904" s="1351"/>
      <c r="AL904" s="771"/>
    </row>
    <row r="905" spans="1:38" ht="0.75" customHeight="1">
      <c r="A905" t="s">
        <v>1021</v>
      </c>
      <c r="E905" s="556"/>
      <c r="F905" s="1353"/>
      <c r="G905" s="1327"/>
      <c r="H905" s="1357"/>
      <c r="I905" s="1358"/>
      <c r="J905" s="1350"/>
      <c r="K905" s="1350"/>
      <c r="L905" s="1351"/>
      <c r="M905" s="1200"/>
      <c r="N905" s="1359"/>
      <c r="O905" s="1360"/>
      <c r="P905" s="1348"/>
      <c r="Q905" s="1350"/>
      <c r="R905" s="1350"/>
      <c r="S905" s="1350"/>
      <c r="T905" s="1350"/>
      <c r="U905" s="1350"/>
      <c r="V905" s="1350"/>
      <c r="W905" s="1350"/>
      <c r="X905" s="1350"/>
      <c r="Y905" s="1350"/>
      <c r="AA905" s="772"/>
      <c r="AB905" s="773"/>
      <c r="AC905" s="220"/>
      <c r="AD905" s="773"/>
      <c r="AE905" s="220"/>
      <c r="AF905" s="1356"/>
      <c r="AG905" s="1351"/>
      <c r="AH905" s="1351"/>
      <c r="AI905" s="1356"/>
      <c r="AJ905" s="1351"/>
      <c r="AK905" s="1351"/>
      <c r="AL905" s="771"/>
    </row>
    <row r="906" spans="1:38" ht="0.75" customHeight="1">
      <c r="A906" t="s">
        <v>1021</v>
      </c>
      <c r="E906" s="556"/>
      <c r="F906" s="1353"/>
      <c r="G906" s="1327"/>
      <c r="H906" s="1357"/>
      <c r="I906" s="1358"/>
      <c r="J906" s="1350"/>
      <c r="K906" s="1350"/>
      <c r="L906" s="1351"/>
      <c r="M906" s="1200"/>
      <c r="N906" s="1359"/>
      <c r="O906" s="1360"/>
      <c r="P906" s="1349"/>
      <c r="Q906" s="1350"/>
      <c r="R906" s="1350"/>
      <c r="S906" s="1350"/>
      <c r="T906" s="1350"/>
      <c r="U906" s="1350"/>
      <c r="V906" s="1350"/>
      <c r="W906" s="1350"/>
      <c r="X906" s="1350"/>
      <c r="Y906" s="1350"/>
      <c r="Z906" s="216"/>
      <c r="AA906" s="217"/>
      <c r="AB906" s="221"/>
      <c r="AC906" s="218"/>
      <c r="AD906" s="218"/>
      <c r="AE906" s="222"/>
      <c r="AF906" s="1356"/>
      <c r="AG906" s="1351"/>
      <c r="AH906" s="1351"/>
      <c r="AI906" s="1356"/>
      <c r="AJ906" s="1351"/>
      <c r="AK906" s="1351"/>
      <c r="AL906" s="771"/>
    </row>
    <row r="907" spans="1:38" ht="0.75" customHeight="1">
      <c r="A907" t="s">
        <v>1021</v>
      </c>
      <c r="E907" s="556"/>
      <c r="F907" s="1353"/>
      <c r="G907" s="1327"/>
      <c r="H907" s="1357"/>
      <c r="I907" s="1358"/>
      <c r="J907" s="1350"/>
      <c r="K907" s="1350"/>
      <c r="L907" s="1351"/>
      <c r="M907" s="1200"/>
      <c r="N907" s="217"/>
      <c r="O907" s="217"/>
      <c r="P907" s="221"/>
      <c r="Q907" s="217"/>
      <c r="R907" s="217"/>
      <c r="S907" s="217"/>
      <c r="T907" s="217"/>
      <c r="U907" s="217"/>
      <c r="V907" s="217"/>
      <c r="W907" s="217"/>
      <c r="X907" s="217"/>
      <c r="Y907" s="217"/>
      <c r="Z907" s="217"/>
      <c r="AA907" s="217"/>
      <c r="AB907" s="217"/>
      <c r="AC907" s="217"/>
      <c r="AD907" s="217"/>
      <c r="AE907" s="223"/>
      <c r="AF907" s="1356"/>
      <c r="AG907" s="1351"/>
      <c r="AH907" s="1351"/>
      <c r="AI907" s="1356"/>
      <c r="AJ907" s="1351"/>
      <c r="AK907" s="1351"/>
      <c r="AL907" s="771"/>
    </row>
    <row r="908" spans="1:38" ht="11.25" customHeight="1">
      <c r="A908" t="s">
        <v>1021</v>
      </c>
      <c r="B908" t="s">
        <v>22</v>
      </c>
      <c r="E908" s="556"/>
      <c r="F908" s="1354"/>
      <c r="G908" s="1304" t="s">
        <v>103</v>
      </c>
      <c r="H908" s="1327" t="s">
        <v>114</v>
      </c>
      <c r="I908" s="1328" t="s">
        <v>1053</v>
      </c>
      <c r="J908" s="1329" t="s">
        <v>22</v>
      </c>
      <c r="K908" s="1330" t="s">
        <v>1185</v>
      </c>
      <c r="L908" s="1058" t="s">
        <v>19</v>
      </c>
      <c r="M908" s="1060"/>
      <c r="N908" s="241"/>
      <c r="O908" s="242" t="s">
        <v>387</v>
      </c>
      <c r="P908" s="243"/>
      <c r="Q908" s="243"/>
      <c r="R908" s="243"/>
      <c r="S908" s="243"/>
      <c r="T908" s="243"/>
      <c r="U908" s="243"/>
      <c r="V908" s="243"/>
      <c r="W908" s="243"/>
      <c r="X908" s="243"/>
      <c r="Y908" s="243"/>
      <c r="Z908" s="243"/>
      <c r="AA908" s="243"/>
      <c r="AB908" s="243"/>
      <c r="AC908" s="243"/>
      <c r="AD908" s="243"/>
      <c r="AE908" s="243"/>
      <c r="AF908" s="1331">
        <v>4</v>
      </c>
      <c r="AG908" s="1332" t="s">
        <v>1055</v>
      </c>
      <c r="AH908" s="1332" t="s">
        <v>1132</v>
      </c>
      <c r="AI908" s="1331">
        <v>4</v>
      </c>
      <c r="AJ908" s="1332" t="s">
        <v>1055</v>
      </c>
      <c r="AK908" s="1332" t="s">
        <v>1132</v>
      </c>
      <c r="AL908" s="771"/>
    </row>
    <row r="909" spans="1:38" ht="11.25" customHeight="1">
      <c r="A909" t="s">
        <v>1021</v>
      </c>
      <c r="E909" s="556"/>
      <c r="F909" s="1354"/>
      <c r="G909" s="1326"/>
      <c r="H909" s="1327" t="s">
        <v>387</v>
      </c>
      <c r="I909" s="1328"/>
      <c r="J909" s="1329"/>
      <c r="K909" s="1330"/>
      <c r="L909" s="1058"/>
      <c r="M909" s="1060"/>
      <c r="N909" s="1333"/>
      <c r="O909" s="1334">
        <v>1</v>
      </c>
      <c r="P909" s="1335" t="s">
        <v>61</v>
      </c>
      <c r="Q909" s="1339" t="s">
        <v>1057</v>
      </c>
      <c r="R909" s="1340" t="s">
        <v>1058</v>
      </c>
      <c r="S909" s="1340" t="s">
        <v>99</v>
      </c>
      <c r="T909" s="1340" t="s">
        <v>99</v>
      </c>
      <c r="U909" s="1340" t="s">
        <v>100</v>
      </c>
      <c r="V909" s="1340" t="s">
        <v>1059</v>
      </c>
      <c r="W909" s="1340" t="s">
        <v>1060</v>
      </c>
      <c r="X909" s="1340" t="s">
        <v>1061</v>
      </c>
      <c r="Y909" s="1340" t="s">
        <v>1062</v>
      </c>
      <c r="Z909" s="229"/>
      <c r="AA909" s="230"/>
      <c r="AB909" s="230"/>
      <c r="AC909" s="231"/>
      <c r="AD909" s="231"/>
      <c r="AE909" s="244"/>
      <c r="AF909" s="1331"/>
      <c r="AG909" s="1332"/>
      <c r="AH909" s="1332"/>
      <c r="AI909" s="1331"/>
      <c r="AJ909" s="1332"/>
      <c r="AK909" s="1332"/>
      <c r="AL909" s="771"/>
    </row>
    <row r="910" spans="1:38" ht="11.25" customHeight="1">
      <c r="A910" t="s">
        <v>1021</v>
      </c>
      <c r="E910" s="556"/>
      <c r="F910" s="1354"/>
      <c r="G910" s="1326"/>
      <c r="H910" s="1327" t="s">
        <v>387</v>
      </c>
      <c r="I910" s="1328"/>
      <c r="J910" s="1329"/>
      <c r="K910" s="1330"/>
      <c r="L910" s="1058"/>
      <c r="M910" s="1060"/>
      <c r="N910" s="1333"/>
      <c r="O910" s="1334"/>
      <c r="P910" s="1336"/>
      <c r="Q910" s="1339"/>
      <c r="R910" s="1323"/>
      <c r="S910" s="1338"/>
      <c r="T910" s="1323"/>
      <c r="U910" s="1323"/>
      <c r="V910" s="1323"/>
      <c r="W910" s="1323"/>
      <c r="X910" s="1323"/>
      <c r="Y910" s="1323"/>
      <c r="AA910" s="777">
        <v>1</v>
      </c>
      <c r="AB910" s="778" t="s">
        <v>1128</v>
      </c>
      <c r="AC910" s="236">
        <v>655.82558592763803</v>
      </c>
      <c r="AD910" s="778" t="str">
        <f>AB910</f>
        <v xml:space="preserve">  Прибыль направляемая на инвестиции</v>
      </c>
      <c r="AE910" s="236">
        <v>0</v>
      </c>
      <c r="AF910" s="1331"/>
      <c r="AG910" s="1332"/>
      <c r="AH910" s="1332"/>
      <c r="AI910" s="1331"/>
      <c r="AJ910" s="1332"/>
      <c r="AK910" s="1332"/>
      <c r="AL910" s="771"/>
    </row>
    <row r="911" spans="1:38" ht="11.25" customHeight="1">
      <c r="A911" t="s">
        <v>1021</v>
      </c>
      <c r="E911" s="556"/>
      <c r="F911" s="1326"/>
      <c r="G911" s="1326"/>
      <c r="H911" s="1326"/>
      <c r="I911" s="1326"/>
      <c r="J911" s="1326"/>
      <c r="K911" s="1326"/>
      <c r="L911" s="1326"/>
      <c r="M911" s="1326"/>
      <c r="N911" s="1326"/>
      <c r="O911" s="1326"/>
      <c r="P911" s="1326"/>
      <c r="Q911" s="1326"/>
      <c r="R911" s="1326"/>
      <c r="S911" s="1326"/>
      <c r="T911" s="1326"/>
      <c r="U911" s="1326"/>
      <c r="V911" s="1326"/>
      <c r="W911" s="1326"/>
      <c r="X911" s="1326"/>
      <c r="Y911" s="1326"/>
      <c r="Z911" s="181" t="s">
        <v>103</v>
      </c>
      <c r="AA911" s="779" t="s">
        <v>102</v>
      </c>
      <c r="AB911" s="778" t="s">
        <v>1129</v>
      </c>
      <c r="AC911" s="236">
        <v>3306.1501545522501</v>
      </c>
      <c r="AD911" s="778" t="str">
        <f>AB911</f>
        <v xml:space="preserve">     Прочие амортизационные отчисления</v>
      </c>
      <c r="AE911" s="236">
        <v>0</v>
      </c>
      <c r="AF911" s="1343"/>
      <c r="AG911" s="1344"/>
      <c r="AH911" s="1344"/>
      <c r="AI911" s="1343"/>
      <c r="AJ911" s="1344"/>
      <c r="AK911" s="1345"/>
      <c r="AL911" s="771"/>
    </row>
    <row r="912" spans="1:38" ht="11.25" customHeight="1">
      <c r="A912" t="s">
        <v>1021</v>
      </c>
      <c r="E912" s="556"/>
      <c r="F912" s="1326"/>
      <c r="G912" s="1326"/>
      <c r="H912" s="1326"/>
      <c r="I912" s="1326"/>
      <c r="J912" s="1326"/>
      <c r="K912" s="1326"/>
      <c r="L912" s="1326"/>
      <c r="M912" s="1326"/>
      <c r="N912" s="1326"/>
      <c r="O912" s="1326"/>
      <c r="P912" s="1326"/>
      <c r="Q912" s="1326"/>
      <c r="R912" s="1326"/>
      <c r="S912" s="1326"/>
      <c r="T912" s="1326"/>
      <c r="U912" s="1326"/>
      <c r="V912" s="1326"/>
      <c r="W912" s="1326"/>
      <c r="X912" s="1326"/>
      <c r="Y912" s="1326"/>
      <c r="Z912" s="181" t="s">
        <v>103</v>
      </c>
      <c r="AA912" s="779" t="s">
        <v>89</v>
      </c>
      <c r="AB912" s="778" t="s">
        <v>1063</v>
      </c>
      <c r="AC912" s="236">
        <v>372.16182776188799</v>
      </c>
      <c r="AD912" s="778" t="str">
        <f>AB912</f>
        <v xml:space="preserve">  Кредиты</v>
      </c>
      <c r="AE912" s="236">
        <v>0</v>
      </c>
      <c r="AF912" s="1343"/>
      <c r="AG912" s="1344"/>
      <c r="AH912" s="1344"/>
      <c r="AI912" s="1343"/>
      <c r="AJ912" s="1344"/>
      <c r="AK912" s="1345"/>
      <c r="AL912" s="771"/>
    </row>
    <row r="913" spans="1:38" ht="11.25" customHeight="1">
      <c r="A913" t="s">
        <v>1021</v>
      </c>
      <c r="E913" s="556"/>
      <c r="F913" s="1354"/>
      <c r="G913" s="1326"/>
      <c r="H913" s="1327" t="s">
        <v>387</v>
      </c>
      <c r="I913" s="1328"/>
      <c r="J913" s="1329"/>
      <c r="K913" s="1330"/>
      <c r="L913" s="1058"/>
      <c r="M913" s="1060"/>
      <c r="N913" s="1333"/>
      <c r="O913" s="1334"/>
      <c r="P913" s="1337"/>
      <c r="Q913" s="1339"/>
      <c r="R913" s="1323"/>
      <c r="S913" s="1338"/>
      <c r="T913" s="1323"/>
      <c r="U913" s="1323"/>
      <c r="V913" s="1323"/>
      <c r="W913" s="1323"/>
      <c r="X913" s="1323"/>
      <c r="Y913" s="1323"/>
      <c r="Z913" s="229"/>
      <c r="AA913" s="230"/>
      <c r="AB913" s="44" t="s">
        <v>1064</v>
      </c>
      <c r="AC913" s="231"/>
      <c r="AD913" s="231"/>
      <c r="AE913" s="245"/>
      <c r="AF913" s="1331"/>
      <c r="AG913" s="1332"/>
      <c r="AH913" s="1332"/>
      <c r="AI913" s="1331"/>
      <c r="AJ913" s="1332"/>
      <c r="AK913" s="1332"/>
      <c r="AL913" s="771"/>
    </row>
    <row r="914" spans="1:38" ht="11.25" customHeight="1">
      <c r="A914" t="s">
        <v>1021</v>
      </c>
      <c r="E914" s="556"/>
      <c r="F914" s="1354"/>
      <c r="G914" s="1326"/>
      <c r="H914" s="1327" t="s">
        <v>387</v>
      </c>
      <c r="I914" s="1328"/>
      <c r="J914" s="1329"/>
      <c r="K914" s="1330"/>
      <c r="L914" s="1058"/>
      <c r="M914" s="1060"/>
      <c r="N914" s="229"/>
      <c r="O914" s="230"/>
      <c r="P914" s="44" t="s">
        <v>1065</v>
      </c>
      <c r="Q914" s="230"/>
      <c r="R914" s="230"/>
      <c r="S914" s="230"/>
      <c r="T914" s="230"/>
      <c r="U914" s="230"/>
      <c r="V914" s="230"/>
      <c r="W914" s="230"/>
      <c r="X914" s="230"/>
      <c r="Y914" s="230"/>
      <c r="Z914" s="230"/>
      <c r="AA914" s="230"/>
      <c r="AB914" s="230"/>
      <c r="AC914" s="230"/>
      <c r="AD914" s="230"/>
      <c r="AE914" s="246"/>
      <c r="AF914" s="1331"/>
      <c r="AG914" s="1332"/>
      <c r="AH914" s="1332"/>
      <c r="AI914" s="1331"/>
      <c r="AJ914" s="1332"/>
      <c r="AK914" s="1332"/>
      <c r="AL914" s="771"/>
    </row>
    <row r="915" spans="1:38" ht="11.25" customHeight="1">
      <c r="A915" t="s">
        <v>1021</v>
      </c>
      <c r="B915" t="s">
        <v>1076</v>
      </c>
      <c r="E915" s="556"/>
      <c r="F915" s="1354"/>
      <c r="G915" s="1304" t="s">
        <v>103</v>
      </c>
      <c r="H915" s="1327" t="s">
        <v>102</v>
      </c>
      <c r="I915" s="1328" t="s">
        <v>1077</v>
      </c>
      <c r="J915" s="1341" t="s">
        <v>1078</v>
      </c>
      <c r="K915" s="1330" t="s">
        <v>1084</v>
      </c>
      <c r="L915" s="1058" t="s">
        <v>61</v>
      </c>
      <c r="M915" s="1342" t="s">
        <v>1020</v>
      </c>
      <c r="N915" s="241"/>
      <c r="O915" s="242" t="s">
        <v>387</v>
      </c>
      <c r="P915" s="243"/>
      <c r="Q915" s="243"/>
      <c r="R915" s="243"/>
      <c r="S915" s="243"/>
      <c r="T915" s="243"/>
      <c r="U915" s="243"/>
      <c r="V915" s="243"/>
      <c r="W915" s="243"/>
      <c r="X915" s="243"/>
      <c r="Y915" s="243"/>
      <c r="Z915" s="243"/>
      <c r="AA915" s="243"/>
      <c r="AB915" s="243"/>
      <c r="AC915" s="243"/>
      <c r="AD915" s="243"/>
      <c r="AE915" s="243"/>
      <c r="AF915" s="1331">
        <v>2</v>
      </c>
      <c r="AG915" s="1332" t="s">
        <v>1055</v>
      </c>
      <c r="AH915" s="1332" t="s">
        <v>1085</v>
      </c>
      <c r="AI915" s="1331">
        <v>2</v>
      </c>
      <c r="AJ915" s="1332" t="s">
        <v>1055</v>
      </c>
      <c r="AK915" s="1332" t="s">
        <v>1085</v>
      </c>
      <c r="AL915" s="771"/>
    </row>
    <row r="916" spans="1:38" ht="11.25" customHeight="1">
      <c r="A916" t="s">
        <v>1021</v>
      </c>
      <c r="E916" s="556"/>
      <c r="F916" s="1354"/>
      <c r="G916" s="1326"/>
      <c r="H916" s="1327" t="s">
        <v>114</v>
      </c>
      <c r="I916" s="1328"/>
      <c r="J916" s="1341"/>
      <c r="K916" s="1330"/>
      <c r="L916" s="1058"/>
      <c r="M916" s="1342"/>
      <c r="N916" s="1333"/>
      <c r="O916" s="1334">
        <v>1</v>
      </c>
      <c r="P916" s="1335" t="s">
        <v>19</v>
      </c>
      <c r="Q916" s="1323" t="s">
        <v>22</v>
      </c>
      <c r="R916" s="1323" t="s">
        <v>22</v>
      </c>
      <c r="S916" s="1323" t="s">
        <v>22</v>
      </c>
      <c r="T916" s="1323" t="s">
        <v>22</v>
      </c>
      <c r="U916" s="1323" t="s">
        <v>22</v>
      </c>
      <c r="V916" s="1323" t="s">
        <v>22</v>
      </c>
      <c r="W916" s="1323" t="s">
        <v>22</v>
      </c>
      <c r="X916" s="1323" t="s">
        <v>22</v>
      </c>
      <c r="Y916" s="1323"/>
      <c r="Z916" s="229"/>
      <c r="AA916" s="230"/>
      <c r="AB916" s="230"/>
      <c r="AC916" s="231"/>
      <c r="AD916" s="231"/>
      <c r="AE916" s="244"/>
      <c r="AF916" s="1331"/>
      <c r="AG916" s="1332"/>
      <c r="AH916" s="1332"/>
      <c r="AI916" s="1331"/>
      <c r="AJ916" s="1332"/>
      <c r="AK916" s="1332"/>
      <c r="AL916" s="771"/>
    </row>
    <row r="917" spans="1:38" ht="11.25" customHeight="1">
      <c r="A917" t="s">
        <v>1021</v>
      </c>
      <c r="E917" s="556"/>
      <c r="F917" s="1354"/>
      <c r="G917" s="1326"/>
      <c r="H917" s="1327" t="s">
        <v>114</v>
      </c>
      <c r="I917" s="1328"/>
      <c r="J917" s="1341"/>
      <c r="K917" s="1330"/>
      <c r="L917" s="1058"/>
      <c r="M917" s="1342"/>
      <c r="N917" s="1333"/>
      <c r="O917" s="1334"/>
      <c r="P917" s="1336"/>
      <c r="Q917" s="1323"/>
      <c r="R917" s="1323"/>
      <c r="S917" s="1338"/>
      <c r="T917" s="1323"/>
      <c r="U917" s="1323"/>
      <c r="V917" s="1323"/>
      <c r="W917" s="1323"/>
      <c r="X917" s="1323"/>
      <c r="Y917" s="1323"/>
      <c r="AA917" s="777">
        <v>1</v>
      </c>
      <c r="AB917" s="778" t="s">
        <v>1128</v>
      </c>
      <c r="AC917" s="236">
        <v>11994.4360583912</v>
      </c>
      <c r="AD917" s="778" t="str">
        <f>AB917</f>
        <v xml:space="preserve">  Прибыль направляемая на инвестиции</v>
      </c>
      <c r="AE917" s="236">
        <v>0</v>
      </c>
      <c r="AF917" s="1331"/>
      <c r="AG917" s="1332"/>
      <c r="AH917" s="1332"/>
      <c r="AI917" s="1331"/>
      <c r="AJ917" s="1332"/>
      <c r="AK917" s="1332"/>
      <c r="AL917" s="771"/>
    </row>
    <row r="918" spans="1:38" ht="11.25" customHeight="1">
      <c r="A918" t="s">
        <v>1021</v>
      </c>
      <c r="E918" s="556"/>
      <c r="F918" s="1326"/>
      <c r="G918" s="1326"/>
      <c r="H918" s="1326"/>
      <c r="I918" s="1326"/>
      <c r="J918" s="1326"/>
      <c r="K918" s="1326"/>
      <c r="L918" s="1326"/>
      <c r="M918" s="1346"/>
      <c r="N918" s="1326"/>
      <c r="O918" s="1326"/>
      <c r="P918" s="1326"/>
      <c r="Q918" s="1326"/>
      <c r="R918" s="1326"/>
      <c r="S918" s="1326"/>
      <c r="T918" s="1326"/>
      <c r="U918" s="1326"/>
      <c r="V918" s="1326"/>
      <c r="W918" s="1326"/>
      <c r="X918" s="1326"/>
      <c r="Y918" s="1326"/>
      <c r="Z918" s="181" t="s">
        <v>103</v>
      </c>
      <c r="AA918" s="779" t="s">
        <v>102</v>
      </c>
      <c r="AB918" s="778" t="s">
        <v>1129</v>
      </c>
      <c r="AC918" s="236">
        <v>60466.391490545597</v>
      </c>
      <c r="AD918" s="778" t="str">
        <f>AB918</f>
        <v xml:space="preserve">     Прочие амортизационные отчисления</v>
      </c>
      <c r="AE918" s="236">
        <v>0</v>
      </c>
      <c r="AF918" s="1343"/>
      <c r="AG918" s="1344"/>
      <c r="AH918" s="1344"/>
      <c r="AI918" s="1343"/>
      <c r="AJ918" s="1344"/>
      <c r="AK918" s="1345"/>
      <c r="AL918" s="771"/>
    </row>
    <row r="919" spans="1:38" ht="11.25" customHeight="1">
      <c r="A919" t="s">
        <v>1021</v>
      </c>
      <c r="E919" s="556"/>
      <c r="F919" s="1326"/>
      <c r="G919" s="1326"/>
      <c r="H919" s="1326"/>
      <c r="I919" s="1326"/>
      <c r="J919" s="1326"/>
      <c r="K919" s="1326"/>
      <c r="L919" s="1326"/>
      <c r="M919" s="1346"/>
      <c r="N919" s="1326"/>
      <c r="O919" s="1326"/>
      <c r="P919" s="1326"/>
      <c r="Q919" s="1326"/>
      <c r="R919" s="1326"/>
      <c r="S919" s="1326"/>
      <c r="T919" s="1326"/>
      <c r="U919" s="1326"/>
      <c r="V919" s="1326"/>
      <c r="W919" s="1326"/>
      <c r="X919" s="1326"/>
      <c r="Y919" s="1326"/>
      <c r="Z919" s="181" t="s">
        <v>103</v>
      </c>
      <c r="AA919" s="779" t="s">
        <v>89</v>
      </c>
      <c r="AB919" s="778" t="s">
        <v>1063</v>
      </c>
      <c r="AC919" s="236">
        <v>6806.4914548126198</v>
      </c>
      <c r="AD919" s="778" t="str">
        <f>AB919</f>
        <v xml:space="preserve">  Кредиты</v>
      </c>
      <c r="AE919" s="236">
        <v>0</v>
      </c>
      <c r="AF919" s="1343"/>
      <c r="AG919" s="1344"/>
      <c r="AH919" s="1344"/>
      <c r="AI919" s="1343"/>
      <c r="AJ919" s="1344"/>
      <c r="AK919" s="1345"/>
      <c r="AL919" s="771"/>
    </row>
    <row r="920" spans="1:38" ht="11.25" customHeight="1">
      <c r="A920" t="s">
        <v>1021</v>
      </c>
      <c r="E920" s="556"/>
      <c r="F920" s="1354"/>
      <c r="G920" s="1326"/>
      <c r="H920" s="1327" t="s">
        <v>114</v>
      </c>
      <c r="I920" s="1328"/>
      <c r="J920" s="1341"/>
      <c r="K920" s="1330"/>
      <c r="L920" s="1058"/>
      <c r="M920" s="1342"/>
      <c r="N920" s="1333"/>
      <c r="O920" s="1334"/>
      <c r="P920" s="1337"/>
      <c r="Q920" s="1323"/>
      <c r="R920" s="1323"/>
      <c r="S920" s="1338"/>
      <c r="T920" s="1323"/>
      <c r="U920" s="1323"/>
      <c r="V920" s="1323"/>
      <c r="W920" s="1323"/>
      <c r="X920" s="1323"/>
      <c r="Y920" s="1323"/>
      <c r="Z920" s="229"/>
      <c r="AA920" s="230"/>
      <c r="AB920" s="44" t="s">
        <v>1064</v>
      </c>
      <c r="AC920" s="231"/>
      <c r="AD920" s="231"/>
      <c r="AE920" s="245"/>
      <c r="AF920" s="1331"/>
      <c r="AG920" s="1332"/>
      <c r="AH920" s="1332"/>
      <c r="AI920" s="1331"/>
      <c r="AJ920" s="1332"/>
      <c r="AK920" s="1332"/>
      <c r="AL920" s="771"/>
    </row>
    <row r="921" spans="1:38" ht="11.25" customHeight="1">
      <c r="A921" t="s">
        <v>1021</v>
      </c>
      <c r="E921" s="556"/>
      <c r="F921" s="1354"/>
      <c r="G921" s="1326"/>
      <c r="H921" s="1327" t="s">
        <v>114</v>
      </c>
      <c r="I921" s="1328"/>
      <c r="J921" s="1341"/>
      <c r="K921" s="1330"/>
      <c r="L921" s="1058"/>
      <c r="M921" s="1342"/>
      <c r="N921" s="229"/>
      <c r="O921" s="230"/>
      <c r="P921" s="44" t="s">
        <v>1065</v>
      </c>
      <c r="Q921" s="230"/>
      <c r="R921" s="230"/>
      <c r="S921" s="230"/>
      <c r="T921" s="230"/>
      <c r="U921" s="230"/>
      <c r="V921" s="230"/>
      <c r="W921" s="230"/>
      <c r="X921" s="230"/>
      <c r="Y921" s="230"/>
      <c r="Z921" s="230"/>
      <c r="AA921" s="230"/>
      <c r="AB921" s="230"/>
      <c r="AC921" s="230"/>
      <c r="AD921" s="230"/>
      <c r="AE921" s="246"/>
      <c r="AF921" s="1331"/>
      <c r="AG921" s="1332"/>
      <c r="AH921" s="1332"/>
      <c r="AI921" s="1331"/>
      <c r="AJ921" s="1332"/>
      <c r="AK921" s="1332"/>
      <c r="AL921" s="771"/>
    </row>
    <row r="922" spans="1:38" ht="11.25" customHeight="1">
      <c r="A922" t="s">
        <v>1021</v>
      </c>
      <c r="B922" t="s">
        <v>1076</v>
      </c>
      <c r="E922" s="556"/>
      <c r="F922" s="1354"/>
      <c r="G922" s="1304" t="s">
        <v>103</v>
      </c>
      <c r="H922" s="1327" t="s">
        <v>89</v>
      </c>
      <c r="I922" s="1328" t="s">
        <v>1077</v>
      </c>
      <c r="J922" s="1341" t="s">
        <v>1130</v>
      </c>
      <c r="K922" s="1330" t="s">
        <v>1186</v>
      </c>
      <c r="L922" s="1058" t="s">
        <v>19</v>
      </c>
      <c r="M922" s="1060"/>
      <c r="N922" s="241"/>
      <c r="O922" s="242" t="s">
        <v>387</v>
      </c>
      <c r="P922" s="243"/>
      <c r="Q922" s="243"/>
      <c r="R922" s="243"/>
      <c r="S922" s="243"/>
      <c r="T922" s="243"/>
      <c r="U922" s="243"/>
      <c r="V922" s="243"/>
      <c r="W922" s="243"/>
      <c r="X922" s="243"/>
      <c r="Y922" s="243"/>
      <c r="Z922" s="243"/>
      <c r="AA922" s="243"/>
      <c r="AB922" s="243"/>
      <c r="AC922" s="243"/>
      <c r="AD922" s="243"/>
      <c r="AE922" s="243"/>
      <c r="AF922" s="1331">
        <v>2</v>
      </c>
      <c r="AG922" s="1332" t="s">
        <v>1055</v>
      </c>
      <c r="AH922" s="1332" t="s">
        <v>1085</v>
      </c>
      <c r="AI922" s="1331">
        <v>2</v>
      </c>
      <c r="AJ922" s="1332" t="s">
        <v>1055</v>
      </c>
      <c r="AK922" s="1332" t="s">
        <v>1085</v>
      </c>
      <c r="AL922" s="771"/>
    </row>
    <row r="923" spans="1:38" ht="11.25" customHeight="1">
      <c r="A923" t="s">
        <v>1021</v>
      </c>
      <c r="E923" s="556"/>
      <c r="F923" s="1354"/>
      <c r="G923" s="1326"/>
      <c r="H923" s="1327" t="s">
        <v>102</v>
      </c>
      <c r="I923" s="1328"/>
      <c r="J923" s="1341"/>
      <c r="K923" s="1330"/>
      <c r="L923" s="1058"/>
      <c r="M923" s="1060"/>
      <c r="N923" s="1333"/>
      <c r="O923" s="1334">
        <v>1</v>
      </c>
      <c r="P923" s="1335" t="s">
        <v>19</v>
      </c>
      <c r="Q923" s="1323" t="s">
        <v>22</v>
      </c>
      <c r="R923" s="1323" t="s">
        <v>22</v>
      </c>
      <c r="S923" s="1323" t="s">
        <v>22</v>
      </c>
      <c r="T923" s="1323" t="s">
        <v>22</v>
      </c>
      <c r="U923" s="1323" t="s">
        <v>22</v>
      </c>
      <c r="V923" s="1323" t="s">
        <v>22</v>
      </c>
      <c r="W923" s="1323" t="s">
        <v>22</v>
      </c>
      <c r="X923" s="1323" t="s">
        <v>22</v>
      </c>
      <c r="Y923" s="1323"/>
      <c r="Z923" s="229"/>
      <c r="AA923" s="230"/>
      <c r="AB923" s="230"/>
      <c r="AC923" s="231"/>
      <c r="AD923" s="231"/>
      <c r="AE923" s="244"/>
      <c r="AF923" s="1331"/>
      <c r="AG923" s="1332"/>
      <c r="AH923" s="1332"/>
      <c r="AI923" s="1331"/>
      <c r="AJ923" s="1332"/>
      <c r="AK923" s="1332"/>
      <c r="AL923" s="771"/>
    </row>
    <row r="924" spans="1:38" ht="11.25" customHeight="1">
      <c r="A924" t="s">
        <v>1021</v>
      </c>
      <c r="E924" s="556"/>
      <c r="F924" s="1354"/>
      <c r="G924" s="1326"/>
      <c r="H924" s="1327" t="s">
        <v>102</v>
      </c>
      <c r="I924" s="1328"/>
      <c r="J924" s="1341"/>
      <c r="K924" s="1330"/>
      <c r="L924" s="1058"/>
      <c r="M924" s="1060"/>
      <c r="N924" s="1333"/>
      <c r="O924" s="1334"/>
      <c r="P924" s="1336"/>
      <c r="Q924" s="1323"/>
      <c r="R924" s="1323"/>
      <c r="S924" s="1338"/>
      <c r="T924" s="1323"/>
      <c r="U924" s="1323"/>
      <c r="V924" s="1323"/>
      <c r="W924" s="1323"/>
      <c r="X924" s="1323"/>
      <c r="Y924" s="1323"/>
      <c r="AA924" s="777">
        <v>1</v>
      </c>
      <c r="AB924" s="778" t="s">
        <v>1128</v>
      </c>
      <c r="AC924" s="236">
        <v>252.53477067419601</v>
      </c>
      <c r="AD924" s="778" t="str">
        <f>AB924</f>
        <v xml:space="preserve">  Прибыль направляемая на инвестиции</v>
      </c>
      <c r="AE924" s="236">
        <v>0</v>
      </c>
      <c r="AF924" s="1331"/>
      <c r="AG924" s="1332"/>
      <c r="AH924" s="1332"/>
      <c r="AI924" s="1331"/>
      <c r="AJ924" s="1332"/>
      <c r="AK924" s="1332"/>
      <c r="AL924" s="771"/>
    </row>
    <row r="925" spans="1:38" ht="11.25" customHeight="1">
      <c r="A925" t="s">
        <v>1021</v>
      </c>
      <c r="E925" s="556"/>
      <c r="F925" s="1326"/>
      <c r="G925" s="1326"/>
      <c r="H925" s="1326"/>
      <c r="I925" s="1326"/>
      <c r="J925" s="1326"/>
      <c r="K925" s="1326"/>
      <c r="L925" s="1326"/>
      <c r="M925" s="1326"/>
      <c r="N925" s="1326"/>
      <c r="O925" s="1326"/>
      <c r="P925" s="1326"/>
      <c r="Q925" s="1326"/>
      <c r="R925" s="1326"/>
      <c r="S925" s="1326"/>
      <c r="T925" s="1326"/>
      <c r="U925" s="1326"/>
      <c r="V925" s="1326"/>
      <c r="W925" s="1326"/>
      <c r="X925" s="1326"/>
      <c r="Y925" s="1326"/>
      <c r="Z925" s="181" t="s">
        <v>103</v>
      </c>
      <c r="AA925" s="779" t="s">
        <v>102</v>
      </c>
      <c r="AB925" s="778" t="s">
        <v>1129</v>
      </c>
      <c r="AC925" s="236">
        <v>1273.079137212</v>
      </c>
      <c r="AD925" s="778" t="str">
        <f>AB925</f>
        <v xml:space="preserve">     Прочие амортизационные отчисления</v>
      </c>
      <c r="AE925" s="236">
        <v>0</v>
      </c>
      <c r="AF925" s="1343"/>
      <c r="AG925" s="1344"/>
      <c r="AH925" s="1344"/>
      <c r="AI925" s="1343"/>
      <c r="AJ925" s="1344"/>
      <c r="AK925" s="1345"/>
      <c r="AL925" s="771"/>
    </row>
    <row r="926" spans="1:38" ht="11.25" customHeight="1">
      <c r="A926" t="s">
        <v>1021</v>
      </c>
      <c r="E926" s="556"/>
      <c r="F926" s="1326"/>
      <c r="G926" s="1326"/>
      <c r="H926" s="1326"/>
      <c r="I926" s="1326"/>
      <c r="J926" s="1326"/>
      <c r="K926" s="1326"/>
      <c r="L926" s="1326"/>
      <c r="M926" s="1326"/>
      <c r="N926" s="1326"/>
      <c r="O926" s="1326"/>
      <c r="P926" s="1326"/>
      <c r="Q926" s="1326"/>
      <c r="R926" s="1326"/>
      <c r="S926" s="1326"/>
      <c r="T926" s="1326"/>
      <c r="U926" s="1326"/>
      <c r="V926" s="1326"/>
      <c r="W926" s="1326"/>
      <c r="X926" s="1326"/>
      <c r="Y926" s="1326"/>
      <c r="Z926" s="181" t="s">
        <v>103</v>
      </c>
      <c r="AA926" s="779" t="s">
        <v>89</v>
      </c>
      <c r="AB926" s="778" t="s">
        <v>1063</v>
      </c>
      <c r="AC926" s="236">
        <v>143.30609211380801</v>
      </c>
      <c r="AD926" s="778" t="str">
        <f>AB926</f>
        <v xml:space="preserve">  Кредиты</v>
      </c>
      <c r="AE926" s="236">
        <v>0</v>
      </c>
      <c r="AF926" s="1343"/>
      <c r="AG926" s="1344"/>
      <c r="AH926" s="1344"/>
      <c r="AI926" s="1343"/>
      <c r="AJ926" s="1344"/>
      <c r="AK926" s="1345"/>
      <c r="AL926" s="771"/>
    </row>
    <row r="927" spans="1:38" ht="11.25" customHeight="1">
      <c r="A927" t="s">
        <v>1021</v>
      </c>
      <c r="E927" s="556"/>
      <c r="F927" s="1354"/>
      <c r="G927" s="1326"/>
      <c r="H927" s="1327" t="s">
        <v>102</v>
      </c>
      <c r="I927" s="1328"/>
      <c r="J927" s="1341"/>
      <c r="K927" s="1330"/>
      <c r="L927" s="1058"/>
      <c r="M927" s="1060"/>
      <c r="N927" s="1333"/>
      <c r="O927" s="1334"/>
      <c r="P927" s="1337"/>
      <c r="Q927" s="1323"/>
      <c r="R927" s="1323"/>
      <c r="S927" s="1338"/>
      <c r="T927" s="1323"/>
      <c r="U927" s="1323"/>
      <c r="V927" s="1323"/>
      <c r="W927" s="1323"/>
      <c r="X927" s="1323"/>
      <c r="Y927" s="1323"/>
      <c r="Z927" s="229"/>
      <c r="AA927" s="230"/>
      <c r="AB927" s="44" t="s">
        <v>1064</v>
      </c>
      <c r="AC927" s="231"/>
      <c r="AD927" s="231"/>
      <c r="AE927" s="245"/>
      <c r="AF927" s="1331"/>
      <c r="AG927" s="1332"/>
      <c r="AH927" s="1332"/>
      <c r="AI927" s="1331"/>
      <c r="AJ927" s="1332"/>
      <c r="AK927" s="1332"/>
      <c r="AL927" s="771"/>
    </row>
    <row r="928" spans="1:38" ht="11.25" customHeight="1">
      <c r="A928" t="s">
        <v>1021</v>
      </c>
      <c r="E928" s="556"/>
      <c r="F928" s="1354"/>
      <c r="G928" s="1326"/>
      <c r="H928" s="1327" t="s">
        <v>102</v>
      </c>
      <c r="I928" s="1328"/>
      <c r="J928" s="1341"/>
      <c r="K928" s="1330"/>
      <c r="L928" s="1058"/>
      <c r="M928" s="1060"/>
      <c r="N928" s="229"/>
      <c r="O928" s="230"/>
      <c r="P928" s="44" t="s">
        <v>1065</v>
      </c>
      <c r="Q928" s="230"/>
      <c r="R928" s="230"/>
      <c r="S928" s="230"/>
      <c r="T928" s="230"/>
      <c r="U928" s="230"/>
      <c r="V928" s="230"/>
      <c r="W928" s="230"/>
      <c r="X928" s="230"/>
      <c r="Y928" s="230"/>
      <c r="Z928" s="230"/>
      <c r="AA928" s="230"/>
      <c r="AB928" s="230"/>
      <c r="AC928" s="230"/>
      <c r="AD928" s="230"/>
      <c r="AE928" s="246"/>
      <c r="AF928" s="1331"/>
      <c r="AG928" s="1332"/>
      <c r="AH928" s="1332"/>
      <c r="AI928" s="1331"/>
      <c r="AJ928" s="1332"/>
      <c r="AK928" s="1332"/>
      <c r="AL928" s="771"/>
    </row>
    <row r="929" spans="1:38" ht="11.25" customHeight="1">
      <c r="A929" t="s">
        <v>1021</v>
      </c>
      <c r="B929" t="s">
        <v>1076</v>
      </c>
      <c r="E929" s="556"/>
      <c r="F929" s="1354"/>
      <c r="G929" s="1304" t="s">
        <v>103</v>
      </c>
      <c r="H929" s="1327" t="s">
        <v>90</v>
      </c>
      <c r="I929" s="1328" t="s">
        <v>1077</v>
      </c>
      <c r="J929" s="1341" t="s">
        <v>1130</v>
      </c>
      <c r="K929" s="1330" t="s">
        <v>1182</v>
      </c>
      <c r="L929" s="1058" t="s">
        <v>19</v>
      </c>
      <c r="M929" s="1060"/>
      <c r="N929" s="241"/>
      <c r="O929" s="242" t="s">
        <v>387</v>
      </c>
      <c r="P929" s="243"/>
      <c r="Q929" s="243"/>
      <c r="R929" s="243"/>
      <c r="S929" s="243"/>
      <c r="T929" s="243"/>
      <c r="U929" s="243"/>
      <c r="V929" s="243"/>
      <c r="W929" s="243"/>
      <c r="X929" s="243"/>
      <c r="Y929" s="243"/>
      <c r="Z929" s="243"/>
      <c r="AA929" s="243"/>
      <c r="AB929" s="243"/>
      <c r="AC929" s="243"/>
      <c r="AD929" s="243"/>
      <c r="AE929" s="243"/>
      <c r="AF929" s="1331">
        <v>1</v>
      </c>
      <c r="AG929" s="1332" t="s">
        <v>1055</v>
      </c>
      <c r="AH929" s="1332" t="s">
        <v>1109</v>
      </c>
      <c r="AI929" s="1331">
        <v>1</v>
      </c>
      <c r="AJ929" s="1332" t="s">
        <v>1055</v>
      </c>
      <c r="AK929" s="1332" t="s">
        <v>1109</v>
      </c>
      <c r="AL929" s="771"/>
    </row>
    <row r="930" spans="1:38" ht="11.25" customHeight="1">
      <c r="A930" t="s">
        <v>1021</v>
      </c>
      <c r="E930" s="556"/>
      <c r="F930" s="1354"/>
      <c r="G930" s="1326"/>
      <c r="H930" s="1327" t="s">
        <v>89</v>
      </c>
      <c r="I930" s="1328"/>
      <c r="J930" s="1341"/>
      <c r="K930" s="1330"/>
      <c r="L930" s="1058"/>
      <c r="M930" s="1060"/>
      <c r="N930" s="1333"/>
      <c r="O930" s="1334">
        <v>1</v>
      </c>
      <c r="P930" s="1335" t="s">
        <v>19</v>
      </c>
      <c r="Q930" s="1323" t="s">
        <v>22</v>
      </c>
      <c r="R930" s="1323" t="s">
        <v>22</v>
      </c>
      <c r="S930" s="1323" t="s">
        <v>22</v>
      </c>
      <c r="T930" s="1323" t="s">
        <v>22</v>
      </c>
      <c r="U930" s="1323" t="s">
        <v>22</v>
      </c>
      <c r="V930" s="1323" t="s">
        <v>22</v>
      </c>
      <c r="W930" s="1323" t="s">
        <v>22</v>
      </c>
      <c r="X930" s="1323" t="s">
        <v>22</v>
      </c>
      <c r="Y930" s="1323"/>
      <c r="Z930" s="229"/>
      <c r="AA930" s="230"/>
      <c r="AB930" s="230"/>
      <c r="AC930" s="231"/>
      <c r="AD930" s="231"/>
      <c r="AE930" s="244"/>
      <c r="AF930" s="1331"/>
      <c r="AG930" s="1332"/>
      <c r="AH930" s="1332"/>
      <c r="AI930" s="1331"/>
      <c r="AJ930" s="1332"/>
      <c r="AK930" s="1332"/>
      <c r="AL930" s="771"/>
    </row>
    <row r="931" spans="1:38" ht="11.25" customHeight="1">
      <c r="A931" t="s">
        <v>1021</v>
      </c>
      <c r="E931" s="556"/>
      <c r="F931" s="1354"/>
      <c r="G931" s="1326"/>
      <c r="H931" s="1327" t="s">
        <v>89</v>
      </c>
      <c r="I931" s="1328"/>
      <c r="J931" s="1341"/>
      <c r="K931" s="1330"/>
      <c r="L931" s="1058"/>
      <c r="M931" s="1060"/>
      <c r="N931" s="1333"/>
      <c r="O931" s="1334"/>
      <c r="P931" s="1336"/>
      <c r="Q931" s="1323"/>
      <c r="R931" s="1323"/>
      <c r="S931" s="1338"/>
      <c r="T931" s="1323"/>
      <c r="U931" s="1323"/>
      <c r="V931" s="1323"/>
      <c r="W931" s="1323"/>
      <c r="X931" s="1323"/>
      <c r="Y931" s="1323"/>
      <c r="AA931" s="777">
        <v>1</v>
      </c>
      <c r="AB931" s="778" t="s">
        <v>1128</v>
      </c>
      <c r="AC931" s="236">
        <v>8155.6924370708302</v>
      </c>
      <c r="AD931" s="778" t="str">
        <f>AB931</f>
        <v xml:space="preserve">  Прибыль направляемая на инвестиции</v>
      </c>
      <c r="AE931" s="236">
        <v>0</v>
      </c>
      <c r="AF931" s="1331"/>
      <c r="AG931" s="1332"/>
      <c r="AH931" s="1332"/>
      <c r="AI931" s="1331"/>
      <c r="AJ931" s="1332"/>
      <c r="AK931" s="1332"/>
      <c r="AL931" s="771"/>
    </row>
    <row r="932" spans="1:38" ht="11.25" customHeight="1">
      <c r="A932" t="s">
        <v>1021</v>
      </c>
      <c r="E932" s="556"/>
      <c r="F932" s="1326"/>
      <c r="G932" s="1326"/>
      <c r="H932" s="1326"/>
      <c r="I932" s="1326"/>
      <c r="J932" s="1326"/>
      <c r="K932" s="1326"/>
      <c r="L932" s="1326"/>
      <c r="M932" s="1326"/>
      <c r="N932" s="1326"/>
      <c r="O932" s="1326"/>
      <c r="P932" s="1326"/>
      <c r="Q932" s="1326"/>
      <c r="R932" s="1326"/>
      <c r="S932" s="1326"/>
      <c r="T932" s="1326"/>
      <c r="U932" s="1326"/>
      <c r="V932" s="1326"/>
      <c r="W932" s="1326"/>
      <c r="X932" s="1326"/>
      <c r="Y932" s="1326"/>
      <c r="Z932" s="181" t="s">
        <v>103</v>
      </c>
      <c r="AA932" s="779" t="s">
        <v>102</v>
      </c>
      <c r="AB932" s="778" t="s">
        <v>1129</v>
      </c>
      <c r="AC932" s="236">
        <v>41114.504206423997</v>
      </c>
      <c r="AD932" s="778" t="str">
        <f>AB932</f>
        <v xml:space="preserve">     Прочие амортизационные отчисления</v>
      </c>
      <c r="AE932" s="236">
        <v>0</v>
      </c>
      <c r="AF932" s="1343"/>
      <c r="AG932" s="1344"/>
      <c r="AH932" s="1344"/>
      <c r="AI932" s="1343"/>
      <c r="AJ932" s="1344"/>
      <c r="AK932" s="1345"/>
      <c r="AL932" s="771"/>
    </row>
    <row r="933" spans="1:38" ht="11.25" customHeight="1">
      <c r="A933" t="s">
        <v>1021</v>
      </c>
      <c r="E933" s="556"/>
      <c r="F933" s="1326"/>
      <c r="G933" s="1326"/>
      <c r="H933" s="1326"/>
      <c r="I933" s="1326"/>
      <c r="J933" s="1326"/>
      <c r="K933" s="1326"/>
      <c r="L933" s="1326"/>
      <c r="M933" s="1326"/>
      <c r="N933" s="1326"/>
      <c r="O933" s="1326"/>
      <c r="P933" s="1326"/>
      <c r="Q933" s="1326"/>
      <c r="R933" s="1326"/>
      <c r="S933" s="1326"/>
      <c r="T933" s="1326"/>
      <c r="U933" s="1326"/>
      <c r="V933" s="1326"/>
      <c r="W933" s="1326"/>
      <c r="X933" s="1326"/>
      <c r="Y933" s="1326"/>
      <c r="Z933" s="181" t="s">
        <v>103</v>
      </c>
      <c r="AA933" s="779" t="s">
        <v>89</v>
      </c>
      <c r="AB933" s="778" t="s">
        <v>1063</v>
      </c>
      <c r="AC933" s="236">
        <v>4628.1167877140197</v>
      </c>
      <c r="AD933" s="778" t="str">
        <f>AB933</f>
        <v xml:space="preserve">  Кредиты</v>
      </c>
      <c r="AE933" s="236">
        <v>0</v>
      </c>
      <c r="AF933" s="1343"/>
      <c r="AG933" s="1344"/>
      <c r="AH933" s="1344"/>
      <c r="AI933" s="1343"/>
      <c r="AJ933" s="1344"/>
      <c r="AK933" s="1345"/>
      <c r="AL933" s="771"/>
    </row>
    <row r="934" spans="1:38" ht="11.25" customHeight="1">
      <c r="A934" t="s">
        <v>1021</v>
      </c>
      <c r="E934" s="556"/>
      <c r="F934" s="1354"/>
      <c r="G934" s="1326"/>
      <c r="H934" s="1327" t="s">
        <v>89</v>
      </c>
      <c r="I934" s="1328"/>
      <c r="J934" s="1341"/>
      <c r="K934" s="1330"/>
      <c r="L934" s="1058"/>
      <c r="M934" s="1060"/>
      <c r="N934" s="1333"/>
      <c r="O934" s="1334"/>
      <c r="P934" s="1337"/>
      <c r="Q934" s="1323"/>
      <c r="R934" s="1323"/>
      <c r="S934" s="1338"/>
      <c r="T934" s="1323"/>
      <c r="U934" s="1323"/>
      <c r="V934" s="1323"/>
      <c r="W934" s="1323"/>
      <c r="X934" s="1323"/>
      <c r="Y934" s="1323"/>
      <c r="Z934" s="229"/>
      <c r="AA934" s="230"/>
      <c r="AB934" s="44" t="s">
        <v>1064</v>
      </c>
      <c r="AC934" s="231"/>
      <c r="AD934" s="231"/>
      <c r="AE934" s="245"/>
      <c r="AF934" s="1331"/>
      <c r="AG934" s="1332"/>
      <c r="AH934" s="1332"/>
      <c r="AI934" s="1331"/>
      <c r="AJ934" s="1332"/>
      <c r="AK934" s="1332"/>
      <c r="AL934" s="771"/>
    </row>
    <row r="935" spans="1:38" ht="11.25" customHeight="1">
      <c r="A935" t="s">
        <v>1021</v>
      </c>
      <c r="E935" s="556"/>
      <c r="F935" s="1354"/>
      <c r="G935" s="1326"/>
      <c r="H935" s="1327" t="s">
        <v>89</v>
      </c>
      <c r="I935" s="1328"/>
      <c r="J935" s="1341"/>
      <c r="K935" s="1330"/>
      <c r="L935" s="1058"/>
      <c r="M935" s="1060"/>
      <c r="N935" s="229"/>
      <c r="O935" s="230"/>
      <c r="P935" s="44" t="s">
        <v>1065</v>
      </c>
      <c r="Q935" s="230"/>
      <c r="R935" s="230"/>
      <c r="S935" s="230"/>
      <c r="T935" s="230"/>
      <c r="U935" s="230"/>
      <c r="V935" s="230"/>
      <c r="W935" s="230"/>
      <c r="X935" s="230"/>
      <c r="Y935" s="230"/>
      <c r="Z935" s="230"/>
      <c r="AA935" s="230"/>
      <c r="AB935" s="230"/>
      <c r="AC935" s="230"/>
      <c r="AD935" s="230"/>
      <c r="AE935" s="246"/>
      <c r="AF935" s="1331"/>
      <c r="AG935" s="1332"/>
      <c r="AH935" s="1332"/>
      <c r="AI935" s="1331"/>
      <c r="AJ935" s="1332"/>
      <c r="AK935" s="1332"/>
      <c r="AL935" s="771"/>
    </row>
    <row r="936" spans="1:38" ht="11.25" customHeight="1">
      <c r="A936" t="s">
        <v>1021</v>
      </c>
      <c r="B936" t="s">
        <v>1076</v>
      </c>
      <c r="E936" s="556"/>
      <c r="F936" s="1354"/>
      <c r="G936" s="1304" t="s">
        <v>103</v>
      </c>
      <c r="H936" s="1327" t="s">
        <v>115</v>
      </c>
      <c r="I936" s="1328" t="s">
        <v>1077</v>
      </c>
      <c r="J936" s="1341" t="s">
        <v>1078</v>
      </c>
      <c r="K936" s="1330" t="s">
        <v>1108</v>
      </c>
      <c r="L936" s="1058" t="s">
        <v>61</v>
      </c>
      <c r="M936" s="1342" t="s">
        <v>1020</v>
      </c>
      <c r="N936" s="241"/>
      <c r="O936" s="242" t="s">
        <v>387</v>
      </c>
      <c r="P936" s="243"/>
      <c r="Q936" s="243"/>
      <c r="R936" s="243"/>
      <c r="S936" s="243"/>
      <c r="T936" s="243"/>
      <c r="U936" s="243"/>
      <c r="V936" s="243"/>
      <c r="W936" s="243"/>
      <c r="X936" s="243"/>
      <c r="Y936" s="243"/>
      <c r="Z936" s="243"/>
      <c r="AA936" s="243"/>
      <c r="AB936" s="243"/>
      <c r="AC936" s="243"/>
      <c r="AD936" s="243"/>
      <c r="AE936" s="243"/>
      <c r="AF936" s="1331">
        <v>1</v>
      </c>
      <c r="AG936" s="1332" t="s">
        <v>1055</v>
      </c>
      <c r="AH936" s="1332" t="s">
        <v>1109</v>
      </c>
      <c r="AI936" s="1331">
        <v>1</v>
      </c>
      <c r="AJ936" s="1332" t="s">
        <v>1055</v>
      </c>
      <c r="AK936" s="1332" t="s">
        <v>1109</v>
      </c>
      <c r="AL936" s="771"/>
    </row>
    <row r="937" spans="1:38" ht="11.25" customHeight="1">
      <c r="A937" t="s">
        <v>1021</v>
      </c>
      <c r="E937" s="556"/>
      <c r="F937" s="1354"/>
      <c r="G937" s="1326"/>
      <c r="H937" s="1327" t="s">
        <v>90</v>
      </c>
      <c r="I937" s="1328"/>
      <c r="J937" s="1341"/>
      <c r="K937" s="1330"/>
      <c r="L937" s="1058"/>
      <c r="M937" s="1342"/>
      <c r="N937" s="1333"/>
      <c r="O937" s="1334">
        <v>1</v>
      </c>
      <c r="P937" s="1335" t="s">
        <v>19</v>
      </c>
      <c r="Q937" s="1323" t="s">
        <v>22</v>
      </c>
      <c r="R937" s="1323" t="s">
        <v>22</v>
      </c>
      <c r="S937" s="1323" t="s">
        <v>22</v>
      </c>
      <c r="T937" s="1323" t="s">
        <v>22</v>
      </c>
      <c r="U937" s="1323" t="s">
        <v>22</v>
      </c>
      <c r="V937" s="1323" t="s">
        <v>22</v>
      </c>
      <c r="W937" s="1323" t="s">
        <v>22</v>
      </c>
      <c r="X937" s="1323" t="s">
        <v>22</v>
      </c>
      <c r="Y937" s="1323"/>
      <c r="Z937" s="229"/>
      <c r="AA937" s="230"/>
      <c r="AB937" s="230"/>
      <c r="AC937" s="231"/>
      <c r="AD937" s="231"/>
      <c r="AE937" s="244"/>
      <c r="AF937" s="1331"/>
      <c r="AG937" s="1332"/>
      <c r="AH937" s="1332"/>
      <c r="AI937" s="1331"/>
      <c r="AJ937" s="1332"/>
      <c r="AK937" s="1332"/>
      <c r="AL937" s="771"/>
    </row>
    <row r="938" spans="1:38" ht="11.25" customHeight="1">
      <c r="A938" t="s">
        <v>1021</v>
      </c>
      <c r="E938" s="556"/>
      <c r="F938" s="1354"/>
      <c r="G938" s="1326"/>
      <c r="H938" s="1327" t="s">
        <v>90</v>
      </c>
      <c r="I938" s="1328"/>
      <c r="J938" s="1341"/>
      <c r="K938" s="1330"/>
      <c r="L938" s="1058"/>
      <c r="M938" s="1342"/>
      <c r="N938" s="1333"/>
      <c r="O938" s="1334"/>
      <c r="P938" s="1336"/>
      <c r="Q938" s="1323"/>
      <c r="R938" s="1323"/>
      <c r="S938" s="1338"/>
      <c r="T938" s="1323"/>
      <c r="U938" s="1323"/>
      <c r="V938" s="1323"/>
      <c r="W938" s="1323"/>
      <c r="X938" s="1323"/>
      <c r="Y938" s="1323"/>
      <c r="AA938" s="777">
        <v>1</v>
      </c>
      <c r="AB938" s="778" t="s">
        <v>1128</v>
      </c>
      <c r="AC938" s="236">
        <v>6598.7699400685997</v>
      </c>
      <c r="AD938" s="778" t="str">
        <f>AB938</f>
        <v xml:space="preserve">  Прибыль направляемая на инвестиции</v>
      </c>
      <c r="AE938" s="236">
        <v>0</v>
      </c>
      <c r="AF938" s="1331"/>
      <c r="AG938" s="1332"/>
      <c r="AH938" s="1332"/>
      <c r="AI938" s="1331"/>
      <c r="AJ938" s="1332"/>
      <c r="AK938" s="1332"/>
      <c r="AL938" s="771"/>
    </row>
    <row r="939" spans="1:38" ht="11.25" customHeight="1">
      <c r="A939" t="s">
        <v>1021</v>
      </c>
      <c r="E939" s="556"/>
      <c r="F939" s="1326"/>
      <c r="G939" s="1326"/>
      <c r="H939" s="1326"/>
      <c r="I939" s="1326"/>
      <c r="J939" s="1326"/>
      <c r="K939" s="1326"/>
      <c r="L939" s="1326"/>
      <c r="M939" s="1346"/>
      <c r="N939" s="1326"/>
      <c r="O939" s="1326"/>
      <c r="P939" s="1326"/>
      <c r="Q939" s="1326"/>
      <c r="R939" s="1326"/>
      <c r="S939" s="1326"/>
      <c r="T939" s="1326"/>
      <c r="U939" s="1326"/>
      <c r="V939" s="1326"/>
      <c r="W939" s="1326"/>
      <c r="X939" s="1326"/>
      <c r="Y939" s="1326"/>
      <c r="Z939" s="181" t="s">
        <v>103</v>
      </c>
      <c r="AA939" s="779" t="s">
        <v>102</v>
      </c>
      <c r="AB939" s="778" t="s">
        <v>1129</v>
      </c>
      <c r="AC939" s="236">
        <v>33265.741266184297</v>
      </c>
      <c r="AD939" s="778" t="str">
        <f>AB939</f>
        <v xml:space="preserve">     Прочие амортизационные отчисления</v>
      </c>
      <c r="AE939" s="236">
        <v>0</v>
      </c>
      <c r="AF939" s="1343"/>
      <c r="AG939" s="1344"/>
      <c r="AH939" s="1344"/>
      <c r="AI939" s="1343"/>
      <c r="AJ939" s="1344"/>
      <c r="AK939" s="1345"/>
      <c r="AL939" s="771"/>
    </row>
    <row r="940" spans="1:38" ht="11.25" customHeight="1">
      <c r="A940" t="s">
        <v>1021</v>
      </c>
      <c r="E940" s="556"/>
      <c r="F940" s="1326"/>
      <c r="G940" s="1326"/>
      <c r="H940" s="1326"/>
      <c r="I940" s="1326"/>
      <c r="J940" s="1326"/>
      <c r="K940" s="1326"/>
      <c r="L940" s="1326"/>
      <c r="M940" s="1346"/>
      <c r="N940" s="1326"/>
      <c r="O940" s="1326"/>
      <c r="P940" s="1326"/>
      <c r="Q940" s="1326"/>
      <c r="R940" s="1326"/>
      <c r="S940" s="1326"/>
      <c r="T940" s="1326"/>
      <c r="U940" s="1326"/>
      <c r="V940" s="1326"/>
      <c r="W940" s="1326"/>
      <c r="X940" s="1326"/>
      <c r="Y940" s="1326"/>
      <c r="Z940" s="181" t="s">
        <v>103</v>
      </c>
      <c r="AA940" s="779" t="s">
        <v>89</v>
      </c>
      <c r="AB940" s="778" t="s">
        <v>1063</v>
      </c>
      <c r="AC940" s="236">
        <v>3744.6088328537699</v>
      </c>
      <c r="AD940" s="778" t="str">
        <f>AB940</f>
        <v xml:space="preserve">  Кредиты</v>
      </c>
      <c r="AE940" s="236">
        <v>0</v>
      </c>
      <c r="AF940" s="1343"/>
      <c r="AG940" s="1344"/>
      <c r="AH940" s="1344"/>
      <c r="AI940" s="1343"/>
      <c r="AJ940" s="1344"/>
      <c r="AK940" s="1345"/>
      <c r="AL940" s="771"/>
    </row>
    <row r="941" spans="1:38" ht="11.25" customHeight="1">
      <c r="A941" t="s">
        <v>1021</v>
      </c>
      <c r="E941" s="556"/>
      <c r="F941" s="1354"/>
      <c r="G941" s="1326"/>
      <c r="H941" s="1327" t="s">
        <v>90</v>
      </c>
      <c r="I941" s="1328"/>
      <c r="J941" s="1341"/>
      <c r="K941" s="1330"/>
      <c r="L941" s="1058"/>
      <c r="M941" s="1342"/>
      <c r="N941" s="1333"/>
      <c r="O941" s="1334"/>
      <c r="P941" s="1337"/>
      <c r="Q941" s="1323"/>
      <c r="R941" s="1323"/>
      <c r="S941" s="1338"/>
      <c r="T941" s="1323"/>
      <c r="U941" s="1323"/>
      <c r="V941" s="1323"/>
      <c r="W941" s="1323"/>
      <c r="X941" s="1323"/>
      <c r="Y941" s="1323"/>
      <c r="Z941" s="229"/>
      <c r="AA941" s="230"/>
      <c r="AB941" s="44" t="s">
        <v>1064</v>
      </c>
      <c r="AC941" s="231"/>
      <c r="AD941" s="231"/>
      <c r="AE941" s="245"/>
      <c r="AF941" s="1331"/>
      <c r="AG941" s="1332"/>
      <c r="AH941" s="1332"/>
      <c r="AI941" s="1331"/>
      <c r="AJ941" s="1332"/>
      <c r="AK941" s="1332"/>
      <c r="AL941" s="771"/>
    </row>
    <row r="942" spans="1:38" ht="11.25" customHeight="1">
      <c r="A942" t="s">
        <v>1021</v>
      </c>
      <c r="E942" s="556"/>
      <c r="F942" s="1354"/>
      <c r="G942" s="1326"/>
      <c r="H942" s="1327" t="s">
        <v>90</v>
      </c>
      <c r="I942" s="1328"/>
      <c r="J942" s="1341"/>
      <c r="K942" s="1330"/>
      <c r="L942" s="1058"/>
      <c r="M942" s="1342"/>
      <c r="N942" s="229"/>
      <c r="O942" s="230"/>
      <c r="P942" s="44" t="s">
        <v>1065</v>
      </c>
      <c r="Q942" s="230"/>
      <c r="R942" s="230"/>
      <c r="S942" s="230"/>
      <c r="T942" s="230"/>
      <c r="U942" s="230"/>
      <c r="V942" s="230"/>
      <c r="W942" s="230"/>
      <c r="X942" s="230"/>
      <c r="Y942" s="230"/>
      <c r="Z942" s="230"/>
      <c r="AA942" s="230"/>
      <c r="AB942" s="230"/>
      <c r="AC942" s="230"/>
      <c r="AD942" s="230"/>
      <c r="AE942" s="246"/>
      <c r="AF942" s="1331"/>
      <c r="AG942" s="1332"/>
      <c r="AH942" s="1332"/>
      <c r="AI942" s="1331"/>
      <c r="AJ942" s="1332"/>
      <c r="AK942" s="1332"/>
      <c r="AL942" s="771"/>
    </row>
    <row r="943" spans="1:38" ht="11.25" customHeight="1">
      <c r="A943" t="s">
        <v>1021</v>
      </c>
      <c r="B943" t="s">
        <v>22</v>
      </c>
      <c r="E943" s="556"/>
      <c r="F943" s="1354"/>
      <c r="G943" s="1304" t="s">
        <v>103</v>
      </c>
      <c r="H943" s="1327" t="s">
        <v>91</v>
      </c>
      <c r="I943" s="1328" t="s">
        <v>1080</v>
      </c>
      <c r="J943" s="1329" t="s">
        <v>22</v>
      </c>
      <c r="K943" s="1330" t="s">
        <v>1187</v>
      </c>
      <c r="L943" s="1058" t="s">
        <v>19</v>
      </c>
      <c r="M943" s="1060"/>
      <c r="N943" s="241"/>
      <c r="O943" s="242" t="s">
        <v>387</v>
      </c>
      <c r="P943" s="243"/>
      <c r="Q943" s="243"/>
      <c r="R943" s="243"/>
      <c r="S943" s="243"/>
      <c r="T943" s="243"/>
      <c r="U943" s="243"/>
      <c r="V943" s="243"/>
      <c r="W943" s="243"/>
      <c r="X943" s="243"/>
      <c r="Y943" s="243"/>
      <c r="Z943" s="243"/>
      <c r="AA943" s="243"/>
      <c r="AB943" s="243"/>
      <c r="AC943" s="243"/>
      <c r="AD943" s="243"/>
      <c r="AE943" s="243"/>
      <c r="AF943" s="1331">
        <v>1</v>
      </c>
      <c r="AG943" s="1332" t="s">
        <v>1055</v>
      </c>
      <c r="AH943" s="1332" t="s">
        <v>1109</v>
      </c>
      <c r="AI943" s="1331">
        <v>1</v>
      </c>
      <c r="AJ943" s="1332" t="s">
        <v>1055</v>
      </c>
      <c r="AK943" s="1332" t="s">
        <v>1109</v>
      </c>
      <c r="AL943" s="771"/>
    </row>
    <row r="944" spans="1:38" ht="11.25" customHeight="1">
      <c r="A944" t="s">
        <v>1021</v>
      </c>
      <c r="E944" s="556"/>
      <c r="F944" s="1354"/>
      <c r="G944" s="1326"/>
      <c r="H944" s="1327" t="s">
        <v>115</v>
      </c>
      <c r="I944" s="1328"/>
      <c r="J944" s="1329"/>
      <c r="K944" s="1330"/>
      <c r="L944" s="1058"/>
      <c r="M944" s="1060"/>
      <c r="N944" s="1333"/>
      <c r="O944" s="1334">
        <v>1</v>
      </c>
      <c r="P944" s="1335" t="s">
        <v>19</v>
      </c>
      <c r="Q944" s="1323" t="s">
        <v>22</v>
      </c>
      <c r="R944" s="1323" t="s">
        <v>22</v>
      </c>
      <c r="S944" s="1323" t="s">
        <v>22</v>
      </c>
      <c r="T944" s="1323" t="s">
        <v>22</v>
      </c>
      <c r="U944" s="1323" t="s">
        <v>22</v>
      </c>
      <c r="V944" s="1323" t="s">
        <v>22</v>
      </c>
      <c r="W944" s="1323" t="s">
        <v>22</v>
      </c>
      <c r="X944" s="1323" t="s">
        <v>22</v>
      </c>
      <c r="Y944" s="1323"/>
      <c r="Z944" s="229"/>
      <c r="AA944" s="230"/>
      <c r="AB944" s="230"/>
      <c r="AC944" s="231"/>
      <c r="AD944" s="231"/>
      <c r="AE944" s="244"/>
      <c r="AF944" s="1331"/>
      <c r="AG944" s="1332"/>
      <c r="AH944" s="1332"/>
      <c r="AI944" s="1331"/>
      <c r="AJ944" s="1332"/>
      <c r="AK944" s="1332"/>
      <c r="AL944" s="771"/>
    </row>
    <row r="945" spans="1:38" ht="11.25" customHeight="1">
      <c r="A945" t="s">
        <v>1021</v>
      </c>
      <c r="E945" s="556"/>
      <c r="F945" s="1354"/>
      <c r="G945" s="1326"/>
      <c r="H945" s="1327" t="s">
        <v>115</v>
      </c>
      <c r="I945" s="1328"/>
      <c r="J945" s="1329"/>
      <c r="K945" s="1330"/>
      <c r="L945" s="1058"/>
      <c r="M945" s="1060"/>
      <c r="N945" s="1333"/>
      <c r="O945" s="1334"/>
      <c r="P945" s="1336"/>
      <c r="Q945" s="1323"/>
      <c r="R945" s="1323"/>
      <c r="S945" s="1338"/>
      <c r="T945" s="1323"/>
      <c r="U945" s="1323"/>
      <c r="V945" s="1323"/>
      <c r="W945" s="1323"/>
      <c r="X945" s="1323"/>
      <c r="Y945" s="1323"/>
      <c r="AA945" s="777">
        <v>1</v>
      </c>
      <c r="AB945" s="778" t="s">
        <v>1128</v>
      </c>
      <c r="AC945" s="236">
        <v>1773.85226068478</v>
      </c>
      <c r="AD945" s="778" t="str">
        <f>AB945</f>
        <v xml:space="preserve">  Прибыль направляемая на инвестиции</v>
      </c>
      <c r="AE945" s="236">
        <v>0</v>
      </c>
      <c r="AF945" s="1331"/>
      <c r="AG945" s="1332"/>
      <c r="AH945" s="1332"/>
      <c r="AI945" s="1331"/>
      <c r="AJ945" s="1332"/>
      <c r="AK945" s="1332"/>
      <c r="AL945" s="771"/>
    </row>
    <row r="946" spans="1:38" ht="11.25" customHeight="1">
      <c r="A946" t="s">
        <v>1021</v>
      </c>
      <c r="E946" s="556"/>
      <c r="F946" s="1326"/>
      <c r="G946" s="1326"/>
      <c r="H946" s="1326"/>
      <c r="I946" s="1326"/>
      <c r="J946" s="1326"/>
      <c r="K946" s="1326"/>
      <c r="L946" s="1326"/>
      <c r="M946" s="1326"/>
      <c r="N946" s="1326"/>
      <c r="O946" s="1326"/>
      <c r="P946" s="1326"/>
      <c r="Q946" s="1326"/>
      <c r="R946" s="1326"/>
      <c r="S946" s="1326"/>
      <c r="T946" s="1326"/>
      <c r="U946" s="1326"/>
      <c r="V946" s="1326"/>
      <c r="W946" s="1326"/>
      <c r="X946" s="1326"/>
      <c r="Y946" s="1326"/>
      <c r="Z946" s="181" t="s">
        <v>103</v>
      </c>
      <c r="AA946" s="779" t="s">
        <v>102</v>
      </c>
      <c r="AB946" s="778" t="s">
        <v>1129</v>
      </c>
      <c r="AC946" s="236">
        <v>8942.3499961816706</v>
      </c>
      <c r="AD946" s="778" t="str">
        <f>AB946</f>
        <v xml:space="preserve">     Прочие амортизационные отчисления</v>
      </c>
      <c r="AE946" s="236">
        <v>0</v>
      </c>
      <c r="AF946" s="1343"/>
      <c r="AG946" s="1344"/>
      <c r="AH946" s="1344"/>
      <c r="AI946" s="1343"/>
      <c r="AJ946" s="1344"/>
      <c r="AK946" s="1345"/>
      <c r="AL946" s="771"/>
    </row>
    <row r="947" spans="1:38" ht="11.25" customHeight="1">
      <c r="A947" t="s">
        <v>1021</v>
      </c>
      <c r="E947" s="556"/>
      <c r="F947" s="1326"/>
      <c r="G947" s="1326"/>
      <c r="H947" s="1326"/>
      <c r="I947" s="1326"/>
      <c r="J947" s="1326"/>
      <c r="K947" s="1326"/>
      <c r="L947" s="1326"/>
      <c r="M947" s="1326"/>
      <c r="N947" s="1326"/>
      <c r="O947" s="1326"/>
      <c r="P947" s="1326"/>
      <c r="Q947" s="1326"/>
      <c r="R947" s="1326"/>
      <c r="S947" s="1326"/>
      <c r="T947" s="1326"/>
      <c r="U947" s="1326"/>
      <c r="V947" s="1326"/>
      <c r="W947" s="1326"/>
      <c r="X947" s="1326"/>
      <c r="Y947" s="1326"/>
      <c r="Z947" s="181" t="s">
        <v>103</v>
      </c>
      <c r="AA947" s="779" t="s">
        <v>89</v>
      </c>
      <c r="AB947" s="778" t="s">
        <v>1063</v>
      </c>
      <c r="AC947" s="236">
        <v>1006.60924746057</v>
      </c>
      <c r="AD947" s="778" t="str">
        <f>AB947</f>
        <v xml:space="preserve">  Кредиты</v>
      </c>
      <c r="AE947" s="236">
        <v>0</v>
      </c>
      <c r="AF947" s="1343"/>
      <c r="AG947" s="1344"/>
      <c r="AH947" s="1344"/>
      <c r="AI947" s="1343"/>
      <c r="AJ947" s="1344"/>
      <c r="AK947" s="1345"/>
      <c r="AL947" s="771"/>
    </row>
    <row r="948" spans="1:38" ht="11.25" customHeight="1">
      <c r="A948" t="s">
        <v>1021</v>
      </c>
      <c r="E948" s="556"/>
      <c r="F948" s="1354"/>
      <c r="G948" s="1326"/>
      <c r="H948" s="1327" t="s">
        <v>115</v>
      </c>
      <c r="I948" s="1328"/>
      <c r="J948" s="1329"/>
      <c r="K948" s="1330"/>
      <c r="L948" s="1058"/>
      <c r="M948" s="1060"/>
      <c r="N948" s="1333"/>
      <c r="O948" s="1334"/>
      <c r="P948" s="1337"/>
      <c r="Q948" s="1323"/>
      <c r="R948" s="1323"/>
      <c r="S948" s="1338"/>
      <c r="T948" s="1323"/>
      <c r="U948" s="1323"/>
      <c r="V948" s="1323"/>
      <c r="W948" s="1323"/>
      <c r="X948" s="1323"/>
      <c r="Y948" s="1323"/>
      <c r="Z948" s="229"/>
      <c r="AA948" s="230"/>
      <c r="AB948" s="44" t="s">
        <v>1064</v>
      </c>
      <c r="AC948" s="231"/>
      <c r="AD948" s="231"/>
      <c r="AE948" s="245"/>
      <c r="AF948" s="1331"/>
      <c r="AG948" s="1332"/>
      <c r="AH948" s="1332"/>
      <c r="AI948" s="1331"/>
      <c r="AJ948" s="1332"/>
      <c r="AK948" s="1332"/>
      <c r="AL948" s="771"/>
    </row>
    <row r="949" spans="1:38" ht="11.25" customHeight="1">
      <c r="A949" t="s">
        <v>1021</v>
      </c>
      <c r="E949" s="556"/>
      <c r="F949" s="1354"/>
      <c r="G949" s="1326"/>
      <c r="H949" s="1327" t="s">
        <v>115</v>
      </c>
      <c r="I949" s="1328"/>
      <c r="J949" s="1329"/>
      <c r="K949" s="1330"/>
      <c r="L949" s="1058"/>
      <c r="M949" s="1060"/>
      <c r="N949" s="229"/>
      <c r="O949" s="230"/>
      <c r="P949" s="44" t="s">
        <v>1065</v>
      </c>
      <c r="Q949" s="230"/>
      <c r="R949" s="230"/>
      <c r="S949" s="230"/>
      <c r="T949" s="230"/>
      <c r="U949" s="230"/>
      <c r="V949" s="230"/>
      <c r="W949" s="230"/>
      <c r="X949" s="230"/>
      <c r="Y949" s="230"/>
      <c r="Z949" s="230"/>
      <c r="AA949" s="230"/>
      <c r="AB949" s="230"/>
      <c r="AC949" s="230"/>
      <c r="AD949" s="230"/>
      <c r="AE949" s="246"/>
      <c r="AF949" s="1331"/>
      <c r="AG949" s="1332"/>
      <c r="AH949" s="1332"/>
      <c r="AI949" s="1331"/>
      <c r="AJ949" s="1332"/>
      <c r="AK949" s="1332"/>
      <c r="AL949" s="771"/>
    </row>
    <row r="950" spans="1:38" ht="11.25" customHeight="1">
      <c r="A950" t="s">
        <v>1021</v>
      </c>
      <c r="B950" t="s">
        <v>22</v>
      </c>
      <c r="E950" s="556"/>
      <c r="F950" s="1354"/>
      <c r="G950" s="1304" t="s">
        <v>103</v>
      </c>
      <c r="H950" s="1327" t="s">
        <v>92</v>
      </c>
      <c r="I950" s="1328" t="s">
        <v>1080</v>
      </c>
      <c r="J950" s="1329" t="s">
        <v>22</v>
      </c>
      <c r="K950" s="1330" t="s">
        <v>1184</v>
      </c>
      <c r="L950" s="1058" t="s">
        <v>19</v>
      </c>
      <c r="M950" s="1060"/>
      <c r="N950" s="241"/>
      <c r="O950" s="242" t="s">
        <v>387</v>
      </c>
      <c r="P950" s="243"/>
      <c r="Q950" s="243"/>
      <c r="R950" s="243"/>
      <c r="S950" s="243"/>
      <c r="T950" s="243"/>
      <c r="U950" s="243"/>
      <c r="V950" s="243"/>
      <c r="W950" s="243"/>
      <c r="X950" s="243"/>
      <c r="Y950" s="243"/>
      <c r="Z950" s="243"/>
      <c r="AA950" s="243"/>
      <c r="AB950" s="243"/>
      <c r="AC950" s="243"/>
      <c r="AD950" s="243"/>
      <c r="AE950" s="243"/>
      <c r="AF950" s="1331">
        <v>1</v>
      </c>
      <c r="AG950" s="1332" t="s">
        <v>1055</v>
      </c>
      <c r="AH950" s="1332" t="s">
        <v>1109</v>
      </c>
      <c r="AI950" s="1331">
        <v>1</v>
      </c>
      <c r="AJ950" s="1332" t="s">
        <v>1055</v>
      </c>
      <c r="AK950" s="1332" t="s">
        <v>1109</v>
      </c>
      <c r="AL950" s="771"/>
    </row>
    <row r="951" spans="1:38" ht="11.25" customHeight="1">
      <c r="A951" t="s">
        <v>1021</v>
      </c>
      <c r="E951" s="556"/>
      <c r="F951" s="1354"/>
      <c r="G951" s="1326"/>
      <c r="H951" s="1327" t="s">
        <v>91</v>
      </c>
      <c r="I951" s="1328"/>
      <c r="J951" s="1329"/>
      <c r="K951" s="1330"/>
      <c r="L951" s="1058"/>
      <c r="M951" s="1060"/>
      <c r="N951" s="1333"/>
      <c r="O951" s="1334">
        <v>1</v>
      </c>
      <c r="P951" s="1335" t="s">
        <v>19</v>
      </c>
      <c r="Q951" s="1323" t="s">
        <v>22</v>
      </c>
      <c r="R951" s="1323" t="s">
        <v>22</v>
      </c>
      <c r="S951" s="1323" t="s">
        <v>22</v>
      </c>
      <c r="T951" s="1323" t="s">
        <v>22</v>
      </c>
      <c r="U951" s="1323" t="s">
        <v>22</v>
      </c>
      <c r="V951" s="1323" t="s">
        <v>22</v>
      </c>
      <c r="W951" s="1323" t="s">
        <v>22</v>
      </c>
      <c r="X951" s="1323" t="s">
        <v>22</v>
      </c>
      <c r="Y951" s="1323"/>
      <c r="Z951" s="229"/>
      <c r="AA951" s="230"/>
      <c r="AB951" s="230"/>
      <c r="AC951" s="231"/>
      <c r="AD951" s="231"/>
      <c r="AE951" s="244"/>
      <c r="AF951" s="1331"/>
      <c r="AG951" s="1332"/>
      <c r="AH951" s="1332"/>
      <c r="AI951" s="1331"/>
      <c r="AJ951" s="1332"/>
      <c r="AK951" s="1332"/>
      <c r="AL951" s="771"/>
    </row>
    <row r="952" spans="1:38" ht="11.25" customHeight="1">
      <c r="A952" t="s">
        <v>1021</v>
      </c>
      <c r="E952" s="556"/>
      <c r="F952" s="1354"/>
      <c r="G952" s="1326"/>
      <c r="H952" s="1327" t="s">
        <v>91</v>
      </c>
      <c r="I952" s="1328"/>
      <c r="J952" s="1329"/>
      <c r="K952" s="1330"/>
      <c r="L952" s="1058"/>
      <c r="M952" s="1060"/>
      <c r="N952" s="1333"/>
      <c r="O952" s="1334"/>
      <c r="P952" s="1336"/>
      <c r="Q952" s="1323"/>
      <c r="R952" s="1323"/>
      <c r="S952" s="1338"/>
      <c r="T952" s="1323"/>
      <c r="U952" s="1323"/>
      <c r="V952" s="1323"/>
      <c r="W952" s="1323"/>
      <c r="X952" s="1323"/>
      <c r="Y952" s="1323"/>
      <c r="AA952" s="777">
        <v>1</v>
      </c>
      <c r="AB952" s="778" t="s">
        <v>1128</v>
      </c>
      <c r="AC952" s="236">
        <v>760.88894718280403</v>
      </c>
      <c r="AD952" s="778" t="str">
        <f>AB952</f>
        <v xml:space="preserve">  Прибыль направляемая на инвестиции</v>
      </c>
      <c r="AE952" s="236">
        <v>0</v>
      </c>
      <c r="AF952" s="1331"/>
      <c r="AG952" s="1332"/>
      <c r="AH952" s="1332"/>
      <c r="AI952" s="1331"/>
      <c r="AJ952" s="1332"/>
      <c r="AK952" s="1332"/>
      <c r="AL952" s="771"/>
    </row>
    <row r="953" spans="1:38" ht="11.25" customHeight="1">
      <c r="A953" t="s">
        <v>1021</v>
      </c>
      <c r="E953" s="556"/>
      <c r="F953" s="1326"/>
      <c r="G953" s="1326"/>
      <c r="H953" s="1326"/>
      <c r="I953" s="1326"/>
      <c r="J953" s="1326"/>
      <c r="K953" s="1326"/>
      <c r="L953" s="1326"/>
      <c r="M953" s="1326"/>
      <c r="N953" s="1326"/>
      <c r="O953" s="1326"/>
      <c r="P953" s="1326"/>
      <c r="Q953" s="1326"/>
      <c r="R953" s="1326"/>
      <c r="S953" s="1326"/>
      <c r="T953" s="1326"/>
      <c r="U953" s="1326"/>
      <c r="V953" s="1326"/>
      <c r="W953" s="1326"/>
      <c r="X953" s="1326"/>
      <c r="Y953" s="1326"/>
      <c r="Z953" s="181" t="s">
        <v>103</v>
      </c>
      <c r="AA953" s="779" t="s">
        <v>102</v>
      </c>
      <c r="AB953" s="778" t="s">
        <v>1129</v>
      </c>
      <c r="AC953" s="236">
        <v>3835.7959254781099</v>
      </c>
      <c r="AD953" s="778" t="str">
        <f>AB953</f>
        <v xml:space="preserve">     Прочие амортизационные отчисления</v>
      </c>
      <c r="AE953" s="236">
        <v>0</v>
      </c>
      <c r="AF953" s="1343"/>
      <c r="AG953" s="1344"/>
      <c r="AH953" s="1344"/>
      <c r="AI953" s="1343"/>
      <c r="AJ953" s="1344"/>
      <c r="AK953" s="1345"/>
      <c r="AL953" s="771"/>
    </row>
    <row r="954" spans="1:38" ht="11.25" customHeight="1">
      <c r="A954" t="s">
        <v>1021</v>
      </c>
      <c r="E954" s="556"/>
      <c r="F954" s="1326"/>
      <c r="G954" s="1326"/>
      <c r="H954" s="1326"/>
      <c r="I954" s="1326"/>
      <c r="J954" s="1326"/>
      <c r="K954" s="1326"/>
      <c r="L954" s="1326"/>
      <c r="M954" s="1326"/>
      <c r="N954" s="1326"/>
      <c r="O954" s="1326"/>
      <c r="P954" s="1326"/>
      <c r="Q954" s="1326"/>
      <c r="R954" s="1326"/>
      <c r="S954" s="1326"/>
      <c r="T954" s="1326"/>
      <c r="U954" s="1326"/>
      <c r="V954" s="1326"/>
      <c r="W954" s="1326"/>
      <c r="X954" s="1326"/>
      <c r="Y954" s="1326"/>
      <c r="Z954" s="181" t="s">
        <v>103</v>
      </c>
      <c r="AA954" s="779" t="s">
        <v>89</v>
      </c>
      <c r="AB954" s="778" t="s">
        <v>1063</v>
      </c>
      <c r="AC954" s="236">
        <v>431.78221067241998</v>
      </c>
      <c r="AD954" s="778" t="str">
        <f>AB954</f>
        <v xml:space="preserve">  Кредиты</v>
      </c>
      <c r="AE954" s="236">
        <v>0</v>
      </c>
      <c r="AF954" s="1343"/>
      <c r="AG954" s="1344"/>
      <c r="AH954" s="1344"/>
      <c r="AI954" s="1343"/>
      <c r="AJ954" s="1344"/>
      <c r="AK954" s="1345"/>
      <c r="AL954" s="771"/>
    </row>
    <row r="955" spans="1:38" ht="11.25" customHeight="1">
      <c r="A955" t="s">
        <v>1021</v>
      </c>
      <c r="E955" s="556"/>
      <c r="F955" s="1354"/>
      <c r="G955" s="1326"/>
      <c r="H955" s="1327" t="s">
        <v>91</v>
      </c>
      <c r="I955" s="1328"/>
      <c r="J955" s="1329"/>
      <c r="K955" s="1330"/>
      <c r="L955" s="1058"/>
      <c r="M955" s="1060"/>
      <c r="N955" s="1333"/>
      <c r="O955" s="1334"/>
      <c r="P955" s="1337"/>
      <c r="Q955" s="1323"/>
      <c r="R955" s="1323"/>
      <c r="S955" s="1338"/>
      <c r="T955" s="1323"/>
      <c r="U955" s="1323"/>
      <c r="V955" s="1323"/>
      <c r="W955" s="1323"/>
      <c r="X955" s="1323"/>
      <c r="Y955" s="1323"/>
      <c r="Z955" s="229"/>
      <c r="AA955" s="230"/>
      <c r="AB955" s="44" t="s">
        <v>1064</v>
      </c>
      <c r="AC955" s="231"/>
      <c r="AD955" s="231"/>
      <c r="AE955" s="245"/>
      <c r="AF955" s="1331"/>
      <c r="AG955" s="1332"/>
      <c r="AH955" s="1332"/>
      <c r="AI955" s="1331"/>
      <c r="AJ955" s="1332"/>
      <c r="AK955" s="1332"/>
      <c r="AL955" s="771"/>
    </row>
    <row r="956" spans="1:38" ht="11.25" customHeight="1">
      <c r="A956" t="s">
        <v>1021</v>
      </c>
      <c r="E956" s="556"/>
      <c r="F956" s="1354"/>
      <c r="G956" s="1326"/>
      <c r="H956" s="1327" t="s">
        <v>91</v>
      </c>
      <c r="I956" s="1328"/>
      <c r="J956" s="1329"/>
      <c r="K956" s="1330"/>
      <c r="L956" s="1058"/>
      <c r="M956" s="1060"/>
      <c r="N956" s="229"/>
      <c r="O956" s="230"/>
      <c r="P956" s="44" t="s">
        <v>1065</v>
      </c>
      <c r="Q956" s="230"/>
      <c r="R956" s="230"/>
      <c r="S956" s="230"/>
      <c r="T956" s="230"/>
      <c r="U956" s="230"/>
      <c r="V956" s="230"/>
      <c r="W956" s="230"/>
      <c r="X956" s="230"/>
      <c r="Y956" s="230"/>
      <c r="Z956" s="230"/>
      <c r="AA956" s="230"/>
      <c r="AB956" s="230"/>
      <c r="AC956" s="230"/>
      <c r="AD956" s="230"/>
      <c r="AE956" s="246"/>
      <c r="AF956" s="1331"/>
      <c r="AG956" s="1332"/>
      <c r="AH956" s="1332"/>
      <c r="AI956" s="1331"/>
      <c r="AJ956" s="1332"/>
      <c r="AK956" s="1332"/>
      <c r="AL956" s="771"/>
    </row>
    <row r="957" spans="1:38" ht="12" customHeight="1">
      <c r="A957" t="s">
        <v>1021</v>
      </c>
      <c r="E957" s="556"/>
      <c r="F957" s="1355"/>
      <c r="G957" s="774"/>
      <c r="H957" s="774"/>
      <c r="I957" s="1352" t="s">
        <v>1083</v>
      </c>
      <c r="J957" s="1352"/>
      <c r="K957" s="1352"/>
      <c r="L957" s="775"/>
      <c r="M957" s="775"/>
      <c r="N957" s="776"/>
      <c r="O957" s="776"/>
      <c r="P957" s="776"/>
      <c r="Q957" s="776"/>
      <c r="R957" s="776"/>
      <c r="S957" s="776"/>
      <c r="T957" s="776"/>
      <c r="U957" s="776"/>
      <c r="V957" s="776"/>
      <c r="W957" s="776"/>
      <c r="X957" s="776"/>
      <c r="Y957" s="776"/>
      <c r="Z957" s="776"/>
      <c r="AA957" s="776"/>
      <c r="AB957" s="776"/>
      <c r="AC957" s="776"/>
      <c r="AD957" s="776"/>
      <c r="AE957" s="776"/>
      <c r="AF957" s="776"/>
      <c r="AG957" s="775"/>
      <c r="AH957" s="775"/>
      <c r="AI957" s="776"/>
      <c r="AJ957" s="775"/>
      <c r="AK957" s="776"/>
      <c r="AL957" s="771"/>
    </row>
    <row r="958" spans="1:38" ht="0.75" customHeight="1">
      <c r="A958" t="s">
        <v>1021</v>
      </c>
      <c r="E958" s="556"/>
      <c r="F958" s="1353">
        <v>2028</v>
      </c>
      <c r="G958" s="1327"/>
      <c r="H958" s="1357" t="s">
        <v>387</v>
      </c>
      <c r="I958" s="1358"/>
      <c r="J958" s="1350"/>
      <c r="K958" s="1350"/>
      <c r="L958" s="1351"/>
      <c r="M958" s="1200"/>
      <c r="N958" s="214"/>
      <c r="O958" s="215"/>
      <c r="P958" s="214"/>
      <c r="Q958" s="214"/>
      <c r="R958" s="214"/>
      <c r="S958" s="214"/>
      <c r="T958" s="214"/>
      <c r="U958" s="214"/>
      <c r="V958" s="214"/>
      <c r="W958" s="214"/>
      <c r="X958" s="214"/>
      <c r="Y958" s="214"/>
      <c r="Z958" s="214"/>
      <c r="AA958" s="214"/>
      <c r="AB958" s="214"/>
      <c r="AC958" s="214"/>
      <c r="AD958" s="214"/>
      <c r="AE958" s="214"/>
      <c r="AF958" s="1356"/>
      <c r="AG958" s="1351"/>
      <c r="AH958" s="1351"/>
      <c r="AI958" s="1356"/>
      <c r="AJ958" s="1351"/>
      <c r="AK958" s="1351"/>
      <c r="AL958" s="771"/>
    </row>
    <row r="959" spans="1:38" ht="0.75" customHeight="1">
      <c r="A959" t="s">
        <v>1021</v>
      </c>
      <c r="E959" s="556"/>
      <c r="F959" s="1353"/>
      <c r="G959" s="1327"/>
      <c r="H959" s="1357"/>
      <c r="I959" s="1358"/>
      <c r="J959" s="1350"/>
      <c r="K959" s="1350"/>
      <c r="L959" s="1351"/>
      <c r="M959" s="1200"/>
      <c r="N959" s="1359"/>
      <c r="O959" s="1360"/>
      <c r="P959" s="1347"/>
      <c r="Q959" s="1350"/>
      <c r="R959" s="1350"/>
      <c r="S959" s="1350"/>
      <c r="T959" s="1350"/>
      <c r="U959" s="1350"/>
      <c r="V959" s="1350"/>
      <c r="W959" s="1350"/>
      <c r="X959" s="1350"/>
      <c r="Y959" s="1350"/>
      <c r="Z959" s="216"/>
      <c r="AA959" s="217"/>
      <c r="AB959" s="217"/>
      <c r="AC959" s="218"/>
      <c r="AD959" s="218"/>
      <c r="AE959" s="219"/>
      <c r="AF959" s="1356"/>
      <c r="AG959" s="1351"/>
      <c r="AH959" s="1351"/>
      <c r="AI959" s="1356"/>
      <c r="AJ959" s="1351"/>
      <c r="AK959" s="1351"/>
      <c r="AL959" s="771"/>
    </row>
    <row r="960" spans="1:38" ht="0.75" customHeight="1">
      <c r="A960" t="s">
        <v>1021</v>
      </c>
      <c r="E960" s="556"/>
      <c r="F960" s="1353"/>
      <c r="G960" s="1327"/>
      <c r="H960" s="1357"/>
      <c r="I960" s="1358"/>
      <c r="J960" s="1350"/>
      <c r="K960" s="1350"/>
      <c r="L960" s="1351"/>
      <c r="M960" s="1200"/>
      <c r="N960" s="1359"/>
      <c r="O960" s="1360"/>
      <c r="P960" s="1348"/>
      <c r="Q960" s="1350"/>
      <c r="R960" s="1350"/>
      <c r="S960" s="1350"/>
      <c r="T960" s="1350"/>
      <c r="U960" s="1350"/>
      <c r="V960" s="1350"/>
      <c r="W960" s="1350"/>
      <c r="X960" s="1350"/>
      <c r="Y960" s="1350"/>
      <c r="AA960" s="772"/>
      <c r="AB960" s="773"/>
      <c r="AC960" s="220"/>
      <c r="AD960" s="773"/>
      <c r="AE960" s="220"/>
      <c r="AF960" s="1356"/>
      <c r="AG960" s="1351"/>
      <c r="AH960" s="1351"/>
      <c r="AI960" s="1356"/>
      <c r="AJ960" s="1351"/>
      <c r="AK960" s="1351"/>
      <c r="AL960" s="771"/>
    </row>
    <row r="961" spans="1:38" ht="0.75" customHeight="1">
      <c r="A961" t="s">
        <v>1021</v>
      </c>
      <c r="E961" s="556"/>
      <c r="F961" s="1353"/>
      <c r="G961" s="1327"/>
      <c r="H961" s="1357"/>
      <c r="I961" s="1358"/>
      <c r="J961" s="1350"/>
      <c r="K961" s="1350"/>
      <c r="L961" s="1351"/>
      <c r="M961" s="1200"/>
      <c r="N961" s="1359"/>
      <c r="O961" s="1360"/>
      <c r="P961" s="1349"/>
      <c r="Q961" s="1350"/>
      <c r="R961" s="1350"/>
      <c r="S961" s="1350"/>
      <c r="T961" s="1350"/>
      <c r="U961" s="1350"/>
      <c r="V961" s="1350"/>
      <c r="W961" s="1350"/>
      <c r="X961" s="1350"/>
      <c r="Y961" s="1350"/>
      <c r="Z961" s="216"/>
      <c r="AA961" s="217"/>
      <c r="AB961" s="221"/>
      <c r="AC961" s="218"/>
      <c r="AD961" s="218"/>
      <c r="AE961" s="222"/>
      <c r="AF961" s="1356"/>
      <c r="AG961" s="1351"/>
      <c r="AH961" s="1351"/>
      <c r="AI961" s="1356"/>
      <c r="AJ961" s="1351"/>
      <c r="AK961" s="1351"/>
      <c r="AL961" s="771"/>
    </row>
    <row r="962" spans="1:38" ht="0.75" customHeight="1">
      <c r="A962" t="s">
        <v>1021</v>
      </c>
      <c r="E962" s="556"/>
      <c r="F962" s="1353"/>
      <c r="G962" s="1327"/>
      <c r="H962" s="1357"/>
      <c r="I962" s="1358"/>
      <c r="J962" s="1350"/>
      <c r="K962" s="1350"/>
      <c r="L962" s="1351"/>
      <c r="M962" s="1200"/>
      <c r="N962" s="217"/>
      <c r="O962" s="217"/>
      <c r="P962" s="221"/>
      <c r="Q962" s="217"/>
      <c r="R962" s="217"/>
      <c r="S962" s="217"/>
      <c r="T962" s="217"/>
      <c r="U962" s="217"/>
      <c r="V962" s="217"/>
      <c r="W962" s="217"/>
      <c r="X962" s="217"/>
      <c r="Y962" s="217"/>
      <c r="Z962" s="217"/>
      <c r="AA962" s="217"/>
      <c r="AB962" s="217"/>
      <c r="AC962" s="217"/>
      <c r="AD962" s="217"/>
      <c r="AE962" s="223"/>
      <c r="AF962" s="1356"/>
      <c r="AG962" s="1351"/>
      <c r="AH962" s="1351"/>
      <c r="AI962" s="1356"/>
      <c r="AJ962" s="1351"/>
      <c r="AK962" s="1351"/>
      <c r="AL962" s="771"/>
    </row>
    <row r="963" spans="1:38" ht="11.25" customHeight="1">
      <c r="A963" t="s">
        <v>1021</v>
      </c>
      <c r="B963" t="s">
        <v>22</v>
      </c>
      <c r="E963" s="556"/>
      <c r="F963" s="1354"/>
      <c r="G963" s="1304" t="s">
        <v>103</v>
      </c>
      <c r="H963" s="1327" t="s">
        <v>114</v>
      </c>
      <c r="I963" s="1328" t="s">
        <v>1053</v>
      </c>
      <c r="J963" s="1329" t="s">
        <v>22</v>
      </c>
      <c r="K963" s="1330" t="s">
        <v>1185</v>
      </c>
      <c r="L963" s="1058" t="s">
        <v>19</v>
      </c>
      <c r="M963" s="1060"/>
      <c r="N963" s="241"/>
      <c r="O963" s="242" t="s">
        <v>387</v>
      </c>
      <c r="P963" s="243"/>
      <c r="Q963" s="243"/>
      <c r="R963" s="243"/>
      <c r="S963" s="243"/>
      <c r="T963" s="243"/>
      <c r="U963" s="243"/>
      <c r="V963" s="243"/>
      <c r="W963" s="243"/>
      <c r="X963" s="243"/>
      <c r="Y963" s="243"/>
      <c r="Z963" s="243"/>
      <c r="AA963" s="243"/>
      <c r="AB963" s="243"/>
      <c r="AC963" s="243"/>
      <c r="AD963" s="243"/>
      <c r="AE963" s="243"/>
      <c r="AF963" s="1331">
        <v>3</v>
      </c>
      <c r="AG963" s="1332" t="s">
        <v>1055</v>
      </c>
      <c r="AH963" s="1332" t="s">
        <v>1132</v>
      </c>
      <c r="AI963" s="1331">
        <v>3</v>
      </c>
      <c r="AJ963" s="1332" t="s">
        <v>1055</v>
      </c>
      <c r="AK963" s="1332" t="s">
        <v>1132</v>
      </c>
      <c r="AL963" s="771"/>
    </row>
    <row r="964" spans="1:38" ht="11.25" customHeight="1">
      <c r="A964" t="s">
        <v>1021</v>
      </c>
      <c r="E964" s="556"/>
      <c r="F964" s="1354"/>
      <c r="G964" s="1326"/>
      <c r="H964" s="1327" t="s">
        <v>387</v>
      </c>
      <c r="I964" s="1328"/>
      <c r="J964" s="1329"/>
      <c r="K964" s="1330"/>
      <c r="L964" s="1058"/>
      <c r="M964" s="1060"/>
      <c r="N964" s="1333"/>
      <c r="O964" s="1334">
        <v>1</v>
      </c>
      <c r="P964" s="1335" t="s">
        <v>61</v>
      </c>
      <c r="Q964" s="1339" t="s">
        <v>1057</v>
      </c>
      <c r="R964" s="1340" t="s">
        <v>1058</v>
      </c>
      <c r="S964" s="1340" t="s">
        <v>99</v>
      </c>
      <c r="T964" s="1340" t="s">
        <v>99</v>
      </c>
      <c r="U964" s="1340" t="s">
        <v>100</v>
      </c>
      <c r="V964" s="1340" t="s">
        <v>1059</v>
      </c>
      <c r="W964" s="1340" t="s">
        <v>1060</v>
      </c>
      <c r="X964" s="1340" t="s">
        <v>1061</v>
      </c>
      <c r="Y964" s="1340" t="s">
        <v>1062</v>
      </c>
      <c r="Z964" s="229"/>
      <c r="AA964" s="230"/>
      <c r="AB964" s="230"/>
      <c r="AC964" s="231"/>
      <c r="AD964" s="231"/>
      <c r="AE964" s="244"/>
      <c r="AF964" s="1331"/>
      <c r="AG964" s="1332"/>
      <c r="AH964" s="1332"/>
      <c r="AI964" s="1331"/>
      <c r="AJ964" s="1332"/>
      <c r="AK964" s="1332"/>
      <c r="AL964" s="771"/>
    </row>
    <row r="965" spans="1:38" ht="11.25" customHeight="1">
      <c r="A965" t="s">
        <v>1021</v>
      </c>
      <c r="E965" s="556"/>
      <c r="F965" s="1354"/>
      <c r="G965" s="1326"/>
      <c r="H965" s="1327" t="s">
        <v>387</v>
      </c>
      <c r="I965" s="1328"/>
      <c r="J965" s="1329"/>
      <c r="K965" s="1330"/>
      <c r="L965" s="1058"/>
      <c r="M965" s="1060"/>
      <c r="N965" s="1333"/>
      <c r="O965" s="1334"/>
      <c r="P965" s="1336"/>
      <c r="Q965" s="1339"/>
      <c r="R965" s="1323"/>
      <c r="S965" s="1338"/>
      <c r="T965" s="1323"/>
      <c r="U965" s="1323"/>
      <c r="V965" s="1323"/>
      <c r="W965" s="1323"/>
      <c r="X965" s="1323"/>
      <c r="Y965" s="1323"/>
      <c r="AA965" s="777">
        <v>1</v>
      </c>
      <c r="AB965" s="778" t="s">
        <v>1129</v>
      </c>
      <c r="AC965" s="236">
        <v>53053.446632811101</v>
      </c>
      <c r="AD965" s="778" t="str">
        <f>AB965</f>
        <v xml:space="preserve">     Прочие амортизационные отчисления</v>
      </c>
      <c r="AE965" s="236">
        <v>0</v>
      </c>
      <c r="AF965" s="1331"/>
      <c r="AG965" s="1332"/>
      <c r="AH965" s="1332"/>
      <c r="AI965" s="1331"/>
      <c r="AJ965" s="1332"/>
      <c r="AK965" s="1332"/>
      <c r="AL965" s="771"/>
    </row>
    <row r="966" spans="1:38" ht="11.25" customHeight="1">
      <c r="A966" t="s">
        <v>1021</v>
      </c>
      <c r="E966" s="556"/>
      <c r="F966" s="1354"/>
      <c r="G966" s="1326"/>
      <c r="H966" s="1327" t="s">
        <v>387</v>
      </c>
      <c r="I966" s="1328"/>
      <c r="J966" s="1329"/>
      <c r="K966" s="1330"/>
      <c r="L966" s="1058"/>
      <c r="M966" s="1060"/>
      <c r="N966" s="1333"/>
      <c r="O966" s="1334"/>
      <c r="P966" s="1337"/>
      <c r="Q966" s="1339"/>
      <c r="R966" s="1323"/>
      <c r="S966" s="1338"/>
      <c r="T966" s="1323"/>
      <c r="U966" s="1323"/>
      <c r="V966" s="1323"/>
      <c r="W966" s="1323"/>
      <c r="X966" s="1323"/>
      <c r="Y966" s="1323"/>
      <c r="Z966" s="229"/>
      <c r="AA966" s="230"/>
      <c r="AB966" s="44" t="s">
        <v>1064</v>
      </c>
      <c r="AC966" s="231"/>
      <c r="AD966" s="231"/>
      <c r="AE966" s="245"/>
      <c r="AF966" s="1331"/>
      <c r="AG966" s="1332"/>
      <c r="AH966" s="1332"/>
      <c r="AI966" s="1331"/>
      <c r="AJ966" s="1332"/>
      <c r="AK966" s="1332"/>
      <c r="AL966" s="771"/>
    </row>
    <row r="967" spans="1:38" ht="11.25" customHeight="1">
      <c r="A967" t="s">
        <v>1021</v>
      </c>
      <c r="E967" s="556"/>
      <c r="F967" s="1354"/>
      <c r="G967" s="1326"/>
      <c r="H967" s="1327" t="s">
        <v>387</v>
      </c>
      <c r="I967" s="1328"/>
      <c r="J967" s="1329"/>
      <c r="K967" s="1330"/>
      <c r="L967" s="1058"/>
      <c r="M967" s="1060"/>
      <c r="N967" s="229"/>
      <c r="O967" s="230"/>
      <c r="P967" s="44" t="s">
        <v>1065</v>
      </c>
      <c r="Q967" s="230"/>
      <c r="R967" s="230"/>
      <c r="S967" s="230"/>
      <c r="T967" s="230"/>
      <c r="U967" s="230"/>
      <c r="V967" s="230"/>
      <c r="W967" s="230"/>
      <c r="X967" s="230"/>
      <c r="Y967" s="230"/>
      <c r="Z967" s="230"/>
      <c r="AA967" s="230"/>
      <c r="AB967" s="230"/>
      <c r="AC967" s="230"/>
      <c r="AD967" s="230"/>
      <c r="AE967" s="246"/>
      <c r="AF967" s="1331"/>
      <c r="AG967" s="1332"/>
      <c r="AH967" s="1332"/>
      <c r="AI967" s="1331"/>
      <c r="AJ967" s="1332"/>
      <c r="AK967" s="1332"/>
      <c r="AL967" s="771"/>
    </row>
    <row r="968" spans="1:38" ht="11.25" customHeight="1">
      <c r="A968" t="s">
        <v>1021</v>
      </c>
      <c r="B968" t="s">
        <v>1076</v>
      </c>
      <c r="E968" s="556"/>
      <c r="F968" s="1354"/>
      <c r="G968" s="1304" t="s">
        <v>103</v>
      </c>
      <c r="H968" s="1327" t="s">
        <v>102</v>
      </c>
      <c r="I968" s="1328" t="s">
        <v>1077</v>
      </c>
      <c r="J968" s="1341" t="s">
        <v>1078</v>
      </c>
      <c r="K968" s="1330" t="s">
        <v>1084</v>
      </c>
      <c r="L968" s="1058" t="s">
        <v>61</v>
      </c>
      <c r="M968" s="1342" t="s">
        <v>1020</v>
      </c>
      <c r="N968" s="241"/>
      <c r="O968" s="242" t="s">
        <v>387</v>
      </c>
      <c r="P968" s="243"/>
      <c r="Q968" s="243"/>
      <c r="R968" s="243"/>
      <c r="S968" s="243"/>
      <c r="T968" s="243"/>
      <c r="U968" s="243"/>
      <c r="V968" s="243"/>
      <c r="W968" s="243"/>
      <c r="X968" s="243"/>
      <c r="Y968" s="243"/>
      <c r="Z968" s="243"/>
      <c r="AA968" s="243"/>
      <c r="AB968" s="243"/>
      <c r="AC968" s="243"/>
      <c r="AD968" s="243"/>
      <c r="AE968" s="243"/>
      <c r="AF968" s="1331">
        <v>1</v>
      </c>
      <c r="AG968" s="1332" t="s">
        <v>1055</v>
      </c>
      <c r="AH968" s="1332" t="s">
        <v>1085</v>
      </c>
      <c r="AI968" s="1331">
        <v>1</v>
      </c>
      <c r="AJ968" s="1332" t="s">
        <v>1055</v>
      </c>
      <c r="AK968" s="1332" t="s">
        <v>1085</v>
      </c>
      <c r="AL968" s="771"/>
    </row>
    <row r="969" spans="1:38" ht="11.25" customHeight="1">
      <c r="A969" t="s">
        <v>1021</v>
      </c>
      <c r="E969" s="556"/>
      <c r="F969" s="1354"/>
      <c r="G969" s="1326"/>
      <c r="H969" s="1327" t="s">
        <v>114</v>
      </c>
      <c r="I969" s="1328"/>
      <c r="J969" s="1341"/>
      <c r="K969" s="1330"/>
      <c r="L969" s="1058"/>
      <c r="M969" s="1342"/>
      <c r="N969" s="1333"/>
      <c r="O969" s="1334">
        <v>1</v>
      </c>
      <c r="P969" s="1335" t="s">
        <v>19</v>
      </c>
      <c r="Q969" s="1323" t="s">
        <v>22</v>
      </c>
      <c r="R969" s="1323" t="s">
        <v>22</v>
      </c>
      <c r="S969" s="1323" t="s">
        <v>22</v>
      </c>
      <c r="T969" s="1323" t="s">
        <v>22</v>
      </c>
      <c r="U969" s="1323" t="s">
        <v>22</v>
      </c>
      <c r="V969" s="1323" t="s">
        <v>22</v>
      </c>
      <c r="W969" s="1323" t="s">
        <v>22</v>
      </c>
      <c r="X969" s="1323" t="s">
        <v>22</v>
      </c>
      <c r="Y969" s="1323"/>
      <c r="Z969" s="229"/>
      <c r="AA969" s="230"/>
      <c r="AB969" s="230"/>
      <c r="AC969" s="231"/>
      <c r="AD969" s="231"/>
      <c r="AE969" s="244"/>
      <c r="AF969" s="1331"/>
      <c r="AG969" s="1332"/>
      <c r="AH969" s="1332"/>
      <c r="AI969" s="1331"/>
      <c r="AJ969" s="1332"/>
      <c r="AK969" s="1332"/>
      <c r="AL969" s="771"/>
    </row>
    <row r="970" spans="1:38" ht="11.25" customHeight="1">
      <c r="A970" t="s">
        <v>1021</v>
      </c>
      <c r="E970" s="556"/>
      <c r="F970" s="1354"/>
      <c r="G970" s="1326"/>
      <c r="H970" s="1327" t="s">
        <v>114</v>
      </c>
      <c r="I970" s="1328"/>
      <c r="J970" s="1341"/>
      <c r="K970" s="1330"/>
      <c r="L970" s="1058"/>
      <c r="M970" s="1342"/>
      <c r="N970" s="1333"/>
      <c r="O970" s="1334"/>
      <c r="P970" s="1336"/>
      <c r="Q970" s="1323"/>
      <c r="R970" s="1323"/>
      <c r="S970" s="1338"/>
      <c r="T970" s="1323"/>
      <c r="U970" s="1323"/>
      <c r="V970" s="1323"/>
      <c r="W970" s="1323"/>
      <c r="X970" s="1323"/>
      <c r="Y970" s="1323"/>
      <c r="AA970" s="777">
        <v>1</v>
      </c>
      <c r="AB970" s="778" t="s">
        <v>1129</v>
      </c>
      <c r="AC970" s="236">
        <v>3169.8571627853398</v>
      </c>
      <c r="AD970" s="778" t="str">
        <f>AB970</f>
        <v xml:space="preserve">     Прочие амортизационные отчисления</v>
      </c>
      <c r="AE970" s="236">
        <v>0</v>
      </c>
      <c r="AF970" s="1331"/>
      <c r="AG970" s="1332"/>
      <c r="AH970" s="1332"/>
      <c r="AI970" s="1331"/>
      <c r="AJ970" s="1332"/>
      <c r="AK970" s="1332"/>
      <c r="AL970" s="771"/>
    </row>
    <row r="971" spans="1:38" ht="11.25" customHeight="1">
      <c r="A971" t="s">
        <v>1021</v>
      </c>
      <c r="E971" s="556"/>
      <c r="F971" s="1354"/>
      <c r="G971" s="1326"/>
      <c r="H971" s="1327" t="s">
        <v>114</v>
      </c>
      <c r="I971" s="1328"/>
      <c r="J971" s="1341"/>
      <c r="K971" s="1330"/>
      <c r="L971" s="1058"/>
      <c r="M971" s="1342"/>
      <c r="N971" s="1333"/>
      <c r="O971" s="1334"/>
      <c r="P971" s="1337"/>
      <c r="Q971" s="1323"/>
      <c r="R971" s="1323"/>
      <c r="S971" s="1338"/>
      <c r="T971" s="1323"/>
      <c r="U971" s="1323"/>
      <c r="V971" s="1323"/>
      <c r="W971" s="1323"/>
      <c r="X971" s="1323"/>
      <c r="Y971" s="1323"/>
      <c r="Z971" s="229"/>
      <c r="AA971" s="230"/>
      <c r="AB971" s="44" t="s">
        <v>1064</v>
      </c>
      <c r="AC971" s="231"/>
      <c r="AD971" s="231"/>
      <c r="AE971" s="245"/>
      <c r="AF971" s="1331"/>
      <c r="AG971" s="1332"/>
      <c r="AH971" s="1332"/>
      <c r="AI971" s="1331"/>
      <c r="AJ971" s="1332"/>
      <c r="AK971" s="1332"/>
      <c r="AL971" s="771"/>
    </row>
    <row r="972" spans="1:38" ht="11.25" customHeight="1">
      <c r="A972" t="s">
        <v>1021</v>
      </c>
      <c r="E972" s="556"/>
      <c r="F972" s="1354"/>
      <c r="G972" s="1326"/>
      <c r="H972" s="1327" t="s">
        <v>114</v>
      </c>
      <c r="I972" s="1328"/>
      <c r="J972" s="1341"/>
      <c r="K972" s="1330"/>
      <c r="L972" s="1058"/>
      <c r="M972" s="1342"/>
      <c r="N972" s="229"/>
      <c r="O972" s="230"/>
      <c r="P972" s="44" t="s">
        <v>1065</v>
      </c>
      <c r="Q972" s="230"/>
      <c r="R972" s="230"/>
      <c r="S972" s="230"/>
      <c r="T972" s="230"/>
      <c r="U972" s="230"/>
      <c r="V972" s="230"/>
      <c r="W972" s="230"/>
      <c r="X972" s="230"/>
      <c r="Y972" s="230"/>
      <c r="Z972" s="230"/>
      <c r="AA972" s="230"/>
      <c r="AB972" s="230"/>
      <c r="AC972" s="230"/>
      <c r="AD972" s="230"/>
      <c r="AE972" s="246"/>
      <c r="AF972" s="1331"/>
      <c r="AG972" s="1332"/>
      <c r="AH972" s="1332"/>
      <c r="AI972" s="1331"/>
      <c r="AJ972" s="1332"/>
      <c r="AK972" s="1332"/>
      <c r="AL972" s="771"/>
    </row>
    <row r="973" spans="1:38" ht="11.25" customHeight="1">
      <c r="A973" t="s">
        <v>1021</v>
      </c>
      <c r="B973" t="s">
        <v>1076</v>
      </c>
      <c r="E973" s="556"/>
      <c r="F973" s="1354"/>
      <c r="G973" s="1304" t="s">
        <v>103</v>
      </c>
      <c r="H973" s="1327" t="s">
        <v>89</v>
      </c>
      <c r="I973" s="1328" t="s">
        <v>1077</v>
      </c>
      <c r="J973" s="1341" t="s">
        <v>1130</v>
      </c>
      <c r="K973" s="1330" t="s">
        <v>1186</v>
      </c>
      <c r="L973" s="1058" t="s">
        <v>19</v>
      </c>
      <c r="M973" s="1060"/>
      <c r="N973" s="241"/>
      <c r="O973" s="242" t="s">
        <v>387</v>
      </c>
      <c r="P973" s="243"/>
      <c r="Q973" s="243"/>
      <c r="R973" s="243"/>
      <c r="S973" s="243"/>
      <c r="T973" s="243"/>
      <c r="U973" s="243"/>
      <c r="V973" s="243"/>
      <c r="W973" s="243"/>
      <c r="X973" s="243"/>
      <c r="Y973" s="243"/>
      <c r="Z973" s="243"/>
      <c r="AA973" s="243"/>
      <c r="AB973" s="243"/>
      <c r="AC973" s="243"/>
      <c r="AD973" s="243"/>
      <c r="AE973" s="243"/>
      <c r="AF973" s="1331">
        <v>1</v>
      </c>
      <c r="AG973" s="1332" t="s">
        <v>1055</v>
      </c>
      <c r="AH973" s="1332" t="s">
        <v>1085</v>
      </c>
      <c r="AI973" s="1331">
        <v>1</v>
      </c>
      <c r="AJ973" s="1332" t="s">
        <v>1055</v>
      </c>
      <c r="AK973" s="1332" t="s">
        <v>1085</v>
      </c>
      <c r="AL973" s="771"/>
    </row>
    <row r="974" spans="1:38" ht="11.25" customHeight="1">
      <c r="A974" t="s">
        <v>1021</v>
      </c>
      <c r="E974" s="556"/>
      <c r="F974" s="1354"/>
      <c r="G974" s="1326"/>
      <c r="H974" s="1327" t="s">
        <v>102</v>
      </c>
      <c r="I974" s="1328"/>
      <c r="J974" s="1341"/>
      <c r="K974" s="1330"/>
      <c r="L974" s="1058"/>
      <c r="M974" s="1060"/>
      <c r="N974" s="1333"/>
      <c r="O974" s="1334">
        <v>1</v>
      </c>
      <c r="P974" s="1335" t="s">
        <v>19</v>
      </c>
      <c r="Q974" s="1323" t="s">
        <v>22</v>
      </c>
      <c r="R974" s="1323" t="s">
        <v>22</v>
      </c>
      <c r="S974" s="1323" t="s">
        <v>22</v>
      </c>
      <c r="T974" s="1323" t="s">
        <v>22</v>
      </c>
      <c r="U974" s="1323" t="s">
        <v>22</v>
      </c>
      <c r="V974" s="1323" t="s">
        <v>22</v>
      </c>
      <c r="W974" s="1323" t="s">
        <v>22</v>
      </c>
      <c r="X974" s="1323" t="s">
        <v>22</v>
      </c>
      <c r="Y974" s="1323"/>
      <c r="Z974" s="229"/>
      <c r="AA974" s="230"/>
      <c r="AB974" s="230"/>
      <c r="AC974" s="231"/>
      <c r="AD974" s="231"/>
      <c r="AE974" s="244"/>
      <c r="AF974" s="1331"/>
      <c r="AG974" s="1332"/>
      <c r="AH974" s="1332"/>
      <c r="AI974" s="1331"/>
      <c r="AJ974" s="1332"/>
      <c r="AK974" s="1332"/>
      <c r="AL974" s="771"/>
    </row>
    <row r="975" spans="1:38" ht="11.25" customHeight="1">
      <c r="A975" t="s">
        <v>1021</v>
      </c>
      <c r="E975" s="556"/>
      <c r="F975" s="1354"/>
      <c r="G975" s="1326"/>
      <c r="H975" s="1327" t="s">
        <v>102</v>
      </c>
      <c r="I975" s="1328"/>
      <c r="J975" s="1341"/>
      <c r="K975" s="1330"/>
      <c r="L975" s="1058"/>
      <c r="M975" s="1060"/>
      <c r="N975" s="1333"/>
      <c r="O975" s="1334"/>
      <c r="P975" s="1336"/>
      <c r="Q975" s="1323"/>
      <c r="R975" s="1323"/>
      <c r="S975" s="1338"/>
      <c r="T975" s="1323"/>
      <c r="U975" s="1323"/>
      <c r="V975" s="1323"/>
      <c r="W975" s="1323"/>
      <c r="X975" s="1323"/>
      <c r="Y975" s="1323"/>
      <c r="AA975" s="777">
        <v>1</v>
      </c>
      <c r="AB975" s="778" t="s">
        <v>1129</v>
      </c>
      <c r="AC975" s="236">
        <v>11282.2861138875</v>
      </c>
      <c r="AD975" s="778" t="str">
        <f>AB975</f>
        <v xml:space="preserve">     Прочие амортизационные отчисления</v>
      </c>
      <c r="AE975" s="236">
        <v>0</v>
      </c>
      <c r="AF975" s="1331"/>
      <c r="AG975" s="1332"/>
      <c r="AH975" s="1332"/>
      <c r="AI975" s="1331"/>
      <c r="AJ975" s="1332"/>
      <c r="AK975" s="1332"/>
      <c r="AL975" s="771"/>
    </row>
    <row r="976" spans="1:38" ht="11.25" customHeight="1">
      <c r="A976" t="s">
        <v>1021</v>
      </c>
      <c r="E976" s="556"/>
      <c r="F976" s="1354"/>
      <c r="G976" s="1326"/>
      <c r="H976" s="1327" t="s">
        <v>102</v>
      </c>
      <c r="I976" s="1328"/>
      <c r="J976" s="1341"/>
      <c r="K976" s="1330"/>
      <c r="L976" s="1058"/>
      <c r="M976" s="1060"/>
      <c r="N976" s="1333"/>
      <c r="O976" s="1334"/>
      <c r="P976" s="1337"/>
      <c r="Q976" s="1323"/>
      <c r="R976" s="1323"/>
      <c r="S976" s="1338"/>
      <c r="T976" s="1323"/>
      <c r="U976" s="1323"/>
      <c r="V976" s="1323"/>
      <c r="W976" s="1323"/>
      <c r="X976" s="1323"/>
      <c r="Y976" s="1323"/>
      <c r="Z976" s="229"/>
      <c r="AA976" s="230"/>
      <c r="AB976" s="44" t="s">
        <v>1064</v>
      </c>
      <c r="AC976" s="231"/>
      <c r="AD976" s="231"/>
      <c r="AE976" s="245"/>
      <c r="AF976" s="1331"/>
      <c r="AG976" s="1332"/>
      <c r="AH976" s="1332"/>
      <c r="AI976" s="1331"/>
      <c r="AJ976" s="1332"/>
      <c r="AK976" s="1332"/>
      <c r="AL976" s="771"/>
    </row>
    <row r="977" spans="1:38" ht="11.25" customHeight="1">
      <c r="A977" t="s">
        <v>1021</v>
      </c>
      <c r="E977" s="556"/>
      <c r="F977" s="1354"/>
      <c r="G977" s="1326"/>
      <c r="H977" s="1327" t="s">
        <v>102</v>
      </c>
      <c r="I977" s="1328"/>
      <c r="J977" s="1341"/>
      <c r="K977" s="1330"/>
      <c r="L977" s="1058"/>
      <c r="M977" s="1060"/>
      <c r="N977" s="229"/>
      <c r="O977" s="230"/>
      <c r="P977" s="44" t="s">
        <v>1065</v>
      </c>
      <c r="Q977" s="230"/>
      <c r="R977" s="230"/>
      <c r="S977" s="230"/>
      <c r="T977" s="230"/>
      <c r="U977" s="230"/>
      <c r="V977" s="230"/>
      <c r="W977" s="230"/>
      <c r="X977" s="230"/>
      <c r="Y977" s="230"/>
      <c r="Z977" s="230"/>
      <c r="AA977" s="230"/>
      <c r="AB977" s="230"/>
      <c r="AC977" s="230"/>
      <c r="AD977" s="230"/>
      <c r="AE977" s="246"/>
      <c r="AF977" s="1331"/>
      <c r="AG977" s="1332"/>
      <c r="AH977" s="1332"/>
      <c r="AI977" s="1331"/>
      <c r="AJ977" s="1332"/>
      <c r="AK977" s="1332"/>
      <c r="AL977" s="771"/>
    </row>
    <row r="978" spans="1:38" ht="12" customHeight="1">
      <c r="A978" t="s">
        <v>1021</v>
      </c>
      <c r="E978" s="556"/>
      <c r="F978" s="1355"/>
      <c r="G978" s="774"/>
      <c r="H978" s="774"/>
      <c r="I978" s="1352" t="s">
        <v>1083</v>
      </c>
      <c r="J978" s="1352"/>
      <c r="K978" s="1352"/>
      <c r="L978" s="775"/>
      <c r="M978" s="775"/>
      <c r="N978" s="776"/>
      <c r="O978" s="776"/>
      <c r="P978" s="776"/>
      <c r="Q978" s="776"/>
      <c r="R978" s="776"/>
      <c r="S978" s="776"/>
      <c r="T978" s="776"/>
      <c r="U978" s="776"/>
      <c r="V978" s="776"/>
      <c r="W978" s="776"/>
      <c r="X978" s="776"/>
      <c r="Y978" s="776"/>
      <c r="Z978" s="776"/>
      <c r="AA978" s="776"/>
      <c r="AB978" s="776"/>
      <c r="AC978" s="776"/>
      <c r="AD978" s="776"/>
      <c r="AE978" s="776"/>
      <c r="AF978" s="776"/>
      <c r="AG978" s="775"/>
      <c r="AH978" s="775"/>
      <c r="AI978" s="776"/>
      <c r="AJ978" s="775"/>
      <c r="AK978" s="776"/>
      <c r="AL978" s="771"/>
    </row>
    <row r="979" spans="1:38" ht="0.75" customHeight="1">
      <c r="A979" t="s">
        <v>1021</v>
      </c>
      <c r="E979" s="556"/>
      <c r="F979" s="1353">
        <v>2029</v>
      </c>
      <c r="G979" s="1327"/>
      <c r="H979" s="1357" t="s">
        <v>387</v>
      </c>
      <c r="I979" s="1358"/>
      <c r="J979" s="1350"/>
      <c r="K979" s="1350"/>
      <c r="L979" s="1351"/>
      <c r="M979" s="1200"/>
      <c r="N979" s="214"/>
      <c r="O979" s="215"/>
      <c r="P979" s="214"/>
      <c r="Q979" s="214"/>
      <c r="R979" s="214"/>
      <c r="S979" s="214"/>
      <c r="T979" s="214"/>
      <c r="U979" s="214"/>
      <c r="V979" s="214"/>
      <c r="W979" s="214"/>
      <c r="X979" s="214"/>
      <c r="Y979" s="214"/>
      <c r="Z979" s="214"/>
      <c r="AA979" s="214"/>
      <c r="AB979" s="214"/>
      <c r="AC979" s="214"/>
      <c r="AD979" s="214"/>
      <c r="AE979" s="214"/>
      <c r="AF979" s="1356"/>
      <c r="AG979" s="1351"/>
      <c r="AH979" s="1351"/>
      <c r="AI979" s="1356"/>
      <c r="AJ979" s="1351"/>
      <c r="AK979" s="1351"/>
      <c r="AL979" s="771"/>
    </row>
    <row r="980" spans="1:38" ht="0.75" customHeight="1">
      <c r="A980" t="s">
        <v>1021</v>
      </c>
      <c r="E980" s="556"/>
      <c r="F980" s="1353"/>
      <c r="G980" s="1327"/>
      <c r="H980" s="1357"/>
      <c r="I980" s="1358"/>
      <c r="J980" s="1350"/>
      <c r="K980" s="1350"/>
      <c r="L980" s="1351"/>
      <c r="M980" s="1200"/>
      <c r="N980" s="1359"/>
      <c r="O980" s="1360"/>
      <c r="P980" s="1347"/>
      <c r="Q980" s="1350"/>
      <c r="R980" s="1350"/>
      <c r="S980" s="1350"/>
      <c r="T980" s="1350"/>
      <c r="U980" s="1350"/>
      <c r="V980" s="1350"/>
      <c r="W980" s="1350"/>
      <c r="X980" s="1350"/>
      <c r="Y980" s="1350"/>
      <c r="Z980" s="216"/>
      <c r="AA980" s="217"/>
      <c r="AB980" s="217"/>
      <c r="AC980" s="218"/>
      <c r="AD980" s="218"/>
      <c r="AE980" s="219"/>
      <c r="AF980" s="1356"/>
      <c r="AG980" s="1351"/>
      <c r="AH980" s="1351"/>
      <c r="AI980" s="1356"/>
      <c r="AJ980" s="1351"/>
      <c r="AK980" s="1351"/>
      <c r="AL980" s="771"/>
    </row>
    <row r="981" spans="1:38" ht="0.75" customHeight="1">
      <c r="A981" t="s">
        <v>1021</v>
      </c>
      <c r="E981" s="556"/>
      <c r="F981" s="1353"/>
      <c r="G981" s="1327"/>
      <c r="H981" s="1357"/>
      <c r="I981" s="1358"/>
      <c r="J981" s="1350"/>
      <c r="K981" s="1350"/>
      <c r="L981" s="1351"/>
      <c r="M981" s="1200"/>
      <c r="N981" s="1359"/>
      <c r="O981" s="1360"/>
      <c r="P981" s="1348"/>
      <c r="Q981" s="1350"/>
      <c r="R981" s="1350"/>
      <c r="S981" s="1350"/>
      <c r="T981" s="1350"/>
      <c r="U981" s="1350"/>
      <c r="V981" s="1350"/>
      <c r="W981" s="1350"/>
      <c r="X981" s="1350"/>
      <c r="Y981" s="1350"/>
      <c r="AA981" s="772"/>
      <c r="AB981" s="773"/>
      <c r="AC981" s="220"/>
      <c r="AD981" s="773"/>
      <c r="AE981" s="220"/>
      <c r="AF981" s="1356"/>
      <c r="AG981" s="1351"/>
      <c r="AH981" s="1351"/>
      <c r="AI981" s="1356"/>
      <c r="AJ981" s="1351"/>
      <c r="AK981" s="1351"/>
      <c r="AL981" s="771"/>
    </row>
    <row r="982" spans="1:38" ht="0.75" customHeight="1">
      <c r="A982" t="s">
        <v>1021</v>
      </c>
      <c r="E982" s="556"/>
      <c r="F982" s="1353"/>
      <c r="G982" s="1327"/>
      <c r="H982" s="1357"/>
      <c r="I982" s="1358"/>
      <c r="J982" s="1350"/>
      <c r="K982" s="1350"/>
      <c r="L982" s="1351"/>
      <c r="M982" s="1200"/>
      <c r="N982" s="1359"/>
      <c r="O982" s="1360"/>
      <c r="P982" s="1349"/>
      <c r="Q982" s="1350"/>
      <c r="R982" s="1350"/>
      <c r="S982" s="1350"/>
      <c r="T982" s="1350"/>
      <c r="U982" s="1350"/>
      <c r="V982" s="1350"/>
      <c r="W982" s="1350"/>
      <c r="X982" s="1350"/>
      <c r="Y982" s="1350"/>
      <c r="Z982" s="216"/>
      <c r="AA982" s="217"/>
      <c r="AB982" s="221"/>
      <c r="AC982" s="218"/>
      <c r="AD982" s="218"/>
      <c r="AE982" s="222"/>
      <c r="AF982" s="1356"/>
      <c r="AG982" s="1351"/>
      <c r="AH982" s="1351"/>
      <c r="AI982" s="1356"/>
      <c r="AJ982" s="1351"/>
      <c r="AK982" s="1351"/>
      <c r="AL982" s="771"/>
    </row>
    <row r="983" spans="1:38" ht="0.75" customHeight="1">
      <c r="A983" t="s">
        <v>1021</v>
      </c>
      <c r="E983" s="556"/>
      <c r="F983" s="1353"/>
      <c r="G983" s="1327"/>
      <c r="H983" s="1357"/>
      <c r="I983" s="1358"/>
      <c r="J983" s="1350"/>
      <c r="K983" s="1350"/>
      <c r="L983" s="1351"/>
      <c r="M983" s="1200"/>
      <c r="N983" s="217"/>
      <c r="O983" s="217"/>
      <c r="P983" s="221"/>
      <c r="Q983" s="217"/>
      <c r="R983" s="217"/>
      <c r="S983" s="217"/>
      <c r="T983" s="217"/>
      <c r="U983" s="217"/>
      <c r="V983" s="217"/>
      <c r="W983" s="217"/>
      <c r="X983" s="217"/>
      <c r="Y983" s="217"/>
      <c r="Z983" s="217"/>
      <c r="AA983" s="217"/>
      <c r="AB983" s="217"/>
      <c r="AC983" s="217"/>
      <c r="AD983" s="217"/>
      <c r="AE983" s="223"/>
      <c r="AF983" s="1356"/>
      <c r="AG983" s="1351"/>
      <c r="AH983" s="1351"/>
      <c r="AI983" s="1356"/>
      <c r="AJ983" s="1351"/>
      <c r="AK983" s="1351"/>
      <c r="AL983" s="771"/>
    </row>
    <row r="984" spans="1:38" ht="11.25" customHeight="1">
      <c r="A984" t="s">
        <v>1021</v>
      </c>
      <c r="B984" t="s">
        <v>22</v>
      </c>
      <c r="E984" s="556"/>
      <c r="F984" s="1354"/>
      <c r="G984" s="1304" t="s">
        <v>103</v>
      </c>
      <c r="H984" s="1327" t="s">
        <v>114</v>
      </c>
      <c r="I984" s="1328" t="s">
        <v>1053</v>
      </c>
      <c r="J984" s="1329" t="s">
        <v>22</v>
      </c>
      <c r="K984" s="1330" t="s">
        <v>1185</v>
      </c>
      <c r="L984" s="1058" t="s">
        <v>19</v>
      </c>
      <c r="M984" s="1060"/>
      <c r="N984" s="241"/>
      <c r="O984" s="242" t="s">
        <v>387</v>
      </c>
      <c r="P984" s="243"/>
      <c r="Q984" s="243"/>
      <c r="R984" s="243"/>
      <c r="S984" s="243"/>
      <c r="T984" s="243"/>
      <c r="U984" s="243"/>
      <c r="V984" s="243"/>
      <c r="W984" s="243"/>
      <c r="X984" s="243"/>
      <c r="Y984" s="243"/>
      <c r="Z984" s="243"/>
      <c r="AA984" s="243"/>
      <c r="AB984" s="243"/>
      <c r="AC984" s="243"/>
      <c r="AD984" s="243"/>
      <c r="AE984" s="243"/>
      <c r="AF984" s="1331">
        <v>2</v>
      </c>
      <c r="AG984" s="1332" t="s">
        <v>1055</v>
      </c>
      <c r="AH984" s="1332" t="s">
        <v>1132</v>
      </c>
      <c r="AI984" s="1331">
        <v>2</v>
      </c>
      <c r="AJ984" s="1332" t="s">
        <v>1055</v>
      </c>
      <c r="AK984" s="1332" t="s">
        <v>1132</v>
      </c>
      <c r="AL984" s="771"/>
    </row>
    <row r="985" spans="1:38" ht="11.25" customHeight="1">
      <c r="A985" t="s">
        <v>1021</v>
      </c>
      <c r="E985" s="556"/>
      <c r="F985" s="1354"/>
      <c r="G985" s="1326"/>
      <c r="H985" s="1327" t="s">
        <v>387</v>
      </c>
      <c r="I985" s="1328"/>
      <c r="J985" s="1329"/>
      <c r="K985" s="1330"/>
      <c r="L985" s="1058"/>
      <c r="M985" s="1060"/>
      <c r="N985" s="1333"/>
      <c r="O985" s="1334">
        <v>1</v>
      </c>
      <c r="P985" s="1335" t="s">
        <v>61</v>
      </c>
      <c r="Q985" s="1339" t="s">
        <v>1057</v>
      </c>
      <c r="R985" s="1340" t="s">
        <v>1058</v>
      </c>
      <c r="S985" s="1340" t="s">
        <v>99</v>
      </c>
      <c r="T985" s="1340" t="s">
        <v>99</v>
      </c>
      <c r="U985" s="1340" t="s">
        <v>100</v>
      </c>
      <c r="V985" s="1340" t="s">
        <v>1059</v>
      </c>
      <c r="W985" s="1340" t="s">
        <v>1060</v>
      </c>
      <c r="X985" s="1340" t="s">
        <v>1061</v>
      </c>
      <c r="Y985" s="1340" t="s">
        <v>1062</v>
      </c>
      <c r="Z985" s="229"/>
      <c r="AA985" s="230"/>
      <c r="AB985" s="230"/>
      <c r="AC985" s="231"/>
      <c r="AD985" s="231"/>
      <c r="AE985" s="244"/>
      <c r="AF985" s="1331"/>
      <c r="AG985" s="1332"/>
      <c r="AH985" s="1332"/>
      <c r="AI985" s="1331"/>
      <c r="AJ985" s="1332"/>
      <c r="AK985" s="1332"/>
      <c r="AL985" s="771"/>
    </row>
    <row r="986" spans="1:38" ht="11.25" customHeight="1">
      <c r="A986" t="s">
        <v>1021</v>
      </c>
      <c r="E986" s="556"/>
      <c r="F986" s="1354"/>
      <c r="G986" s="1326"/>
      <c r="H986" s="1327" t="s">
        <v>387</v>
      </c>
      <c r="I986" s="1328"/>
      <c r="J986" s="1329"/>
      <c r="K986" s="1330"/>
      <c r="L986" s="1058"/>
      <c r="M986" s="1060"/>
      <c r="N986" s="1333"/>
      <c r="O986" s="1334"/>
      <c r="P986" s="1336"/>
      <c r="Q986" s="1339"/>
      <c r="R986" s="1323"/>
      <c r="S986" s="1338"/>
      <c r="T986" s="1323"/>
      <c r="U986" s="1323"/>
      <c r="V986" s="1323"/>
      <c r="W986" s="1323"/>
      <c r="X986" s="1323"/>
      <c r="Y986" s="1323"/>
      <c r="AA986" s="777">
        <v>1</v>
      </c>
      <c r="AB986" s="778" t="s">
        <v>1129</v>
      </c>
      <c r="AC986" s="236">
        <v>23426.174176409699</v>
      </c>
      <c r="AD986" s="778" t="str">
        <f>AB986</f>
        <v xml:space="preserve">     Прочие амортизационные отчисления</v>
      </c>
      <c r="AE986" s="236">
        <v>0</v>
      </c>
      <c r="AF986" s="1331"/>
      <c r="AG986" s="1332"/>
      <c r="AH986" s="1332"/>
      <c r="AI986" s="1331"/>
      <c r="AJ986" s="1332"/>
      <c r="AK986" s="1332"/>
      <c r="AL986" s="771"/>
    </row>
    <row r="987" spans="1:38" ht="11.25" customHeight="1">
      <c r="A987" t="s">
        <v>1021</v>
      </c>
      <c r="E987" s="556"/>
      <c r="F987" s="1354"/>
      <c r="G987" s="1326"/>
      <c r="H987" s="1327" t="s">
        <v>387</v>
      </c>
      <c r="I987" s="1328"/>
      <c r="J987" s="1329"/>
      <c r="K987" s="1330"/>
      <c r="L987" s="1058"/>
      <c r="M987" s="1060"/>
      <c r="N987" s="1333"/>
      <c r="O987" s="1334"/>
      <c r="P987" s="1337"/>
      <c r="Q987" s="1339"/>
      <c r="R987" s="1323"/>
      <c r="S987" s="1338"/>
      <c r="T987" s="1323"/>
      <c r="U987" s="1323"/>
      <c r="V987" s="1323"/>
      <c r="W987" s="1323"/>
      <c r="X987" s="1323"/>
      <c r="Y987" s="1323"/>
      <c r="Z987" s="229"/>
      <c r="AA987" s="230"/>
      <c r="AB987" s="44" t="s">
        <v>1064</v>
      </c>
      <c r="AC987" s="231"/>
      <c r="AD987" s="231"/>
      <c r="AE987" s="245"/>
      <c r="AF987" s="1331"/>
      <c r="AG987" s="1332"/>
      <c r="AH987" s="1332"/>
      <c r="AI987" s="1331"/>
      <c r="AJ987" s="1332"/>
      <c r="AK987" s="1332"/>
      <c r="AL987" s="771"/>
    </row>
    <row r="988" spans="1:38" ht="11.25" customHeight="1">
      <c r="A988" t="s">
        <v>1021</v>
      </c>
      <c r="E988" s="556"/>
      <c r="F988" s="1354"/>
      <c r="G988" s="1326"/>
      <c r="H988" s="1327" t="s">
        <v>387</v>
      </c>
      <c r="I988" s="1328"/>
      <c r="J988" s="1329"/>
      <c r="K988" s="1330"/>
      <c r="L988" s="1058"/>
      <c r="M988" s="1060"/>
      <c r="N988" s="229"/>
      <c r="O988" s="230"/>
      <c r="P988" s="44" t="s">
        <v>1065</v>
      </c>
      <c r="Q988" s="230"/>
      <c r="R988" s="230"/>
      <c r="S988" s="230"/>
      <c r="T988" s="230"/>
      <c r="U988" s="230"/>
      <c r="V988" s="230"/>
      <c r="W988" s="230"/>
      <c r="X988" s="230"/>
      <c r="Y988" s="230"/>
      <c r="Z988" s="230"/>
      <c r="AA988" s="230"/>
      <c r="AB988" s="230"/>
      <c r="AC988" s="230"/>
      <c r="AD988" s="230"/>
      <c r="AE988" s="246"/>
      <c r="AF988" s="1331"/>
      <c r="AG988" s="1332"/>
      <c r="AH988" s="1332"/>
      <c r="AI988" s="1331"/>
      <c r="AJ988" s="1332"/>
      <c r="AK988" s="1332"/>
      <c r="AL988" s="771"/>
    </row>
    <row r="989" spans="1:38" ht="11.25" customHeight="1">
      <c r="A989" t="s">
        <v>1021</v>
      </c>
      <c r="B989" t="s">
        <v>1076</v>
      </c>
      <c r="E989" s="556"/>
      <c r="F989" s="1354"/>
      <c r="G989" s="1304" t="s">
        <v>103</v>
      </c>
      <c r="H989" s="1327" t="s">
        <v>102</v>
      </c>
      <c r="I989" s="1328" t="s">
        <v>1077</v>
      </c>
      <c r="J989" s="1341" t="s">
        <v>1130</v>
      </c>
      <c r="K989" s="1330" t="s">
        <v>1131</v>
      </c>
      <c r="L989" s="1058" t="s">
        <v>19</v>
      </c>
      <c r="M989" s="1060"/>
      <c r="N989" s="241"/>
      <c r="O989" s="242" t="s">
        <v>387</v>
      </c>
      <c r="P989" s="243"/>
      <c r="Q989" s="243"/>
      <c r="R989" s="243"/>
      <c r="S989" s="243"/>
      <c r="T989" s="243"/>
      <c r="U989" s="243"/>
      <c r="V989" s="243"/>
      <c r="W989" s="243"/>
      <c r="X989" s="243"/>
      <c r="Y989" s="243"/>
      <c r="Z989" s="243"/>
      <c r="AA989" s="243"/>
      <c r="AB989" s="243"/>
      <c r="AC989" s="243"/>
      <c r="AD989" s="243"/>
      <c r="AE989" s="243"/>
      <c r="AF989" s="1331">
        <v>2</v>
      </c>
      <c r="AG989" s="1332" t="s">
        <v>1055</v>
      </c>
      <c r="AH989" s="1332" t="s">
        <v>1132</v>
      </c>
      <c r="AI989" s="1331">
        <v>2</v>
      </c>
      <c r="AJ989" s="1332" t="s">
        <v>1055</v>
      </c>
      <c r="AK989" s="1332" t="s">
        <v>1132</v>
      </c>
      <c r="AL989" s="771"/>
    </row>
    <row r="990" spans="1:38" ht="11.25" customHeight="1">
      <c r="A990" t="s">
        <v>1021</v>
      </c>
      <c r="E990" s="556"/>
      <c r="F990" s="1354"/>
      <c r="G990" s="1326"/>
      <c r="H990" s="1327" t="s">
        <v>114</v>
      </c>
      <c r="I990" s="1328"/>
      <c r="J990" s="1341"/>
      <c r="K990" s="1330"/>
      <c r="L990" s="1058"/>
      <c r="M990" s="1060"/>
      <c r="N990" s="1333"/>
      <c r="O990" s="1334">
        <v>1</v>
      </c>
      <c r="P990" s="1335" t="s">
        <v>19</v>
      </c>
      <c r="Q990" s="1323" t="s">
        <v>22</v>
      </c>
      <c r="R990" s="1323" t="s">
        <v>22</v>
      </c>
      <c r="S990" s="1323" t="s">
        <v>22</v>
      </c>
      <c r="T990" s="1323" t="s">
        <v>22</v>
      </c>
      <c r="U990" s="1323" t="s">
        <v>22</v>
      </c>
      <c r="V990" s="1323" t="s">
        <v>22</v>
      </c>
      <c r="W990" s="1323" t="s">
        <v>22</v>
      </c>
      <c r="X990" s="1323" t="s">
        <v>22</v>
      </c>
      <c r="Y990" s="1323"/>
      <c r="Z990" s="229"/>
      <c r="AA990" s="230"/>
      <c r="AB990" s="230"/>
      <c r="AC990" s="231"/>
      <c r="AD990" s="231"/>
      <c r="AE990" s="244"/>
      <c r="AF990" s="1331"/>
      <c r="AG990" s="1332"/>
      <c r="AH990" s="1332"/>
      <c r="AI990" s="1331"/>
      <c r="AJ990" s="1332"/>
      <c r="AK990" s="1332"/>
      <c r="AL990" s="771"/>
    </row>
    <row r="991" spans="1:38" ht="11.25" customHeight="1">
      <c r="A991" t="s">
        <v>1021</v>
      </c>
      <c r="E991" s="556"/>
      <c r="F991" s="1354"/>
      <c r="G991" s="1326"/>
      <c r="H991" s="1327" t="s">
        <v>114</v>
      </c>
      <c r="I991" s="1328"/>
      <c r="J991" s="1341"/>
      <c r="K991" s="1330"/>
      <c r="L991" s="1058"/>
      <c r="M991" s="1060"/>
      <c r="N991" s="1333"/>
      <c r="O991" s="1334"/>
      <c r="P991" s="1336"/>
      <c r="Q991" s="1323"/>
      <c r="R991" s="1323"/>
      <c r="S991" s="1338"/>
      <c r="T991" s="1323"/>
      <c r="U991" s="1323"/>
      <c r="V991" s="1323"/>
      <c r="W991" s="1323"/>
      <c r="X991" s="1323"/>
      <c r="Y991" s="1323"/>
      <c r="AA991" s="777">
        <v>1</v>
      </c>
      <c r="AB991" s="778" t="s">
        <v>1129</v>
      </c>
      <c r="AC991" s="236">
        <v>2027.94650169189</v>
      </c>
      <c r="AD991" s="778" t="str">
        <f>AB991</f>
        <v xml:space="preserve">     Прочие амортизационные отчисления</v>
      </c>
      <c r="AE991" s="236">
        <v>0</v>
      </c>
      <c r="AF991" s="1331"/>
      <c r="AG991" s="1332"/>
      <c r="AH991" s="1332"/>
      <c r="AI991" s="1331"/>
      <c r="AJ991" s="1332"/>
      <c r="AK991" s="1332"/>
      <c r="AL991" s="771"/>
    </row>
    <row r="992" spans="1:38" ht="11.25" customHeight="1">
      <c r="A992" t="s">
        <v>1021</v>
      </c>
      <c r="E992" s="556"/>
      <c r="F992" s="1354"/>
      <c r="G992" s="1326"/>
      <c r="H992" s="1327" t="s">
        <v>114</v>
      </c>
      <c r="I992" s="1328"/>
      <c r="J992" s="1341"/>
      <c r="K992" s="1330"/>
      <c r="L992" s="1058"/>
      <c r="M992" s="1060"/>
      <c r="N992" s="1333"/>
      <c r="O992" s="1334"/>
      <c r="P992" s="1337"/>
      <c r="Q992" s="1323"/>
      <c r="R992" s="1323"/>
      <c r="S992" s="1338"/>
      <c r="T992" s="1323"/>
      <c r="U992" s="1323"/>
      <c r="V992" s="1323"/>
      <c r="W992" s="1323"/>
      <c r="X992" s="1323"/>
      <c r="Y992" s="1323"/>
      <c r="Z992" s="229"/>
      <c r="AA992" s="230"/>
      <c r="AB992" s="44" t="s">
        <v>1064</v>
      </c>
      <c r="AC992" s="231"/>
      <c r="AD992" s="231"/>
      <c r="AE992" s="245"/>
      <c r="AF992" s="1331"/>
      <c r="AG992" s="1332"/>
      <c r="AH992" s="1332"/>
      <c r="AI992" s="1331"/>
      <c r="AJ992" s="1332"/>
      <c r="AK992" s="1332"/>
      <c r="AL992" s="771"/>
    </row>
    <row r="993" spans="1:38" ht="11.25" customHeight="1">
      <c r="A993" t="s">
        <v>1021</v>
      </c>
      <c r="E993" s="556"/>
      <c r="F993" s="1354"/>
      <c r="G993" s="1326"/>
      <c r="H993" s="1327" t="s">
        <v>114</v>
      </c>
      <c r="I993" s="1328"/>
      <c r="J993" s="1341"/>
      <c r="K993" s="1330"/>
      <c r="L993" s="1058"/>
      <c r="M993" s="1060"/>
      <c r="N993" s="229"/>
      <c r="O993" s="230"/>
      <c r="P993" s="44" t="s">
        <v>1065</v>
      </c>
      <c r="Q993" s="230"/>
      <c r="R993" s="230"/>
      <c r="S993" s="230"/>
      <c r="T993" s="230"/>
      <c r="U993" s="230"/>
      <c r="V993" s="230"/>
      <c r="W993" s="230"/>
      <c r="X993" s="230"/>
      <c r="Y993" s="230"/>
      <c r="Z993" s="230"/>
      <c r="AA993" s="230"/>
      <c r="AB993" s="230"/>
      <c r="AC993" s="230"/>
      <c r="AD993" s="230"/>
      <c r="AE993" s="246"/>
      <c r="AF993" s="1331"/>
      <c r="AG993" s="1332"/>
      <c r="AH993" s="1332"/>
      <c r="AI993" s="1331"/>
      <c r="AJ993" s="1332"/>
      <c r="AK993" s="1332"/>
      <c r="AL993" s="771"/>
    </row>
    <row r="994" spans="1:38" ht="12" customHeight="1">
      <c r="A994" t="s">
        <v>1021</v>
      </c>
      <c r="E994" s="556"/>
      <c r="F994" s="1355"/>
      <c r="G994" s="774"/>
      <c r="H994" s="774"/>
      <c r="I994" s="1352" t="s">
        <v>1083</v>
      </c>
      <c r="J994" s="1352"/>
      <c r="K994" s="1352"/>
      <c r="L994" s="775"/>
      <c r="M994" s="775"/>
      <c r="N994" s="776"/>
      <c r="O994" s="776"/>
      <c r="P994" s="776"/>
      <c r="Q994" s="776"/>
      <c r="R994" s="776"/>
      <c r="S994" s="776"/>
      <c r="T994" s="776"/>
      <c r="U994" s="776"/>
      <c r="V994" s="776"/>
      <c r="W994" s="776"/>
      <c r="X994" s="776"/>
      <c r="Y994" s="776"/>
      <c r="Z994" s="776"/>
      <c r="AA994" s="776"/>
      <c r="AB994" s="776"/>
      <c r="AC994" s="776"/>
      <c r="AD994" s="776"/>
      <c r="AE994" s="776"/>
      <c r="AF994" s="776"/>
      <c r="AG994" s="775"/>
      <c r="AH994" s="775"/>
      <c r="AI994" s="776"/>
      <c r="AJ994" s="775"/>
      <c r="AK994" s="776"/>
      <c r="AL994" s="771"/>
    </row>
    <row r="995" spans="1:38" ht="0.75" customHeight="1">
      <c r="A995" t="s">
        <v>1021</v>
      </c>
      <c r="E995" s="556"/>
      <c r="F995" s="1353">
        <v>2030</v>
      </c>
      <c r="G995" s="1327"/>
      <c r="H995" s="1357" t="s">
        <v>387</v>
      </c>
      <c r="I995" s="1358"/>
      <c r="J995" s="1350"/>
      <c r="K995" s="1350"/>
      <c r="L995" s="1351"/>
      <c r="M995" s="1200"/>
      <c r="N995" s="214"/>
      <c r="O995" s="215"/>
      <c r="P995" s="214"/>
      <c r="Q995" s="214"/>
      <c r="R995" s="214"/>
      <c r="S995" s="214"/>
      <c r="T995" s="214"/>
      <c r="U995" s="214"/>
      <c r="V995" s="214"/>
      <c r="W995" s="214"/>
      <c r="X995" s="214"/>
      <c r="Y995" s="214"/>
      <c r="Z995" s="214"/>
      <c r="AA995" s="214"/>
      <c r="AB995" s="214"/>
      <c r="AC995" s="214"/>
      <c r="AD995" s="214"/>
      <c r="AE995" s="214"/>
      <c r="AF995" s="1356"/>
      <c r="AG995" s="1351"/>
      <c r="AH995" s="1351"/>
      <c r="AI995" s="1356"/>
      <c r="AJ995" s="1351"/>
      <c r="AK995" s="1351"/>
      <c r="AL995" s="771"/>
    </row>
    <row r="996" spans="1:38" ht="0.75" customHeight="1">
      <c r="A996" t="s">
        <v>1021</v>
      </c>
      <c r="E996" s="556"/>
      <c r="F996" s="1353"/>
      <c r="G996" s="1327"/>
      <c r="H996" s="1357"/>
      <c r="I996" s="1358"/>
      <c r="J996" s="1350"/>
      <c r="K996" s="1350"/>
      <c r="L996" s="1351"/>
      <c r="M996" s="1200"/>
      <c r="N996" s="1359"/>
      <c r="O996" s="1360"/>
      <c r="P996" s="1347"/>
      <c r="Q996" s="1350"/>
      <c r="R996" s="1350"/>
      <c r="S996" s="1350"/>
      <c r="T996" s="1350"/>
      <c r="U996" s="1350"/>
      <c r="V996" s="1350"/>
      <c r="W996" s="1350"/>
      <c r="X996" s="1350"/>
      <c r="Y996" s="1350"/>
      <c r="Z996" s="216"/>
      <c r="AA996" s="217"/>
      <c r="AB996" s="217"/>
      <c r="AC996" s="218"/>
      <c r="AD996" s="218"/>
      <c r="AE996" s="219"/>
      <c r="AF996" s="1356"/>
      <c r="AG996" s="1351"/>
      <c r="AH996" s="1351"/>
      <c r="AI996" s="1356"/>
      <c r="AJ996" s="1351"/>
      <c r="AK996" s="1351"/>
      <c r="AL996" s="771"/>
    </row>
    <row r="997" spans="1:38" ht="0.75" customHeight="1">
      <c r="A997" t="s">
        <v>1021</v>
      </c>
      <c r="E997" s="556"/>
      <c r="F997" s="1353"/>
      <c r="G997" s="1327"/>
      <c r="H997" s="1357"/>
      <c r="I997" s="1358"/>
      <c r="J997" s="1350"/>
      <c r="K997" s="1350"/>
      <c r="L997" s="1351"/>
      <c r="M997" s="1200"/>
      <c r="N997" s="1359"/>
      <c r="O997" s="1360"/>
      <c r="P997" s="1348"/>
      <c r="Q997" s="1350"/>
      <c r="R997" s="1350"/>
      <c r="S997" s="1350"/>
      <c r="T997" s="1350"/>
      <c r="U997" s="1350"/>
      <c r="V997" s="1350"/>
      <c r="W997" s="1350"/>
      <c r="X997" s="1350"/>
      <c r="Y997" s="1350"/>
      <c r="AA997" s="772"/>
      <c r="AB997" s="773"/>
      <c r="AC997" s="220"/>
      <c r="AD997" s="773"/>
      <c r="AE997" s="220"/>
      <c r="AF997" s="1356"/>
      <c r="AG997" s="1351"/>
      <c r="AH997" s="1351"/>
      <c r="AI997" s="1356"/>
      <c r="AJ997" s="1351"/>
      <c r="AK997" s="1351"/>
      <c r="AL997" s="771"/>
    </row>
    <row r="998" spans="1:38" ht="0.75" customHeight="1">
      <c r="A998" t="s">
        <v>1021</v>
      </c>
      <c r="E998" s="556"/>
      <c r="F998" s="1353"/>
      <c r="G998" s="1327"/>
      <c r="H998" s="1357"/>
      <c r="I998" s="1358"/>
      <c r="J998" s="1350"/>
      <c r="K998" s="1350"/>
      <c r="L998" s="1351"/>
      <c r="M998" s="1200"/>
      <c r="N998" s="1359"/>
      <c r="O998" s="1360"/>
      <c r="P998" s="1349"/>
      <c r="Q998" s="1350"/>
      <c r="R998" s="1350"/>
      <c r="S998" s="1350"/>
      <c r="T998" s="1350"/>
      <c r="U998" s="1350"/>
      <c r="V998" s="1350"/>
      <c r="W998" s="1350"/>
      <c r="X998" s="1350"/>
      <c r="Y998" s="1350"/>
      <c r="Z998" s="216"/>
      <c r="AA998" s="217"/>
      <c r="AB998" s="221"/>
      <c r="AC998" s="218"/>
      <c r="AD998" s="218"/>
      <c r="AE998" s="222"/>
      <c r="AF998" s="1356"/>
      <c r="AG998" s="1351"/>
      <c r="AH998" s="1351"/>
      <c r="AI998" s="1356"/>
      <c r="AJ998" s="1351"/>
      <c r="AK998" s="1351"/>
      <c r="AL998" s="771"/>
    </row>
    <row r="999" spans="1:38" ht="0.75" customHeight="1">
      <c r="A999" t="s">
        <v>1021</v>
      </c>
      <c r="E999" s="556"/>
      <c r="F999" s="1353"/>
      <c r="G999" s="1327"/>
      <c r="H999" s="1357"/>
      <c r="I999" s="1358"/>
      <c r="J999" s="1350"/>
      <c r="K999" s="1350"/>
      <c r="L999" s="1351"/>
      <c r="M999" s="1200"/>
      <c r="N999" s="217"/>
      <c r="O999" s="217"/>
      <c r="P999" s="221"/>
      <c r="Q999" s="217"/>
      <c r="R999" s="217"/>
      <c r="S999" s="217"/>
      <c r="T999" s="217"/>
      <c r="U999" s="217"/>
      <c r="V999" s="217"/>
      <c r="W999" s="217"/>
      <c r="X999" s="217"/>
      <c r="Y999" s="217"/>
      <c r="Z999" s="217"/>
      <c r="AA999" s="217"/>
      <c r="AB999" s="217"/>
      <c r="AC999" s="217"/>
      <c r="AD999" s="217"/>
      <c r="AE999" s="223"/>
      <c r="AF999" s="1356"/>
      <c r="AG999" s="1351"/>
      <c r="AH999" s="1351"/>
      <c r="AI999" s="1356"/>
      <c r="AJ999" s="1351"/>
      <c r="AK999" s="1351"/>
      <c r="AL999" s="771"/>
    </row>
    <row r="1000" spans="1:38" ht="11.25" customHeight="1">
      <c r="A1000" t="s">
        <v>1021</v>
      </c>
      <c r="B1000" t="s">
        <v>22</v>
      </c>
      <c r="E1000" s="556"/>
      <c r="F1000" s="1354"/>
      <c r="G1000" s="1304" t="s">
        <v>103</v>
      </c>
      <c r="H1000" s="1327" t="s">
        <v>114</v>
      </c>
      <c r="I1000" s="1328" t="s">
        <v>1053</v>
      </c>
      <c r="J1000" s="1329" t="s">
        <v>22</v>
      </c>
      <c r="K1000" s="1330" t="s">
        <v>1185</v>
      </c>
      <c r="L1000" s="1058" t="s">
        <v>19</v>
      </c>
      <c r="M1000" s="1060"/>
      <c r="N1000" s="241"/>
      <c r="O1000" s="242" t="s">
        <v>387</v>
      </c>
      <c r="P1000" s="243"/>
      <c r="Q1000" s="243"/>
      <c r="R1000" s="243"/>
      <c r="S1000" s="243"/>
      <c r="T1000" s="243"/>
      <c r="U1000" s="243"/>
      <c r="V1000" s="243"/>
      <c r="W1000" s="243"/>
      <c r="X1000" s="243"/>
      <c r="Y1000" s="243"/>
      <c r="Z1000" s="243"/>
      <c r="AA1000" s="243"/>
      <c r="AB1000" s="243"/>
      <c r="AC1000" s="243"/>
      <c r="AD1000" s="243"/>
      <c r="AE1000" s="243"/>
      <c r="AF1000" s="1331">
        <v>1</v>
      </c>
      <c r="AG1000" s="1332" t="s">
        <v>1055</v>
      </c>
      <c r="AH1000" s="1332" t="s">
        <v>1132</v>
      </c>
      <c r="AI1000" s="1331">
        <v>1</v>
      </c>
      <c r="AJ1000" s="1332" t="s">
        <v>1055</v>
      </c>
      <c r="AK1000" s="1332" t="s">
        <v>1132</v>
      </c>
      <c r="AL1000" s="771"/>
    </row>
    <row r="1001" spans="1:38" ht="11.25" customHeight="1">
      <c r="A1001" t="s">
        <v>1021</v>
      </c>
      <c r="E1001" s="556"/>
      <c r="F1001" s="1354"/>
      <c r="G1001" s="1326"/>
      <c r="H1001" s="1327" t="s">
        <v>387</v>
      </c>
      <c r="I1001" s="1328"/>
      <c r="J1001" s="1329"/>
      <c r="K1001" s="1330"/>
      <c r="L1001" s="1058"/>
      <c r="M1001" s="1060"/>
      <c r="N1001" s="1333"/>
      <c r="O1001" s="1334">
        <v>1</v>
      </c>
      <c r="P1001" s="1335" t="s">
        <v>61</v>
      </c>
      <c r="Q1001" s="1339" t="s">
        <v>1057</v>
      </c>
      <c r="R1001" s="1340" t="s">
        <v>1058</v>
      </c>
      <c r="S1001" s="1340" t="s">
        <v>99</v>
      </c>
      <c r="T1001" s="1340" t="s">
        <v>99</v>
      </c>
      <c r="U1001" s="1340" t="s">
        <v>100</v>
      </c>
      <c r="V1001" s="1340" t="s">
        <v>1059</v>
      </c>
      <c r="W1001" s="1340" t="s">
        <v>1060</v>
      </c>
      <c r="X1001" s="1340" t="s">
        <v>1061</v>
      </c>
      <c r="Y1001" s="1340" t="s">
        <v>1062</v>
      </c>
      <c r="Z1001" s="229"/>
      <c r="AA1001" s="230"/>
      <c r="AB1001" s="230"/>
      <c r="AC1001" s="231"/>
      <c r="AD1001" s="231"/>
      <c r="AE1001" s="244"/>
      <c r="AF1001" s="1331"/>
      <c r="AG1001" s="1332"/>
      <c r="AH1001" s="1332"/>
      <c r="AI1001" s="1331"/>
      <c r="AJ1001" s="1332"/>
      <c r="AK1001" s="1332"/>
      <c r="AL1001" s="771"/>
    </row>
    <row r="1002" spans="1:38" ht="11.25" customHeight="1">
      <c r="A1002" t="s">
        <v>1021</v>
      </c>
      <c r="E1002" s="556"/>
      <c r="F1002" s="1354"/>
      <c r="G1002" s="1326"/>
      <c r="H1002" s="1327" t="s">
        <v>387</v>
      </c>
      <c r="I1002" s="1328"/>
      <c r="J1002" s="1329"/>
      <c r="K1002" s="1330"/>
      <c r="L1002" s="1058"/>
      <c r="M1002" s="1060"/>
      <c r="N1002" s="1333"/>
      <c r="O1002" s="1334"/>
      <c r="P1002" s="1336"/>
      <c r="Q1002" s="1339"/>
      <c r="R1002" s="1323"/>
      <c r="S1002" s="1338"/>
      <c r="T1002" s="1323"/>
      <c r="U1002" s="1323"/>
      <c r="V1002" s="1323"/>
      <c r="W1002" s="1323"/>
      <c r="X1002" s="1323"/>
      <c r="Y1002" s="1323"/>
      <c r="AA1002" s="777">
        <v>1</v>
      </c>
      <c r="AB1002" s="778" t="s">
        <v>1129</v>
      </c>
      <c r="AC1002" s="236">
        <v>5830.3076380868297</v>
      </c>
      <c r="AD1002" s="778" t="str">
        <f>AB1002</f>
        <v xml:space="preserve">     Прочие амортизационные отчисления</v>
      </c>
      <c r="AE1002" s="236">
        <v>0</v>
      </c>
      <c r="AF1002" s="1331"/>
      <c r="AG1002" s="1332"/>
      <c r="AH1002" s="1332"/>
      <c r="AI1002" s="1331"/>
      <c r="AJ1002" s="1332"/>
      <c r="AK1002" s="1332"/>
      <c r="AL1002" s="771"/>
    </row>
    <row r="1003" spans="1:38" ht="11.25" customHeight="1">
      <c r="A1003" t="s">
        <v>1021</v>
      </c>
      <c r="E1003" s="556"/>
      <c r="F1003" s="1354"/>
      <c r="G1003" s="1326"/>
      <c r="H1003" s="1327" t="s">
        <v>387</v>
      </c>
      <c r="I1003" s="1328"/>
      <c r="J1003" s="1329"/>
      <c r="K1003" s="1330"/>
      <c r="L1003" s="1058"/>
      <c r="M1003" s="1060"/>
      <c r="N1003" s="1333"/>
      <c r="O1003" s="1334"/>
      <c r="P1003" s="1337"/>
      <c r="Q1003" s="1339"/>
      <c r="R1003" s="1323"/>
      <c r="S1003" s="1338"/>
      <c r="T1003" s="1323"/>
      <c r="U1003" s="1323"/>
      <c r="V1003" s="1323"/>
      <c r="W1003" s="1323"/>
      <c r="X1003" s="1323"/>
      <c r="Y1003" s="1323"/>
      <c r="Z1003" s="229"/>
      <c r="AA1003" s="230"/>
      <c r="AB1003" s="44" t="s">
        <v>1064</v>
      </c>
      <c r="AC1003" s="231"/>
      <c r="AD1003" s="231"/>
      <c r="AE1003" s="245"/>
      <c r="AF1003" s="1331"/>
      <c r="AG1003" s="1332"/>
      <c r="AH1003" s="1332"/>
      <c r="AI1003" s="1331"/>
      <c r="AJ1003" s="1332"/>
      <c r="AK1003" s="1332"/>
      <c r="AL1003" s="771"/>
    </row>
    <row r="1004" spans="1:38" ht="11.25" customHeight="1">
      <c r="A1004" t="s">
        <v>1021</v>
      </c>
      <c r="E1004" s="556"/>
      <c r="F1004" s="1354"/>
      <c r="G1004" s="1326"/>
      <c r="H1004" s="1327" t="s">
        <v>387</v>
      </c>
      <c r="I1004" s="1328"/>
      <c r="J1004" s="1329"/>
      <c r="K1004" s="1330"/>
      <c r="L1004" s="1058"/>
      <c r="M1004" s="1060"/>
      <c r="N1004" s="229"/>
      <c r="O1004" s="230"/>
      <c r="P1004" s="44" t="s">
        <v>1065</v>
      </c>
      <c r="Q1004" s="230"/>
      <c r="R1004" s="230"/>
      <c r="S1004" s="230"/>
      <c r="T1004" s="230"/>
      <c r="U1004" s="230"/>
      <c r="V1004" s="230"/>
      <c r="W1004" s="230"/>
      <c r="X1004" s="230"/>
      <c r="Y1004" s="230"/>
      <c r="Z1004" s="230"/>
      <c r="AA1004" s="230"/>
      <c r="AB1004" s="230"/>
      <c r="AC1004" s="230"/>
      <c r="AD1004" s="230"/>
      <c r="AE1004" s="246"/>
      <c r="AF1004" s="1331"/>
      <c r="AG1004" s="1332"/>
      <c r="AH1004" s="1332"/>
      <c r="AI1004" s="1331"/>
      <c r="AJ1004" s="1332"/>
      <c r="AK1004" s="1332"/>
      <c r="AL1004" s="771"/>
    </row>
    <row r="1005" spans="1:38" ht="11.25" customHeight="1">
      <c r="A1005" t="s">
        <v>1021</v>
      </c>
      <c r="B1005" t="s">
        <v>1076</v>
      </c>
      <c r="E1005" s="556"/>
      <c r="F1005" s="1354"/>
      <c r="G1005" s="1304" t="s">
        <v>103</v>
      </c>
      <c r="H1005" s="1327" t="s">
        <v>102</v>
      </c>
      <c r="I1005" s="1328" t="s">
        <v>1077</v>
      </c>
      <c r="J1005" s="1341" t="s">
        <v>1130</v>
      </c>
      <c r="K1005" s="1330" t="s">
        <v>1131</v>
      </c>
      <c r="L1005" s="1058" t="s">
        <v>19</v>
      </c>
      <c r="M1005" s="1060"/>
      <c r="N1005" s="241"/>
      <c r="O1005" s="242" t="s">
        <v>387</v>
      </c>
      <c r="P1005" s="243"/>
      <c r="Q1005" s="243"/>
      <c r="R1005" s="243"/>
      <c r="S1005" s="243"/>
      <c r="T1005" s="243"/>
      <c r="U1005" s="243"/>
      <c r="V1005" s="243"/>
      <c r="W1005" s="243"/>
      <c r="X1005" s="243"/>
      <c r="Y1005" s="243"/>
      <c r="Z1005" s="243"/>
      <c r="AA1005" s="243"/>
      <c r="AB1005" s="243"/>
      <c r="AC1005" s="243"/>
      <c r="AD1005" s="243"/>
      <c r="AE1005" s="243"/>
      <c r="AF1005" s="1331">
        <v>1</v>
      </c>
      <c r="AG1005" s="1332" t="s">
        <v>1055</v>
      </c>
      <c r="AH1005" s="1332" t="s">
        <v>1132</v>
      </c>
      <c r="AI1005" s="1331">
        <v>1</v>
      </c>
      <c r="AJ1005" s="1332" t="s">
        <v>1055</v>
      </c>
      <c r="AK1005" s="1332" t="s">
        <v>1132</v>
      </c>
      <c r="AL1005" s="771"/>
    </row>
    <row r="1006" spans="1:38" ht="11.25" customHeight="1">
      <c r="A1006" t="s">
        <v>1021</v>
      </c>
      <c r="E1006" s="556"/>
      <c r="F1006" s="1354"/>
      <c r="G1006" s="1326"/>
      <c r="H1006" s="1327" t="s">
        <v>114</v>
      </c>
      <c r="I1006" s="1328"/>
      <c r="J1006" s="1341"/>
      <c r="K1006" s="1330"/>
      <c r="L1006" s="1058"/>
      <c r="M1006" s="1060"/>
      <c r="N1006" s="1333"/>
      <c r="O1006" s="1334">
        <v>1</v>
      </c>
      <c r="P1006" s="1335" t="s">
        <v>19</v>
      </c>
      <c r="Q1006" s="1323" t="s">
        <v>22</v>
      </c>
      <c r="R1006" s="1323" t="s">
        <v>22</v>
      </c>
      <c r="S1006" s="1323" t="s">
        <v>22</v>
      </c>
      <c r="T1006" s="1323" t="s">
        <v>22</v>
      </c>
      <c r="U1006" s="1323" t="s">
        <v>22</v>
      </c>
      <c r="V1006" s="1323" t="s">
        <v>22</v>
      </c>
      <c r="W1006" s="1323" t="s">
        <v>22</v>
      </c>
      <c r="X1006" s="1323" t="s">
        <v>22</v>
      </c>
      <c r="Y1006" s="1323"/>
      <c r="Z1006" s="229"/>
      <c r="AA1006" s="230"/>
      <c r="AB1006" s="230"/>
      <c r="AC1006" s="231"/>
      <c r="AD1006" s="231"/>
      <c r="AE1006" s="244"/>
      <c r="AF1006" s="1331"/>
      <c r="AG1006" s="1332"/>
      <c r="AH1006" s="1332"/>
      <c r="AI1006" s="1331"/>
      <c r="AJ1006" s="1332"/>
      <c r="AK1006" s="1332"/>
      <c r="AL1006" s="771"/>
    </row>
    <row r="1007" spans="1:38" ht="11.25" customHeight="1">
      <c r="A1007" t="s">
        <v>1021</v>
      </c>
      <c r="E1007" s="556"/>
      <c r="F1007" s="1354"/>
      <c r="G1007" s="1326"/>
      <c r="H1007" s="1327" t="s">
        <v>114</v>
      </c>
      <c r="I1007" s="1328"/>
      <c r="J1007" s="1341"/>
      <c r="K1007" s="1330"/>
      <c r="L1007" s="1058"/>
      <c r="M1007" s="1060"/>
      <c r="N1007" s="1333"/>
      <c r="O1007" s="1334"/>
      <c r="P1007" s="1336"/>
      <c r="Q1007" s="1323"/>
      <c r="R1007" s="1323"/>
      <c r="S1007" s="1338"/>
      <c r="T1007" s="1323"/>
      <c r="U1007" s="1323"/>
      <c r="V1007" s="1323"/>
      <c r="W1007" s="1323"/>
      <c r="X1007" s="1323"/>
      <c r="Y1007" s="1323"/>
      <c r="AA1007" s="777">
        <v>1</v>
      </c>
      <c r="AB1007" s="778" t="s">
        <v>1129</v>
      </c>
      <c r="AC1007" s="236">
        <v>71027.725106641403</v>
      </c>
      <c r="AD1007" s="778" t="str">
        <f>AB1007</f>
        <v xml:space="preserve">     Прочие амортизационные отчисления</v>
      </c>
      <c r="AE1007" s="236">
        <v>0</v>
      </c>
      <c r="AF1007" s="1331"/>
      <c r="AG1007" s="1332"/>
      <c r="AH1007" s="1332"/>
      <c r="AI1007" s="1331"/>
      <c r="AJ1007" s="1332"/>
      <c r="AK1007" s="1332"/>
      <c r="AL1007" s="771"/>
    </row>
    <row r="1008" spans="1:38" ht="11.25" customHeight="1">
      <c r="A1008" t="s">
        <v>1021</v>
      </c>
      <c r="E1008" s="556"/>
      <c r="F1008" s="1354"/>
      <c r="G1008" s="1326"/>
      <c r="H1008" s="1327" t="s">
        <v>114</v>
      </c>
      <c r="I1008" s="1328"/>
      <c r="J1008" s="1341"/>
      <c r="K1008" s="1330"/>
      <c r="L1008" s="1058"/>
      <c r="M1008" s="1060"/>
      <c r="N1008" s="1333"/>
      <c r="O1008" s="1334"/>
      <c r="P1008" s="1337"/>
      <c r="Q1008" s="1323"/>
      <c r="R1008" s="1323"/>
      <c r="S1008" s="1338"/>
      <c r="T1008" s="1323"/>
      <c r="U1008" s="1323"/>
      <c r="V1008" s="1323"/>
      <c r="W1008" s="1323"/>
      <c r="X1008" s="1323"/>
      <c r="Y1008" s="1323"/>
      <c r="Z1008" s="229"/>
      <c r="AA1008" s="230"/>
      <c r="AB1008" s="44" t="s">
        <v>1064</v>
      </c>
      <c r="AC1008" s="231"/>
      <c r="AD1008" s="231"/>
      <c r="AE1008" s="245"/>
      <c r="AF1008" s="1331"/>
      <c r="AG1008" s="1332"/>
      <c r="AH1008" s="1332"/>
      <c r="AI1008" s="1331"/>
      <c r="AJ1008" s="1332"/>
      <c r="AK1008" s="1332"/>
      <c r="AL1008" s="771"/>
    </row>
    <row r="1009" spans="1:59" ht="11.25" customHeight="1">
      <c r="A1009" t="s">
        <v>1021</v>
      </c>
      <c r="E1009" s="556"/>
      <c r="F1009" s="1354"/>
      <c r="G1009" s="1326"/>
      <c r="H1009" s="1327" t="s">
        <v>114</v>
      </c>
      <c r="I1009" s="1328"/>
      <c r="J1009" s="1341"/>
      <c r="K1009" s="1330"/>
      <c r="L1009" s="1058"/>
      <c r="M1009" s="1060"/>
      <c r="N1009" s="229"/>
      <c r="O1009" s="230"/>
      <c r="P1009" s="44" t="s">
        <v>1065</v>
      </c>
      <c r="Q1009" s="230"/>
      <c r="R1009" s="230"/>
      <c r="S1009" s="230"/>
      <c r="T1009" s="230"/>
      <c r="U1009" s="230"/>
      <c r="V1009" s="230"/>
      <c r="W1009" s="230"/>
      <c r="X1009" s="230"/>
      <c r="Y1009" s="230"/>
      <c r="Z1009" s="230"/>
      <c r="AA1009" s="230"/>
      <c r="AB1009" s="230"/>
      <c r="AC1009" s="230"/>
      <c r="AD1009" s="230"/>
      <c r="AE1009" s="246"/>
      <c r="AF1009" s="1331"/>
      <c r="AG1009" s="1332"/>
      <c r="AH1009" s="1332"/>
      <c r="AI1009" s="1331"/>
      <c r="AJ1009" s="1332"/>
      <c r="AK1009" s="1332"/>
      <c r="AL1009" s="771"/>
    </row>
    <row r="1010" spans="1:59" ht="11.25" customHeight="1">
      <c r="A1010" t="s">
        <v>1021</v>
      </c>
      <c r="B1010" t="s">
        <v>22</v>
      </c>
      <c r="E1010" s="556"/>
      <c r="F1010" s="1354"/>
      <c r="G1010" s="1304" t="s">
        <v>103</v>
      </c>
      <c r="H1010" s="1327" t="s">
        <v>89</v>
      </c>
      <c r="I1010" s="1328" t="s">
        <v>1080</v>
      </c>
      <c r="J1010" s="1329" t="s">
        <v>22</v>
      </c>
      <c r="K1010" s="1330" t="s">
        <v>1188</v>
      </c>
      <c r="L1010" s="1058" t="s">
        <v>19</v>
      </c>
      <c r="M1010" s="1060"/>
      <c r="N1010" s="241"/>
      <c r="O1010" s="242" t="s">
        <v>387</v>
      </c>
      <c r="P1010" s="243"/>
      <c r="Q1010" s="243"/>
      <c r="R1010" s="243"/>
      <c r="S1010" s="243"/>
      <c r="T1010" s="243"/>
      <c r="U1010" s="243"/>
      <c r="V1010" s="243"/>
      <c r="W1010" s="243"/>
      <c r="X1010" s="243"/>
      <c r="Y1010" s="243"/>
      <c r="Z1010" s="243"/>
      <c r="AA1010" s="243"/>
      <c r="AB1010" s="243"/>
      <c r="AC1010" s="243"/>
      <c r="AD1010" s="243"/>
      <c r="AE1010" s="243"/>
      <c r="AF1010" s="1331">
        <v>1</v>
      </c>
      <c r="AG1010" s="1332" t="s">
        <v>1055</v>
      </c>
      <c r="AH1010" s="1332" t="s">
        <v>1132</v>
      </c>
      <c r="AI1010" s="1331">
        <v>1</v>
      </c>
      <c r="AJ1010" s="1332" t="s">
        <v>1055</v>
      </c>
      <c r="AK1010" s="1332" t="s">
        <v>1132</v>
      </c>
      <c r="AL1010" s="771"/>
    </row>
    <row r="1011" spans="1:59" ht="11.25" customHeight="1">
      <c r="A1011" t="s">
        <v>1021</v>
      </c>
      <c r="E1011" s="556"/>
      <c r="F1011" s="1354"/>
      <c r="G1011" s="1326"/>
      <c r="H1011" s="1327" t="s">
        <v>102</v>
      </c>
      <c r="I1011" s="1328"/>
      <c r="J1011" s="1329"/>
      <c r="K1011" s="1330"/>
      <c r="L1011" s="1058"/>
      <c r="M1011" s="1060"/>
      <c r="N1011" s="1333"/>
      <c r="O1011" s="1334">
        <v>1</v>
      </c>
      <c r="P1011" s="1335" t="s">
        <v>19</v>
      </c>
      <c r="Q1011" s="1323" t="s">
        <v>22</v>
      </c>
      <c r="R1011" s="1323" t="s">
        <v>22</v>
      </c>
      <c r="S1011" s="1323" t="s">
        <v>22</v>
      </c>
      <c r="T1011" s="1323" t="s">
        <v>22</v>
      </c>
      <c r="U1011" s="1323" t="s">
        <v>22</v>
      </c>
      <c r="V1011" s="1323" t="s">
        <v>22</v>
      </c>
      <c r="W1011" s="1323" t="s">
        <v>22</v>
      </c>
      <c r="X1011" s="1323" t="s">
        <v>22</v>
      </c>
      <c r="Y1011" s="1323"/>
      <c r="Z1011" s="229"/>
      <c r="AA1011" s="230"/>
      <c r="AB1011" s="230"/>
      <c r="AC1011" s="231"/>
      <c r="AD1011" s="231"/>
      <c r="AE1011" s="244"/>
      <c r="AF1011" s="1331"/>
      <c r="AG1011" s="1332"/>
      <c r="AH1011" s="1332"/>
      <c r="AI1011" s="1331"/>
      <c r="AJ1011" s="1332"/>
      <c r="AK1011" s="1332"/>
      <c r="AL1011" s="771"/>
    </row>
    <row r="1012" spans="1:59" ht="11.25" customHeight="1">
      <c r="A1012" t="s">
        <v>1021</v>
      </c>
      <c r="E1012" s="556"/>
      <c r="F1012" s="1354"/>
      <c r="G1012" s="1326"/>
      <c r="H1012" s="1327" t="s">
        <v>102</v>
      </c>
      <c r="I1012" s="1328"/>
      <c r="J1012" s="1329"/>
      <c r="K1012" s="1330"/>
      <c r="L1012" s="1058"/>
      <c r="M1012" s="1060"/>
      <c r="N1012" s="1333"/>
      <c r="O1012" s="1334"/>
      <c r="P1012" s="1336"/>
      <c r="Q1012" s="1323"/>
      <c r="R1012" s="1323"/>
      <c r="S1012" s="1338"/>
      <c r="T1012" s="1323"/>
      <c r="U1012" s="1323"/>
      <c r="V1012" s="1323"/>
      <c r="W1012" s="1323"/>
      <c r="X1012" s="1323"/>
      <c r="Y1012" s="1323"/>
      <c r="AA1012" s="777">
        <v>1</v>
      </c>
      <c r="AB1012" s="778" t="s">
        <v>1129</v>
      </c>
      <c r="AC1012" s="236">
        <v>9651.8998566492501</v>
      </c>
      <c r="AD1012" s="778" t="str">
        <f>AB1012</f>
        <v xml:space="preserve">     Прочие амортизационные отчисления</v>
      </c>
      <c r="AE1012" s="236">
        <v>0</v>
      </c>
      <c r="AF1012" s="1331"/>
      <c r="AG1012" s="1332"/>
      <c r="AH1012" s="1332"/>
      <c r="AI1012" s="1331"/>
      <c r="AJ1012" s="1332"/>
      <c r="AK1012" s="1332"/>
      <c r="AL1012" s="771"/>
    </row>
    <row r="1013" spans="1:59" ht="11.25" customHeight="1">
      <c r="A1013" t="s">
        <v>1021</v>
      </c>
      <c r="E1013" s="556"/>
      <c r="F1013" s="1354"/>
      <c r="G1013" s="1326"/>
      <c r="H1013" s="1327" t="s">
        <v>102</v>
      </c>
      <c r="I1013" s="1328"/>
      <c r="J1013" s="1329"/>
      <c r="K1013" s="1330"/>
      <c r="L1013" s="1058"/>
      <c r="M1013" s="1060"/>
      <c r="N1013" s="1333"/>
      <c r="O1013" s="1334"/>
      <c r="P1013" s="1337"/>
      <c r="Q1013" s="1323"/>
      <c r="R1013" s="1323"/>
      <c r="S1013" s="1338"/>
      <c r="T1013" s="1323"/>
      <c r="U1013" s="1323"/>
      <c r="V1013" s="1323"/>
      <c r="W1013" s="1323"/>
      <c r="X1013" s="1323"/>
      <c r="Y1013" s="1323"/>
      <c r="Z1013" s="229"/>
      <c r="AA1013" s="230"/>
      <c r="AB1013" s="44" t="s">
        <v>1064</v>
      </c>
      <c r="AC1013" s="231"/>
      <c r="AD1013" s="231"/>
      <c r="AE1013" s="245"/>
      <c r="AF1013" s="1331"/>
      <c r="AG1013" s="1332"/>
      <c r="AH1013" s="1332"/>
      <c r="AI1013" s="1331"/>
      <c r="AJ1013" s="1332"/>
      <c r="AK1013" s="1332"/>
      <c r="AL1013" s="771"/>
    </row>
    <row r="1014" spans="1:59" ht="11.25" customHeight="1">
      <c r="A1014" t="s">
        <v>1021</v>
      </c>
      <c r="E1014" s="556"/>
      <c r="F1014" s="1354"/>
      <c r="G1014" s="1326"/>
      <c r="H1014" s="1327" t="s">
        <v>102</v>
      </c>
      <c r="I1014" s="1328"/>
      <c r="J1014" s="1329"/>
      <c r="K1014" s="1330"/>
      <c r="L1014" s="1058"/>
      <c r="M1014" s="1060"/>
      <c r="N1014" s="229"/>
      <c r="O1014" s="230"/>
      <c r="P1014" s="44" t="s">
        <v>1065</v>
      </c>
      <c r="Q1014" s="230"/>
      <c r="R1014" s="230"/>
      <c r="S1014" s="230"/>
      <c r="T1014" s="230"/>
      <c r="U1014" s="230"/>
      <c r="V1014" s="230"/>
      <c r="W1014" s="230"/>
      <c r="X1014" s="230"/>
      <c r="Y1014" s="230"/>
      <c r="Z1014" s="230"/>
      <c r="AA1014" s="230"/>
      <c r="AB1014" s="230"/>
      <c r="AC1014" s="230"/>
      <c r="AD1014" s="230"/>
      <c r="AE1014" s="246"/>
      <c r="AF1014" s="1331"/>
      <c r="AG1014" s="1332"/>
      <c r="AH1014" s="1332"/>
      <c r="AI1014" s="1331"/>
      <c r="AJ1014" s="1332"/>
      <c r="AK1014" s="1332"/>
      <c r="AL1014" s="771"/>
    </row>
    <row r="1015" spans="1:59" ht="12" customHeight="1">
      <c r="A1015" t="s">
        <v>1021</v>
      </c>
      <c r="E1015" s="556"/>
      <c r="F1015" s="1355"/>
      <c r="G1015" s="774"/>
      <c r="H1015" s="774"/>
      <c r="I1015" s="1352" t="s">
        <v>1083</v>
      </c>
      <c r="J1015" s="1352"/>
      <c r="K1015" s="1352"/>
      <c r="L1015" s="775"/>
      <c r="M1015" s="775"/>
      <c r="N1015" s="776"/>
      <c r="O1015" s="776"/>
      <c r="P1015" s="776"/>
      <c r="Q1015" s="776"/>
      <c r="R1015" s="776"/>
      <c r="S1015" s="776"/>
      <c r="T1015" s="776"/>
      <c r="U1015" s="776"/>
      <c r="V1015" s="776"/>
      <c r="W1015" s="776"/>
      <c r="X1015" s="776"/>
      <c r="Y1015" s="776"/>
      <c r="Z1015" s="776"/>
      <c r="AA1015" s="776"/>
      <c r="AB1015" s="776"/>
      <c r="AC1015" s="776"/>
      <c r="AD1015" s="776"/>
      <c r="AE1015" s="776"/>
      <c r="AF1015" s="776"/>
      <c r="AG1015" s="775"/>
      <c r="AH1015" s="775"/>
      <c r="AI1015" s="776"/>
      <c r="AJ1015" s="775"/>
      <c r="AK1015" s="776"/>
      <c r="AL1015" s="771"/>
    </row>
    <row r="1016" spans="1:59" ht="10.5" customHeight="1">
      <c r="BG1016" s="538">
        <v>10</v>
      </c>
    </row>
    <row r="1017" spans="1:59" ht="13.5" customHeight="1">
      <c r="F1017" s="600" t="s">
        <v>1189</v>
      </c>
      <c r="BG1017" s="538">
        <v>13</v>
      </c>
    </row>
    <row r="1018" spans="1:59" ht="10.5" customHeight="1">
      <c r="BG1018" s="538">
        <v>10</v>
      </c>
    </row>
    <row r="1019" spans="1:59" ht="10.5" customHeight="1">
      <c r="F1019" s="1031"/>
      <c r="G1019" s="1031"/>
      <c r="H1019" s="1031"/>
      <c r="I1019" s="1031"/>
      <c r="J1019" s="1031"/>
      <c r="BG1019" s="538">
        <v>10</v>
      </c>
    </row>
    <row r="1020" spans="1:59" ht="10.5" customHeight="1">
      <c r="F1020" s="1031"/>
      <c r="G1020" s="1031"/>
      <c r="H1020" s="1031"/>
      <c r="I1020" s="1031"/>
      <c r="J1020" s="1031"/>
      <c r="BG1020" s="538">
        <v>10</v>
      </c>
    </row>
    <row r="1021" spans="1:59" ht="10.5" customHeight="1">
      <c r="F1021" s="1031"/>
      <c r="G1021" s="1031"/>
      <c r="H1021" s="1031"/>
      <c r="I1021" s="1031"/>
      <c r="J1021" s="1031"/>
      <c r="BG1021" s="538">
        <v>10</v>
      </c>
    </row>
    <row r="1022" spans="1:59" ht="10.5" hidden="1" customHeight="1">
      <c r="A1022" s="456" t="s">
        <v>81</v>
      </c>
      <c r="B1022" s="456">
        <v>0</v>
      </c>
      <c r="C1022" s="456">
        <v>0</v>
      </c>
      <c r="D1022" s="555">
        <v>0</v>
      </c>
      <c r="E1022" s="538">
        <v>3</v>
      </c>
      <c r="F1022" s="538">
        <v>14</v>
      </c>
      <c r="G1022" s="538">
        <v>3</v>
      </c>
      <c r="H1022" s="538">
        <v>7</v>
      </c>
      <c r="I1022" s="538">
        <v>16</v>
      </c>
      <c r="J1022" s="538">
        <v>16</v>
      </c>
      <c r="K1022" s="538">
        <v>25</v>
      </c>
      <c r="L1022" s="538">
        <v>7</v>
      </c>
      <c r="M1022" s="538">
        <v>15</v>
      </c>
      <c r="N1022" s="538">
        <v>3</v>
      </c>
      <c r="O1022" s="538">
        <v>4</v>
      </c>
      <c r="P1022" s="538">
        <v>8</v>
      </c>
      <c r="Q1022" s="538">
        <v>21</v>
      </c>
      <c r="R1022" s="538">
        <v>14</v>
      </c>
      <c r="S1022" s="538">
        <v>17</v>
      </c>
      <c r="T1022" s="538">
        <v>17</v>
      </c>
      <c r="U1022" s="538">
        <v>9</v>
      </c>
      <c r="V1022" s="538">
        <v>12</v>
      </c>
      <c r="W1022" s="538">
        <v>9</v>
      </c>
      <c r="X1022" s="538">
        <v>21</v>
      </c>
      <c r="Y1022" s="538">
        <v>12</v>
      </c>
      <c r="Z1022" s="538">
        <v>3</v>
      </c>
      <c r="AA1022" s="538">
        <v>6</v>
      </c>
      <c r="AB1022" s="538">
        <v>38</v>
      </c>
      <c r="AC1022" s="538">
        <v>15</v>
      </c>
      <c r="AD1022" s="538">
        <v>0</v>
      </c>
      <c r="AE1022" s="538">
        <v>0</v>
      </c>
      <c r="AF1022" s="538">
        <v>16</v>
      </c>
      <c r="AG1022" s="538">
        <v>16</v>
      </c>
      <c r="AH1022" s="538">
        <v>16</v>
      </c>
      <c r="AI1022" s="538">
        <v>0</v>
      </c>
      <c r="AJ1022" s="538">
        <v>0</v>
      </c>
      <c r="AK1022" s="538">
        <v>0</v>
      </c>
      <c r="AL1022" s="538">
        <v>8</v>
      </c>
      <c r="AM1022" s="538">
        <v>8</v>
      </c>
      <c r="AN1022" s="538">
        <v>8</v>
      </c>
      <c r="AO1022" s="538">
        <v>8</v>
      </c>
      <c r="AP1022" s="538">
        <v>8</v>
      </c>
      <c r="AQ1022" s="538">
        <v>8</v>
      </c>
      <c r="AR1022" s="538">
        <v>8</v>
      </c>
      <c r="AS1022" s="538">
        <v>8</v>
      </c>
      <c r="AT1022" s="538">
        <v>8</v>
      </c>
      <c r="AU1022" s="538">
        <v>8</v>
      </c>
      <c r="AV1022" s="538">
        <v>8</v>
      </c>
      <c r="AW1022" s="538">
        <v>8</v>
      </c>
      <c r="AX1022" s="538">
        <v>8</v>
      </c>
      <c r="AY1022" s="538">
        <v>8</v>
      </c>
      <c r="AZ1022" s="538">
        <v>8</v>
      </c>
      <c r="BA1022" s="538">
        <v>8</v>
      </c>
      <c r="BB1022" s="538">
        <v>8</v>
      </c>
      <c r="BC1022" s="538">
        <v>8</v>
      </c>
      <c r="BD1022" s="538">
        <v>8</v>
      </c>
      <c r="BE1022" s="538">
        <v>8</v>
      </c>
      <c r="BF1022" s="538">
        <v>8</v>
      </c>
      <c r="BG1022" s="538">
        <v>10</v>
      </c>
    </row>
  </sheetData>
  <sheetProtection formatColumns="0" formatRows="0" insertRows="0" deleteColumns="0" deleteRows="0" sort="0" autoFilter="0"/>
  <mergeCells count="4612">
    <mergeCell ref="AB9:AE10"/>
    <mergeCell ref="S11:Y11"/>
    <mergeCell ref="N10:Y10"/>
    <mergeCell ref="K9:Y9"/>
    <mergeCell ref="N11:O12"/>
    <mergeCell ref="P11:P12"/>
    <mergeCell ref="Q11:Q12"/>
    <mergeCell ref="F1021:J1021"/>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020:J1020"/>
    <mergeCell ref="F1019:J1019"/>
    <mergeCell ref="P47:P49"/>
    <mergeCell ref="Q47:Q49"/>
    <mergeCell ref="R47:R49"/>
    <mergeCell ref="G46:G50"/>
    <mergeCell ref="AJ46:AJ50"/>
    <mergeCell ref="F5:K5"/>
    <mergeCell ref="P16:P18"/>
    <mergeCell ref="Q16:Q18"/>
    <mergeCell ref="R16:R18"/>
    <mergeCell ref="G15:G19"/>
    <mergeCell ref="AJ15:AJ19"/>
    <mergeCell ref="AK15:AK19"/>
    <mergeCell ref="I45:K45"/>
    <mergeCell ref="F15:F4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4"/>
    <mergeCell ref="I20:I24"/>
    <mergeCell ref="J20:J24"/>
    <mergeCell ref="K20:K24"/>
    <mergeCell ref="AK46:AK50"/>
    <mergeCell ref="I86:K86"/>
    <mergeCell ref="F46:F86"/>
    <mergeCell ref="AF46:AF50"/>
    <mergeCell ref="AG46:AG50"/>
    <mergeCell ref="AH46:AH50"/>
    <mergeCell ref="AI46:AI50"/>
    <mergeCell ref="S47:S49"/>
    <mergeCell ref="T47:T49"/>
    <mergeCell ref="U47:U49"/>
    <mergeCell ref="V47:V49"/>
    <mergeCell ref="W47:W49"/>
    <mergeCell ref="X47:X49"/>
    <mergeCell ref="Y47:Y49"/>
    <mergeCell ref="H46:H50"/>
    <mergeCell ref="I46:I50"/>
    <mergeCell ref="J46:J50"/>
    <mergeCell ref="K46:K50"/>
    <mergeCell ref="L46:L50"/>
    <mergeCell ref="M46:M50"/>
    <mergeCell ref="N47:N49"/>
    <mergeCell ref="O47:O49"/>
    <mergeCell ref="H56:H60"/>
    <mergeCell ref="I56:I60"/>
    <mergeCell ref="J56:J60"/>
    <mergeCell ref="K56:K60"/>
    <mergeCell ref="L56:L60"/>
    <mergeCell ref="M56:M60"/>
    <mergeCell ref="AF56:AF60"/>
    <mergeCell ref="AG56:AG60"/>
    <mergeCell ref="AH56:AH60"/>
    <mergeCell ref="AI56:AI60"/>
    <mergeCell ref="AJ87:AJ91"/>
    <mergeCell ref="AK87:AK91"/>
    <mergeCell ref="I97:K97"/>
    <mergeCell ref="F87:F97"/>
    <mergeCell ref="AF87:AF91"/>
    <mergeCell ref="AG87:AG91"/>
    <mergeCell ref="AH87:AH91"/>
    <mergeCell ref="AI87:AI91"/>
    <mergeCell ref="S88:S90"/>
    <mergeCell ref="T88:T90"/>
    <mergeCell ref="U88:U90"/>
    <mergeCell ref="V88:V90"/>
    <mergeCell ref="W88:W90"/>
    <mergeCell ref="X88:X90"/>
    <mergeCell ref="Y88:Y90"/>
    <mergeCell ref="H87:H91"/>
    <mergeCell ref="I87:I91"/>
    <mergeCell ref="J87:J91"/>
    <mergeCell ref="K87:K91"/>
    <mergeCell ref="L87:L91"/>
    <mergeCell ref="M87:M91"/>
    <mergeCell ref="N88:N90"/>
    <mergeCell ref="O88:O90"/>
    <mergeCell ref="P99:P101"/>
    <mergeCell ref="Q99:Q101"/>
    <mergeCell ref="R99:R101"/>
    <mergeCell ref="G98:G102"/>
    <mergeCell ref="AJ98:AJ102"/>
    <mergeCell ref="AK98:AK102"/>
    <mergeCell ref="I158:K158"/>
    <mergeCell ref="F98:F158"/>
    <mergeCell ref="AF98:AF102"/>
    <mergeCell ref="AG98:AG102"/>
    <mergeCell ref="AH98:AH102"/>
    <mergeCell ref="AI98:AI102"/>
    <mergeCell ref="S99:S101"/>
    <mergeCell ref="T99:T101"/>
    <mergeCell ref="U99:U101"/>
    <mergeCell ref="V99:V101"/>
    <mergeCell ref="W99:W101"/>
    <mergeCell ref="X99:X101"/>
    <mergeCell ref="Y99:Y101"/>
    <mergeCell ref="H98:H102"/>
    <mergeCell ref="I98:I102"/>
    <mergeCell ref="J98:J102"/>
    <mergeCell ref="K98:K102"/>
    <mergeCell ref="L98:L102"/>
    <mergeCell ref="M98:M102"/>
    <mergeCell ref="N99:N101"/>
    <mergeCell ref="O99:O101"/>
    <mergeCell ref="H103:H107"/>
    <mergeCell ref="I103:I107"/>
    <mergeCell ref="J103:J107"/>
    <mergeCell ref="K103:K107"/>
    <mergeCell ref="L103:L107"/>
    <mergeCell ref="AJ159:AJ163"/>
    <mergeCell ref="AK159:AK163"/>
    <mergeCell ref="I239:K239"/>
    <mergeCell ref="F159:F239"/>
    <mergeCell ref="AF159:AF163"/>
    <mergeCell ref="AG159:AG163"/>
    <mergeCell ref="AH159:AH163"/>
    <mergeCell ref="AI159:AI163"/>
    <mergeCell ref="S160:S162"/>
    <mergeCell ref="T160:T162"/>
    <mergeCell ref="U160:U162"/>
    <mergeCell ref="V160:V162"/>
    <mergeCell ref="W160:W162"/>
    <mergeCell ref="X160:X162"/>
    <mergeCell ref="Y160:Y162"/>
    <mergeCell ref="H159:H163"/>
    <mergeCell ref="I159:I163"/>
    <mergeCell ref="J159:J163"/>
    <mergeCell ref="K159:K163"/>
    <mergeCell ref="L159:L163"/>
    <mergeCell ref="M159:M163"/>
    <mergeCell ref="N160:N162"/>
    <mergeCell ref="O160:O162"/>
    <mergeCell ref="H169:H173"/>
    <mergeCell ref="I169:I173"/>
    <mergeCell ref="J169:J173"/>
    <mergeCell ref="K169:K173"/>
    <mergeCell ref="L169:L173"/>
    <mergeCell ref="P241:P243"/>
    <mergeCell ref="Q241:Q243"/>
    <mergeCell ref="R241:R243"/>
    <mergeCell ref="G240:G244"/>
    <mergeCell ref="AJ240:AJ244"/>
    <mergeCell ref="AK240:AK244"/>
    <mergeCell ref="I330:K330"/>
    <mergeCell ref="F240:F330"/>
    <mergeCell ref="AF240:AF244"/>
    <mergeCell ref="AG240:AG244"/>
    <mergeCell ref="AH240:AH244"/>
    <mergeCell ref="AI240:AI244"/>
    <mergeCell ref="S241:S243"/>
    <mergeCell ref="T241:T243"/>
    <mergeCell ref="U241:U243"/>
    <mergeCell ref="V241:V243"/>
    <mergeCell ref="W241:W243"/>
    <mergeCell ref="X241:X243"/>
    <mergeCell ref="Y241:Y243"/>
    <mergeCell ref="H240:H244"/>
    <mergeCell ref="I240:I244"/>
    <mergeCell ref="J240:J244"/>
    <mergeCell ref="K240:K244"/>
    <mergeCell ref="L240:L244"/>
    <mergeCell ref="M240:M244"/>
    <mergeCell ref="N241:N243"/>
    <mergeCell ref="O241:O243"/>
    <mergeCell ref="H245:H249"/>
    <mergeCell ref="I245:I249"/>
    <mergeCell ref="J245:J249"/>
    <mergeCell ref="K245:K249"/>
    <mergeCell ref="L245:L249"/>
    <mergeCell ref="AJ331:AJ335"/>
    <mergeCell ref="AK331:AK335"/>
    <mergeCell ref="I391:K391"/>
    <mergeCell ref="F331:F391"/>
    <mergeCell ref="AF331:AF335"/>
    <mergeCell ref="AG331:AG335"/>
    <mergeCell ref="AH331:AH335"/>
    <mergeCell ref="AI331:AI335"/>
    <mergeCell ref="S332:S334"/>
    <mergeCell ref="T332:T334"/>
    <mergeCell ref="U332:U334"/>
    <mergeCell ref="V332:V334"/>
    <mergeCell ref="W332:W334"/>
    <mergeCell ref="X332:X334"/>
    <mergeCell ref="Y332:Y334"/>
    <mergeCell ref="H331:H335"/>
    <mergeCell ref="I331:I335"/>
    <mergeCell ref="J331:J335"/>
    <mergeCell ref="K331:K335"/>
    <mergeCell ref="L331:L335"/>
    <mergeCell ref="M331:M335"/>
    <mergeCell ref="N332:N334"/>
    <mergeCell ref="O332:O334"/>
    <mergeCell ref="H341:H345"/>
    <mergeCell ref="I341:I345"/>
    <mergeCell ref="J341:J345"/>
    <mergeCell ref="K341:K345"/>
    <mergeCell ref="L341:L345"/>
    <mergeCell ref="P393:P395"/>
    <mergeCell ref="Q393:Q395"/>
    <mergeCell ref="R393:R395"/>
    <mergeCell ref="G392:G396"/>
    <mergeCell ref="AJ392:AJ396"/>
    <mergeCell ref="AK392:AK396"/>
    <mergeCell ref="I480:K480"/>
    <mergeCell ref="F392:F480"/>
    <mergeCell ref="AF392:AF396"/>
    <mergeCell ref="AG392:AG396"/>
    <mergeCell ref="AH392:AH396"/>
    <mergeCell ref="AI392:AI396"/>
    <mergeCell ref="S393:S395"/>
    <mergeCell ref="T393:T395"/>
    <mergeCell ref="U393:U395"/>
    <mergeCell ref="V393:V395"/>
    <mergeCell ref="W393:W395"/>
    <mergeCell ref="X393:X395"/>
    <mergeCell ref="Y393:Y395"/>
    <mergeCell ref="H392:H396"/>
    <mergeCell ref="I392:I396"/>
    <mergeCell ref="J392:J396"/>
    <mergeCell ref="K392:K396"/>
    <mergeCell ref="L392:L396"/>
    <mergeCell ref="M392:M396"/>
    <mergeCell ref="N393:N395"/>
    <mergeCell ref="O393:O395"/>
    <mergeCell ref="H397:H402"/>
    <mergeCell ref="I397:I402"/>
    <mergeCell ref="J397:J402"/>
    <mergeCell ref="K397:K402"/>
    <mergeCell ref="L397:L402"/>
    <mergeCell ref="P482:P484"/>
    <mergeCell ref="Q482:Q484"/>
    <mergeCell ref="R482:R484"/>
    <mergeCell ref="G481:G485"/>
    <mergeCell ref="AJ481:AJ485"/>
    <mergeCell ref="AK481:AK485"/>
    <mergeCell ref="I552:K552"/>
    <mergeCell ref="F481:F552"/>
    <mergeCell ref="AF481:AF485"/>
    <mergeCell ref="AG481:AG485"/>
    <mergeCell ref="AH481:AH485"/>
    <mergeCell ref="AI481:AI485"/>
    <mergeCell ref="S482:S484"/>
    <mergeCell ref="T482:T484"/>
    <mergeCell ref="U482:U484"/>
    <mergeCell ref="V482:V484"/>
    <mergeCell ref="W482:W484"/>
    <mergeCell ref="X482:X484"/>
    <mergeCell ref="Y482:Y484"/>
    <mergeCell ref="H481:H485"/>
    <mergeCell ref="I481:I485"/>
    <mergeCell ref="J481:J485"/>
    <mergeCell ref="K481:K485"/>
    <mergeCell ref="L481:L485"/>
    <mergeCell ref="M481:M485"/>
    <mergeCell ref="N482:N484"/>
    <mergeCell ref="O482:O484"/>
    <mergeCell ref="H486:H490"/>
    <mergeCell ref="I486:I490"/>
    <mergeCell ref="J486:J490"/>
    <mergeCell ref="K486:K490"/>
    <mergeCell ref="L486:L490"/>
    <mergeCell ref="AJ553:AJ557"/>
    <mergeCell ref="AK553:AK557"/>
    <mergeCell ref="I747:K747"/>
    <mergeCell ref="F553:F747"/>
    <mergeCell ref="AF553:AF557"/>
    <mergeCell ref="AG553:AG557"/>
    <mergeCell ref="AH553:AH557"/>
    <mergeCell ref="AI553:AI557"/>
    <mergeCell ref="S554:S556"/>
    <mergeCell ref="T554:T556"/>
    <mergeCell ref="U554:U556"/>
    <mergeCell ref="V554:V556"/>
    <mergeCell ref="W554:W556"/>
    <mergeCell ref="X554:X556"/>
    <mergeCell ref="Y554:Y556"/>
    <mergeCell ref="H553:H557"/>
    <mergeCell ref="I553:I557"/>
    <mergeCell ref="J553:J557"/>
    <mergeCell ref="K553:K557"/>
    <mergeCell ref="L553:L557"/>
    <mergeCell ref="M553:M557"/>
    <mergeCell ref="N554:N556"/>
    <mergeCell ref="O554:O556"/>
    <mergeCell ref="H565:H569"/>
    <mergeCell ref="I565:I569"/>
    <mergeCell ref="J565:J569"/>
    <mergeCell ref="K565:K569"/>
    <mergeCell ref="L565:L569"/>
    <mergeCell ref="AJ748:AJ752"/>
    <mergeCell ref="AK748:AK752"/>
    <mergeCell ref="I823:K823"/>
    <mergeCell ref="F748:F823"/>
    <mergeCell ref="AF748:AF752"/>
    <mergeCell ref="AG748:AG752"/>
    <mergeCell ref="AH748:AH752"/>
    <mergeCell ref="AI748:AI752"/>
    <mergeCell ref="S749:S751"/>
    <mergeCell ref="T749:T751"/>
    <mergeCell ref="U749:U751"/>
    <mergeCell ref="V749:V751"/>
    <mergeCell ref="W749:W751"/>
    <mergeCell ref="X749:X751"/>
    <mergeCell ref="Y749:Y751"/>
    <mergeCell ref="H748:H752"/>
    <mergeCell ref="I748:I752"/>
    <mergeCell ref="J748:J752"/>
    <mergeCell ref="K748:K752"/>
    <mergeCell ref="L748:L752"/>
    <mergeCell ref="M748:M752"/>
    <mergeCell ref="N749:N751"/>
    <mergeCell ref="O749:O751"/>
    <mergeCell ref="H758:H762"/>
    <mergeCell ref="I758:I762"/>
    <mergeCell ref="J758:J762"/>
    <mergeCell ref="K758:K762"/>
    <mergeCell ref="L758:L762"/>
    <mergeCell ref="Q825:Q827"/>
    <mergeCell ref="R825:R827"/>
    <mergeCell ref="G824:G828"/>
    <mergeCell ref="AJ824:AJ828"/>
    <mergeCell ref="AK824:AK828"/>
    <mergeCell ref="I854:K854"/>
    <mergeCell ref="F824:F854"/>
    <mergeCell ref="AF824:AF828"/>
    <mergeCell ref="AG824:AG828"/>
    <mergeCell ref="AH824:AH828"/>
    <mergeCell ref="AI824:AI828"/>
    <mergeCell ref="S825:S827"/>
    <mergeCell ref="T825:T827"/>
    <mergeCell ref="U825:U827"/>
    <mergeCell ref="V825:V827"/>
    <mergeCell ref="W825:W827"/>
    <mergeCell ref="X825:X827"/>
    <mergeCell ref="Y825:Y827"/>
    <mergeCell ref="H824:H828"/>
    <mergeCell ref="I824:I828"/>
    <mergeCell ref="J824:J828"/>
    <mergeCell ref="K824:K828"/>
    <mergeCell ref="L824:L828"/>
    <mergeCell ref="M824:M828"/>
    <mergeCell ref="N825:N827"/>
    <mergeCell ref="O825:O827"/>
    <mergeCell ref="H834:H838"/>
    <mergeCell ref="I834:I838"/>
    <mergeCell ref="J834:J838"/>
    <mergeCell ref="K834:K838"/>
    <mergeCell ref="L834:L838"/>
    <mergeCell ref="G855:G859"/>
    <mergeCell ref="AJ855:AJ859"/>
    <mergeCell ref="AK855:AK859"/>
    <mergeCell ref="I902:K902"/>
    <mergeCell ref="F855:F902"/>
    <mergeCell ref="AF855:AF859"/>
    <mergeCell ref="AG855:AG859"/>
    <mergeCell ref="AH855:AH859"/>
    <mergeCell ref="AI855:AI859"/>
    <mergeCell ref="S856:S858"/>
    <mergeCell ref="T856:T858"/>
    <mergeCell ref="U856:U858"/>
    <mergeCell ref="V856:V858"/>
    <mergeCell ref="W856:W858"/>
    <mergeCell ref="X856:X858"/>
    <mergeCell ref="Y856:Y858"/>
    <mergeCell ref="H855:H859"/>
    <mergeCell ref="I855:I859"/>
    <mergeCell ref="J855:J859"/>
    <mergeCell ref="K855:K859"/>
    <mergeCell ref="L855:L859"/>
    <mergeCell ref="M855:M859"/>
    <mergeCell ref="N856:N858"/>
    <mergeCell ref="O856:O858"/>
    <mergeCell ref="H860:H865"/>
    <mergeCell ref="I860:I865"/>
    <mergeCell ref="J860:J865"/>
    <mergeCell ref="K860:K865"/>
    <mergeCell ref="L860:L865"/>
    <mergeCell ref="G903:G907"/>
    <mergeCell ref="AJ903:AJ907"/>
    <mergeCell ref="AK903:AK907"/>
    <mergeCell ref="I957:K957"/>
    <mergeCell ref="F903:F957"/>
    <mergeCell ref="AF903:AF907"/>
    <mergeCell ref="AG903:AG907"/>
    <mergeCell ref="AH903:AH907"/>
    <mergeCell ref="AI903:AI907"/>
    <mergeCell ref="S904:S906"/>
    <mergeCell ref="T904:T906"/>
    <mergeCell ref="U904:U906"/>
    <mergeCell ref="V904:V906"/>
    <mergeCell ref="W904:W906"/>
    <mergeCell ref="X904:X906"/>
    <mergeCell ref="Y904:Y906"/>
    <mergeCell ref="H903:H907"/>
    <mergeCell ref="I903:I907"/>
    <mergeCell ref="J903:J907"/>
    <mergeCell ref="K903:K907"/>
    <mergeCell ref="L903:L907"/>
    <mergeCell ref="M903:M907"/>
    <mergeCell ref="N904:N906"/>
    <mergeCell ref="O904:O906"/>
    <mergeCell ref="H915:H921"/>
    <mergeCell ref="I915:I921"/>
    <mergeCell ref="J915:J921"/>
    <mergeCell ref="K915:K921"/>
    <mergeCell ref="L915:L921"/>
    <mergeCell ref="G958:G962"/>
    <mergeCell ref="AJ958:AJ962"/>
    <mergeCell ref="AK958:AK962"/>
    <mergeCell ref="I978:K978"/>
    <mergeCell ref="F958:F978"/>
    <mergeCell ref="AF958:AF962"/>
    <mergeCell ref="AG958:AG962"/>
    <mergeCell ref="AH958:AH962"/>
    <mergeCell ref="AI958:AI962"/>
    <mergeCell ref="S959:S961"/>
    <mergeCell ref="T959:T961"/>
    <mergeCell ref="U959:U961"/>
    <mergeCell ref="V959:V961"/>
    <mergeCell ref="W959:W961"/>
    <mergeCell ref="X959:X961"/>
    <mergeCell ref="Y959:Y961"/>
    <mergeCell ref="H958:H962"/>
    <mergeCell ref="I958:I962"/>
    <mergeCell ref="J958:J962"/>
    <mergeCell ref="K958:K962"/>
    <mergeCell ref="L958:L962"/>
    <mergeCell ref="M958:M962"/>
    <mergeCell ref="N959:N961"/>
    <mergeCell ref="O959:O961"/>
    <mergeCell ref="H963:H967"/>
    <mergeCell ref="I963:I967"/>
    <mergeCell ref="J963:J967"/>
    <mergeCell ref="K963:K967"/>
    <mergeCell ref="L963:L967"/>
    <mergeCell ref="G979:G983"/>
    <mergeCell ref="AJ979:AJ983"/>
    <mergeCell ref="AK979:AK983"/>
    <mergeCell ref="I994:K994"/>
    <mergeCell ref="F979:F994"/>
    <mergeCell ref="AF979:AF983"/>
    <mergeCell ref="AG979:AG983"/>
    <mergeCell ref="AH979:AH983"/>
    <mergeCell ref="AI979:AI983"/>
    <mergeCell ref="S980:S982"/>
    <mergeCell ref="T980:T982"/>
    <mergeCell ref="U980:U982"/>
    <mergeCell ref="V980:V982"/>
    <mergeCell ref="W980:W982"/>
    <mergeCell ref="X980:X982"/>
    <mergeCell ref="Y980:Y982"/>
    <mergeCell ref="H979:H983"/>
    <mergeCell ref="I979:I983"/>
    <mergeCell ref="J979:J983"/>
    <mergeCell ref="K979:K983"/>
    <mergeCell ref="L979:L983"/>
    <mergeCell ref="M979:M983"/>
    <mergeCell ref="N980:N982"/>
    <mergeCell ref="O980:O982"/>
    <mergeCell ref="H989:H993"/>
    <mergeCell ref="I989:I993"/>
    <mergeCell ref="J989:J993"/>
    <mergeCell ref="K989:K993"/>
    <mergeCell ref="L989:L993"/>
    <mergeCell ref="I1015:K1015"/>
    <mergeCell ref="F995:F1015"/>
    <mergeCell ref="AF995:AF999"/>
    <mergeCell ref="AG995:AG999"/>
    <mergeCell ref="AH995:AH999"/>
    <mergeCell ref="AI995:AI999"/>
    <mergeCell ref="S996:S998"/>
    <mergeCell ref="T996:T998"/>
    <mergeCell ref="U996:U998"/>
    <mergeCell ref="V996:V998"/>
    <mergeCell ref="W996:W998"/>
    <mergeCell ref="X996:X998"/>
    <mergeCell ref="Y996:Y998"/>
    <mergeCell ref="H995:H999"/>
    <mergeCell ref="I995:I999"/>
    <mergeCell ref="J995:J999"/>
    <mergeCell ref="K995:K999"/>
    <mergeCell ref="L995:L999"/>
    <mergeCell ref="M995:M999"/>
    <mergeCell ref="N996:N998"/>
    <mergeCell ref="O996:O998"/>
    <mergeCell ref="H1005:H1009"/>
    <mergeCell ref="I1005:I1009"/>
    <mergeCell ref="J1005:J1009"/>
    <mergeCell ref="K1005:K1009"/>
    <mergeCell ref="L1005:L1009"/>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P996:P998"/>
    <mergeCell ref="Q996:Q998"/>
    <mergeCell ref="R996:R998"/>
    <mergeCell ref="AJ995:AJ999"/>
    <mergeCell ref="AK995:AK999"/>
    <mergeCell ref="P980:P982"/>
    <mergeCell ref="Q980:Q982"/>
    <mergeCell ref="R980:R982"/>
    <mergeCell ref="P959:P961"/>
    <mergeCell ref="Q959:Q961"/>
    <mergeCell ref="R959:R961"/>
    <mergeCell ref="P904:P906"/>
    <mergeCell ref="Q904:Q906"/>
    <mergeCell ref="R904:R906"/>
    <mergeCell ref="P856:P858"/>
    <mergeCell ref="Q856:Q858"/>
    <mergeCell ref="R856:R858"/>
    <mergeCell ref="P825:P827"/>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L20:L24"/>
    <mergeCell ref="M20:M24"/>
    <mergeCell ref="AF20:AF24"/>
    <mergeCell ref="AG20:AG24"/>
    <mergeCell ref="AH20:AH24"/>
    <mergeCell ref="AI20:AI2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30:G34"/>
    <mergeCell ref="H35:H39"/>
    <mergeCell ref="I35:I39"/>
    <mergeCell ref="J35:J39"/>
    <mergeCell ref="K35:K39"/>
    <mergeCell ref="L35:L39"/>
    <mergeCell ref="M35:M39"/>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5:G39"/>
    <mergeCell ref="H30:H34"/>
    <mergeCell ref="I30:I34"/>
    <mergeCell ref="J30:J34"/>
    <mergeCell ref="K30:K34"/>
    <mergeCell ref="L30:L34"/>
    <mergeCell ref="M30:M34"/>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40:G44"/>
    <mergeCell ref="H51:H55"/>
    <mergeCell ref="I51:I55"/>
    <mergeCell ref="J51:J55"/>
    <mergeCell ref="K51:K55"/>
    <mergeCell ref="L51:L55"/>
    <mergeCell ref="M51:M55"/>
    <mergeCell ref="AF51:AF55"/>
    <mergeCell ref="AG51:AG55"/>
    <mergeCell ref="AH51:AH55"/>
    <mergeCell ref="AI51:AI55"/>
    <mergeCell ref="AJ51:AJ55"/>
    <mergeCell ref="AK51:AK55"/>
    <mergeCell ref="N52:N54"/>
    <mergeCell ref="O52:O54"/>
    <mergeCell ref="P52:P54"/>
    <mergeCell ref="Q52:Q54"/>
    <mergeCell ref="R52:R54"/>
    <mergeCell ref="S52:S54"/>
    <mergeCell ref="T52:T54"/>
    <mergeCell ref="U52:U54"/>
    <mergeCell ref="V52:V54"/>
    <mergeCell ref="W52:W54"/>
    <mergeCell ref="X52:X54"/>
    <mergeCell ref="Y52:Y54"/>
    <mergeCell ref="G51:G55"/>
    <mergeCell ref="H40:H44"/>
    <mergeCell ref="I40:I44"/>
    <mergeCell ref="J40:J44"/>
    <mergeCell ref="K40:K44"/>
    <mergeCell ref="L40:L44"/>
    <mergeCell ref="M40:M44"/>
    <mergeCell ref="AJ56:AJ60"/>
    <mergeCell ref="AK56:AK60"/>
    <mergeCell ref="N57:N59"/>
    <mergeCell ref="O57:O59"/>
    <mergeCell ref="P57:P59"/>
    <mergeCell ref="Q57:Q59"/>
    <mergeCell ref="R57:R59"/>
    <mergeCell ref="S57:S59"/>
    <mergeCell ref="T57:T59"/>
    <mergeCell ref="U57:U59"/>
    <mergeCell ref="V57:V59"/>
    <mergeCell ref="W57:W59"/>
    <mergeCell ref="X57:X59"/>
    <mergeCell ref="Y57:Y59"/>
    <mergeCell ref="G56:G60"/>
    <mergeCell ref="H61:H65"/>
    <mergeCell ref="I61:I65"/>
    <mergeCell ref="J61:J65"/>
    <mergeCell ref="K61:K65"/>
    <mergeCell ref="L61:L65"/>
    <mergeCell ref="M61:M65"/>
    <mergeCell ref="AF61:AF65"/>
    <mergeCell ref="AG61:AG65"/>
    <mergeCell ref="AH61:AH65"/>
    <mergeCell ref="AI61:AI65"/>
    <mergeCell ref="AJ61:AJ65"/>
    <mergeCell ref="AK61:AK65"/>
    <mergeCell ref="N62:N64"/>
    <mergeCell ref="O62:O64"/>
    <mergeCell ref="P62:P64"/>
    <mergeCell ref="Q62:Q64"/>
    <mergeCell ref="R62:R64"/>
    <mergeCell ref="S62:S64"/>
    <mergeCell ref="T62:T64"/>
    <mergeCell ref="U62:U64"/>
    <mergeCell ref="V62:V64"/>
    <mergeCell ref="W62:W64"/>
    <mergeCell ref="X62:X64"/>
    <mergeCell ref="Y62:Y64"/>
    <mergeCell ref="G61:G65"/>
    <mergeCell ref="H66:H70"/>
    <mergeCell ref="I66:I70"/>
    <mergeCell ref="J66:J70"/>
    <mergeCell ref="K66:K70"/>
    <mergeCell ref="L66:L70"/>
    <mergeCell ref="M66:M70"/>
    <mergeCell ref="AF66:AF70"/>
    <mergeCell ref="AG66:AG70"/>
    <mergeCell ref="AH66:AH70"/>
    <mergeCell ref="AI66:AI70"/>
    <mergeCell ref="AJ66:AJ70"/>
    <mergeCell ref="AK66:AK70"/>
    <mergeCell ref="N67:N69"/>
    <mergeCell ref="O67:O69"/>
    <mergeCell ref="P67:P69"/>
    <mergeCell ref="Q67:Q69"/>
    <mergeCell ref="R67:R69"/>
    <mergeCell ref="S67:S69"/>
    <mergeCell ref="T67:T69"/>
    <mergeCell ref="U67:U69"/>
    <mergeCell ref="V67:V69"/>
    <mergeCell ref="W67:W69"/>
    <mergeCell ref="X67:X69"/>
    <mergeCell ref="Y67:Y69"/>
    <mergeCell ref="G66:G70"/>
    <mergeCell ref="H71:H75"/>
    <mergeCell ref="I71:I75"/>
    <mergeCell ref="J71:J75"/>
    <mergeCell ref="K71:K75"/>
    <mergeCell ref="L71:L75"/>
    <mergeCell ref="M71:M75"/>
    <mergeCell ref="AF71:AF75"/>
    <mergeCell ref="AG71:AG75"/>
    <mergeCell ref="AH71:AH75"/>
    <mergeCell ref="AI71:AI75"/>
    <mergeCell ref="AJ71:AJ75"/>
    <mergeCell ref="AK71:AK75"/>
    <mergeCell ref="N72:N74"/>
    <mergeCell ref="O72:O74"/>
    <mergeCell ref="P72:P74"/>
    <mergeCell ref="Q72:Q74"/>
    <mergeCell ref="G76:G80"/>
    <mergeCell ref="R72:R74"/>
    <mergeCell ref="S72:S74"/>
    <mergeCell ref="T72:T74"/>
    <mergeCell ref="U72:U74"/>
    <mergeCell ref="V72:V74"/>
    <mergeCell ref="W72:W74"/>
    <mergeCell ref="X72:X74"/>
    <mergeCell ref="Y72:Y74"/>
    <mergeCell ref="G71:G75"/>
    <mergeCell ref="H76:H80"/>
    <mergeCell ref="I76:I80"/>
    <mergeCell ref="J76:J80"/>
    <mergeCell ref="K76:K80"/>
    <mergeCell ref="L76:L80"/>
    <mergeCell ref="M76:M80"/>
    <mergeCell ref="AF76:AF80"/>
    <mergeCell ref="AJ81:AJ85"/>
    <mergeCell ref="AK81:AK85"/>
    <mergeCell ref="N82:N84"/>
    <mergeCell ref="O82:O84"/>
    <mergeCell ref="P82:P84"/>
    <mergeCell ref="Q82:Q84"/>
    <mergeCell ref="R82:R84"/>
    <mergeCell ref="S82:S84"/>
    <mergeCell ref="T82:T84"/>
    <mergeCell ref="U82:U84"/>
    <mergeCell ref="V82:V84"/>
    <mergeCell ref="W82:W84"/>
    <mergeCell ref="X82:X84"/>
    <mergeCell ref="Y82:Y84"/>
    <mergeCell ref="AH76:AH80"/>
    <mergeCell ref="AI76:AI8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AG76:AG80"/>
    <mergeCell ref="T93:T95"/>
    <mergeCell ref="U93:U95"/>
    <mergeCell ref="V93:V95"/>
    <mergeCell ref="W93:W95"/>
    <mergeCell ref="X93:X95"/>
    <mergeCell ref="Y93:Y95"/>
    <mergeCell ref="G92:G96"/>
    <mergeCell ref="H81:H85"/>
    <mergeCell ref="I81:I85"/>
    <mergeCell ref="J81:J85"/>
    <mergeCell ref="K81:K85"/>
    <mergeCell ref="L81:L85"/>
    <mergeCell ref="M81:M85"/>
    <mergeCell ref="AF81:AF85"/>
    <mergeCell ref="AG81:AG85"/>
    <mergeCell ref="AH81:AH85"/>
    <mergeCell ref="AI81:AI85"/>
    <mergeCell ref="P88:P90"/>
    <mergeCell ref="Q88:Q90"/>
    <mergeCell ref="R88:R90"/>
    <mergeCell ref="G87:G91"/>
    <mergeCell ref="AK103:AK107"/>
    <mergeCell ref="N104:N106"/>
    <mergeCell ref="O104:O106"/>
    <mergeCell ref="P104:P106"/>
    <mergeCell ref="Q104:Q106"/>
    <mergeCell ref="R104:R106"/>
    <mergeCell ref="S104:S106"/>
    <mergeCell ref="T104:T106"/>
    <mergeCell ref="U104:U106"/>
    <mergeCell ref="V104:V106"/>
    <mergeCell ref="W104:W106"/>
    <mergeCell ref="X104:X106"/>
    <mergeCell ref="Y104:Y106"/>
    <mergeCell ref="G81:G85"/>
    <mergeCell ref="H92:H96"/>
    <mergeCell ref="I92:I96"/>
    <mergeCell ref="J92:J96"/>
    <mergeCell ref="K92:K96"/>
    <mergeCell ref="L92:L96"/>
    <mergeCell ref="M92:M96"/>
    <mergeCell ref="AF92:AF96"/>
    <mergeCell ref="AG92:AG96"/>
    <mergeCell ref="AH92:AH96"/>
    <mergeCell ref="AI92:AI96"/>
    <mergeCell ref="AJ92:AJ96"/>
    <mergeCell ref="AK92:AK96"/>
    <mergeCell ref="N93:N95"/>
    <mergeCell ref="O93:O95"/>
    <mergeCell ref="P93:P95"/>
    <mergeCell ref="Q93:Q95"/>
    <mergeCell ref="R93:R95"/>
    <mergeCell ref="S93:S95"/>
    <mergeCell ref="G103:G107"/>
    <mergeCell ref="H108:H112"/>
    <mergeCell ref="I108:I112"/>
    <mergeCell ref="J108:J112"/>
    <mergeCell ref="K108:K112"/>
    <mergeCell ref="L108:L112"/>
    <mergeCell ref="M108:M112"/>
    <mergeCell ref="AF108:AF112"/>
    <mergeCell ref="AG108:AG112"/>
    <mergeCell ref="AH108:AH112"/>
    <mergeCell ref="AI108:AI112"/>
    <mergeCell ref="AJ108:AJ112"/>
    <mergeCell ref="AK108:AK112"/>
    <mergeCell ref="N109:N111"/>
    <mergeCell ref="O109:O111"/>
    <mergeCell ref="P109:P111"/>
    <mergeCell ref="Q109:Q111"/>
    <mergeCell ref="R109:R111"/>
    <mergeCell ref="S109:S111"/>
    <mergeCell ref="T109:T111"/>
    <mergeCell ref="U109:U111"/>
    <mergeCell ref="V109:V111"/>
    <mergeCell ref="W109:W111"/>
    <mergeCell ref="X109:X111"/>
    <mergeCell ref="Y109:Y111"/>
    <mergeCell ref="G108:G112"/>
    <mergeCell ref="M103:M107"/>
    <mergeCell ref="AF103:AF107"/>
    <mergeCell ref="AG103:AG107"/>
    <mergeCell ref="AH103:AH107"/>
    <mergeCell ref="AI103:AI107"/>
    <mergeCell ref="AJ103:AJ107"/>
    <mergeCell ref="AF113:AF117"/>
    <mergeCell ref="AG113:AG117"/>
    <mergeCell ref="AH113:AH117"/>
    <mergeCell ref="AI113:AI117"/>
    <mergeCell ref="AJ113:AJ117"/>
    <mergeCell ref="AK113:AK117"/>
    <mergeCell ref="N114:N116"/>
    <mergeCell ref="O114:O116"/>
    <mergeCell ref="P114:P116"/>
    <mergeCell ref="Q114:Q116"/>
    <mergeCell ref="R114:R116"/>
    <mergeCell ref="S114:S116"/>
    <mergeCell ref="T114:T116"/>
    <mergeCell ref="U114:U116"/>
    <mergeCell ref="V114:V116"/>
    <mergeCell ref="W114:W116"/>
    <mergeCell ref="X114:X116"/>
    <mergeCell ref="Y114:Y116"/>
    <mergeCell ref="G113:G117"/>
    <mergeCell ref="H118:H122"/>
    <mergeCell ref="I118:I122"/>
    <mergeCell ref="J118:J122"/>
    <mergeCell ref="K118:K122"/>
    <mergeCell ref="L118:L122"/>
    <mergeCell ref="M118:M122"/>
    <mergeCell ref="AF118:AF122"/>
    <mergeCell ref="AG118:AG122"/>
    <mergeCell ref="AH118:AH122"/>
    <mergeCell ref="AI118:AI122"/>
    <mergeCell ref="AJ118:AJ122"/>
    <mergeCell ref="AK118:AK122"/>
    <mergeCell ref="N119:N121"/>
    <mergeCell ref="O119:O121"/>
    <mergeCell ref="P119:P121"/>
    <mergeCell ref="Q119:Q121"/>
    <mergeCell ref="R119:R121"/>
    <mergeCell ref="S119:S121"/>
    <mergeCell ref="T119:T121"/>
    <mergeCell ref="U119:U121"/>
    <mergeCell ref="V119:V121"/>
    <mergeCell ref="W119:W121"/>
    <mergeCell ref="X119:X121"/>
    <mergeCell ref="Y119:Y121"/>
    <mergeCell ref="G118:G122"/>
    <mergeCell ref="H113:H117"/>
    <mergeCell ref="I113:I117"/>
    <mergeCell ref="J113:J117"/>
    <mergeCell ref="K113:K117"/>
    <mergeCell ref="L113:L117"/>
    <mergeCell ref="M113:M117"/>
    <mergeCell ref="AG123:AG127"/>
    <mergeCell ref="AH123:AH127"/>
    <mergeCell ref="AI123:AI127"/>
    <mergeCell ref="AJ123:AJ127"/>
    <mergeCell ref="AK123:AK127"/>
    <mergeCell ref="N124:N126"/>
    <mergeCell ref="O124:O126"/>
    <mergeCell ref="P124:P126"/>
    <mergeCell ref="Q124:Q126"/>
    <mergeCell ref="R124:R126"/>
    <mergeCell ref="S124:S126"/>
    <mergeCell ref="T124:T126"/>
    <mergeCell ref="U124:U126"/>
    <mergeCell ref="V124:V126"/>
    <mergeCell ref="W124:W126"/>
    <mergeCell ref="X124:X126"/>
    <mergeCell ref="Y124:Y126"/>
    <mergeCell ref="Q129:Q131"/>
    <mergeCell ref="R129:R131"/>
    <mergeCell ref="S129:S131"/>
    <mergeCell ref="T129:T131"/>
    <mergeCell ref="U129:U131"/>
    <mergeCell ref="V129:V131"/>
    <mergeCell ref="W129:W131"/>
    <mergeCell ref="X129:X131"/>
    <mergeCell ref="Y129:Y131"/>
    <mergeCell ref="G128:G132"/>
    <mergeCell ref="H123:H127"/>
    <mergeCell ref="I123:I127"/>
    <mergeCell ref="J123:J127"/>
    <mergeCell ref="K123:K127"/>
    <mergeCell ref="L123:L127"/>
    <mergeCell ref="M123:M127"/>
    <mergeCell ref="AF123:AF127"/>
    <mergeCell ref="AH133:AH137"/>
    <mergeCell ref="AI133:AI137"/>
    <mergeCell ref="AJ133:AJ137"/>
    <mergeCell ref="AK133:AK137"/>
    <mergeCell ref="N134:N136"/>
    <mergeCell ref="O134:O136"/>
    <mergeCell ref="P134:P136"/>
    <mergeCell ref="Q134:Q136"/>
    <mergeCell ref="R134:R136"/>
    <mergeCell ref="S134:S136"/>
    <mergeCell ref="T134:T136"/>
    <mergeCell ref="U134:U136"/>
    <mergeCell ref="V134:V136"/>
    <mergeCell ref="W134:W136"/>
    <mergeCell ref="X134:X136"/>
    <mergeCell ref="Y134:Y136"/>
    <mergeCell ref="G123:G127"/>
    <mergeCell ref="H128:H132"/>
    <mergeCell ref="I128:I132"/>
    <mergeCell ref="J128:J132"/>
    <mergeCell ref="K128:K132"/>
    <mergeCell ref="L128:L132"/>
    <mergeCell ref="M128:M132"/>
    <mergeCell ref="AF128:AF132"/>
    <mergeCell ref="AG128:AG132"/>
    <mergeCell ref="AH128:AH132"/>
    <mergeCell ref="AI128:AI132"/>
    <mergeCell ref="AJ128:AJ132"/>
    <mergeCell ref="AK128:AK132"/>
    <mergeCell ref="N129:N131"/>
    <mergeCell ref="O129:O131"/>
    <mergeCell ref="P129:P131"/>
    <mergeCell ref="R139:R141"/>
    <mergeCell ref="S139:S141"/>
    <mergeCell ref="T139:T141"/>
    <mergeCell ref="U139:U141"/>
    <mergeCell ref="V139:V141"/>
    <mergeCell ref="W139:W141"/>
    <mergeCell ref="X139:X141"/>
    <mergeCell ref="Y139:Y141"/>
    <mergeCell ref="G138:G142"/>
    <mergeCell ref="H133:H137"/>
    <mergeCell ref="I133:I137"/>
    <mergeCell ref="J133:J137"/>
    <mergeCell ref="K133:K137"/>
    <mergeCell ref="L133:L137"/>
    <mergeCell ref="M133:M137"/>
    <mergeCell ref="AF133:AF137"/>
    <mergeCell ref="AG133:AG137"/>
    <mergeCell ref="AI143:AI147"/>
    <mergeCell ref="AJ143:AJ147"/>
    <mergeCell ref="AK143:AK147"/>
    <mergeCell ref="N144:N146"/>
    <mergeCell ref="O144:O146"/>
    <mergeCell ref="P144:P146"/>
    <mergeCell ref="Q144:Q146"/>
    <mergeCell ref="R144:R146"/>
    <mergeCell ref="S144:S146"/>
    <mergeCell ref="T144:T146"/>
    <mergeCell ref="U144:U146"/>
    <mergeCell ref="V144:V146"/>
    <mergeCell ref="W144:W146"/>
    <mergeCell ref="X144:X146"/>
    <mergeCell ref="Y144:Y146"/>
    <mergeCell ref="G133:G137"/>
    <mergeCell ref="H138:H142"/>
    <mergeCell ref="I138:I142"/>
    <mergeCell ref="J138:J142"/>
    <mergeCell ref="K138:K142"/>
    <mergeCell ref="L138:L142"/>
    <mergeCell ref="M138:M142"/>
    <mergeCell ref="AF138:AF142"/>
    <mergeCell ref="AG138:AG142"/>
    <mergeCell ref="AH138:AH142"/>
    <mergeCell ref="AI138:AI142"/>
    <mergeCell ref="AJ138:AJ142"/>
    <mergeCell ref="AK138:AK142"/>
    <mergeCell ref="N139:N141"/>
    <mergeCell ref="O139:O141"/>
    <mergeCell ref="P139:P141"/>
    <mergeCell ref="Q139:Q141"/>
    <mergeCell ref="S149:S151"/>
    <mergeCell ref="T149:T151"/>
    <mergeCell ref="U149:U151"/>
    <mergeCell ref="V149:V151"/>
    <mergeCell ref="W149:W151"/>
    <mergeCell ref="X149:X151"/>
    <mergeCell ref="Y149:Y151"/>
    <mergeCell ref="G148:G152"/>
    <mergeCell ref="H143:H147"/>
    <mergeCell ref="I143:I147"/>
    <mergeCell ref="J143:J147"/>
    <mergeCell ref="K143:K147"/>
    <mergeCell ref="L143:L147"/>
    <mergeCell ref="M143:M147"/>
    <mergeCell ref="AF143:AF147"/>
    <mergeCell ref="AG143:AG147"/>
    <mergeCell ref="AH143:AH147"/>
    <mergeCell ref="AJ153:AJ157"/>
    <mergeCell ref="AK153:AK157"/>
    <mergeCell ref="N154:N156"/>
    <mergeCell ref="O154:O156"/>
    <mergeCell ref="P154:P156"/>
    <mergeCell ref="Q154:Q156"/>
    <mergeCell ref="R154:R156"/>
    <mergeCell ref="S154:S156"/>
    <mergeCell ref="T154:T156"/>
    <mergeCell ref="U154:U156"/>
    <mergeCell ref="V154:V156"/>
    <mergeCell ref="W154:W156"/>
    <mergeCell ref="X154:X156"/>
    <mergeCell ref="Y154:Y156"/>
    <mergeCell ref="G143:G147"/>
    <mergeCell ref="H148:H152"/>
    <mergeCell ref="I148:I152"/>
    <mergeCell ref="J148:J152"/>
    <mergeCell ref="K148:K152"/>
    <mergeCell ref="L148:L152"/>
    <mergeCell ref="M148:M152"/>
    <mergeCell ref="AF148:AF152"/>
    <mergeCell ref="AG148:AG152"/>
    <mergeCell ref="AH148:AH152"/>
    <mergeCell ref="AI148:AI152"/>
    <mergeCell ref="AJ148:AJ152"/>
    <mergeCell ref="AK148:AK152"/>
    <mergeCell ref="N149:N151"/>
    <mergeCell ref="O149:O151"/>
    <mergeCell ref="P149:P151"/>
    <mergeCell ref="Q149:Q151"/>
    <mergeCell ref="R149:R151"/>
    <mergeCell ref="T165:T167"/>
    <mergeCell ref="U165:U167"/>
    <mergeCell ref="V165:V167"/>
    <mergeCell ref="W165:W167"/>
    <mergeCell ref="X165:X167"/>
    <mergeCell ref="Y165:Y167"/>
    <mergeCell ref="G164:G168"/>
    <mergeCell ref="H153:H157"/>
    <mergeCell ref="I153:I157"/>
    <mergeCell ref="J153:J157"/>
    <mergeCell ref="K153:K157"/>
    <mergeCell ref="L153:L157"/>
    <mergeCell ref="M153:M157"/>
    <mergeCell ref="AF153:AF157"/>
    <mergeCell ref="AG153:AG157"/>
    <mergeCell ref="AH153:AH157"/>
    <mergeCell ref="AI153:AI157"/>
    <mergeCell ref="P160:P162"/>
    <mergeCell ref="Q160:Q162"/>
    <mergeCell ref="R160:R162"/>
    <mergeCell ref="G159:G163"/>
    <mergeCell ref="AK169:AK173"/>
    <mergeCell ref="N170:N172"/>
    <mergeCell ref="O170:O172"/>
    <mergeCell ref="P170:P172"/>
    <mergeCell ref="Q170:Q172"/>
    <mergeCell ref="R170:R172"/>
    <mergeCell ref="S170:S172"/>
    <mergeCell ref="T170:T172"/>
    <mergeCell ref="U170:U172"/>
    <mergeCell ref="V170:V172"/>
    <mergeCell ref="W170:W172"/>
    <mergeCell ref="X170:X172"/>
    <mergeCell ref="Y170:Y172"/>
    <mergeCell ref="G153:G157"/>
    <mergeCell ref="H164:H168"/>
    <mergeCell ref="I164:I168"/>
    <mergeCell ref="J164:J168"/>
    <mergeCell ref="K164:K168"/>
    <mergeCell ref="L164:L168"/>
    <mergeCell ref="M164:M168"/>
    <mergeCell ref="AF164:AF168"/>
    <mergeCell ref="AG164:AG168"/>
    <mergeCell ref="AH164:AH168"/>
    <mergeCell ref="AI164:AI168"/>
    <mergeCell ref="AJ164:AJ168"/>
    <mergeCell ref="AK164:AK168"/>
    <mergeCell ref="N165:N167"/>
    <mergeCell ref="O165:O167"/>
    <mergeCell ref="P165:P167"/>
    <mergeCell ref="Q165:Q167"/>
    <mergeCell ref="R165:R167"/>
    <mergeCell ref="S165:S167"/>
    <mergeCell ref="G169:G173"/>
    <mergeCell ref="H174:H178"/>
    <mergeCell ref="I174:I178"/>
    <mergeCell ref="J174:J178"/>
    <mergeCell ref="K174:K178"/>
    <mergeCell ref="L174:L178"/>
    <mergeCell ref="M174:M178"/>
    <mergeCell ref="AF174:AF178"/>
    <mergeCell ref="AG174:AG178"/>
    <mergeCell ref="AH174:AH178"/>
    <mergeCell ref="AI174:AI178"/>
    <mergeCell ref="AJ174:AJ178"/>
    <mergeCell ref="AK174:AK178"/>
    <mergeCell ref="N175:N177"/>
    <mergeCell ref="O175:O177"/>
    <mergeCell ref="P175:P177"/>
    <mergeCell ref="Q175:Q177"/>
    <mergeCell ref="R175:R177"/>
    <mergeCell ref="S175:S177"/>
    <mergeCell ref="T175:T177"/>
    <mergeCell ref="U175:U177"/>
    <mergeCell ref="V175:V177"/>
    <mergeCell ref="W175:W177"/>
    <mergeCell ref="X175:X177"/>
    <mergeCell ref="Y175:Y177"/>
    <mergeCell ref="G174:G178"/>
    <mergeCell ref="M169:M173"/>
    <mergeCell ref="AF169:AF173"/>
    <mergeCell ref="AG169:AG173"/>
    <mergeCell ref="AH169:AH173"/>
    <mergeCell ref="AI169:AI173"/>
    <mergeCell ref="AJ169:AJ173"/>
    <mergeCell ref="AF179:AF183"/>
    <mergeCell ref="AG179:AG183"/>
    <mergeCell ref="AH179:AH183"/>
    <mergeCell ref="AI179:AI183"/>
    <mergeCell ref="AJ179:AJ183"/>
    <mergeCell ref="AK179:AK183"/>
    <mergeCell ref="N180:N182"/>
    <mergeCell ref="O180:O182"/>
    <mergeCell ref="P180:P182"/>
    <mergeCell ref="Q180:Q182"/>
    <mergeCell ref="R180:R182"/>
    <mergeCell ref="S180:S182"/>
    <mergeCell ref="T180:T182"/>
    <mergeCell ref="U180:U182"/>
    <mergeCell ref="V180:V182"/>
    <mergeCell ref="W180:W182"/>
    <mergeCell ref="X180:X182"/>
    <mergeCell ref="Y180:Y182"/>
    <mergeCell ref="G179:G183"/>
    <mergeCell ref="H184:H188"/>
    <mergeCell ref="I184:I188"/>
    <mergeCell ref="J184:J188"/>
    <mergeCell ref="K184:K188"/>
    <mergeCell ref="L184:L188"/>
    <mergeCell ref="M184:M188"/>
    <mergeCell ref="AF184:AF188"/>
    <mergeCell ref="AG184:AG188"/>
    <mergeCell ref="AH184:AH188"/>
    <mergeCell ref="AI184:AI188"/>
    <mergeCell ref="AJ184:AJ188"/>
    <mergeCell ref="AK184:AK188"/>
    <mergeCell ref="N185:N187"/>
    <mergeCell ref="O185:O187"/>
    <mergeCell ref="P185:P187"/>
    <mergeCell ref="Q185:Q187"/>
    <mergeCell ref="R185:R187"/>
    <mergeCell ref="S185:S187"/>
    <mergeCell ref="T185:T187"/>
    <mergeCell ref="U185:U187"/>
    <mergeCell ref="V185:V187"/>
    <mergeCell ref="W185:W187"/>
    <mergeCell ref="X185:X187"/>
    <mergeCell ref="Y185:Y187"/>
    <mergeCell ref="G184:G188"/>
    <mergeCell ref="H179:H183"/>
    <mergeCell ref="I179:I183"/>
    <mergeCell ref="J179:J183"/>
    <mergeCell ref="K179:K183"/>
    <mergeCell ref="L179:L183"/>
    <mergeCell ref="M179:M183"/>
    <mergeCell ref="AF189:AF193"/>
    <mergeCell ref="AG189:AG193"/>
    <mergeCell ref="AH189:AH193"/>
    <mergeCell ref="AI189:AI193"/>
    <mergeCell ref="AJ189:AJ193"/>
    <mergeCell ref="AK189:AK193"/>
    <mergeCell ref="N190:N192"/>
    <mergeCell ref="O190:O192"/>
    <mergeCell ref="P190:P192"/>
    <mergeCell ref="Q190:Q192"/>
    <mergeCell ref="R190:R192"/>
    <mergeCell ref="S190:S192"/>
    <mergeCell ref="T190:T192"/>
    <mergeCell ref="U190:U192"/>
    <mergeCell ref="V190:V192"/>
    <mergeCell ref="W190:W192"/>
    <mergeCell ref="X190:X192"/>
    <mergeCell ref="Y190:Y192"/>
    <mergeCell ref="G189:G193"/>
    <mergeCell ref="H194:H198"/>
    <mergeCell ref="I194:I198"/>
    <mergeCell ref="J194:J198"/>
    <mergeCell ref="K194:K198"/>
    <mergeCell ref="L194:L198"/>
    <mergeCell ref="M194:M198"/>
    <mergeCell ref="AF194:AF198"/>
    <mergeCell ref="AG194:AG198"/>
    <mergeCell ref="AH194:AH198"/>
    <mergeCell ref="AI194:AI198"/>
    <mergeCell ref="AJ194:AJ198"/>
    <mergeCell ref="AK194:AK198"/>
    <mergeCell ref="N195:N197"/>
    <mergeCell ref="O195:O197"/>
    <mergeCell ref="P195:P197"/>
    <mergeCell ref="Q195:Q197"/>
    <mergeCell ref="R195:R197"/>
    <mergeCell ref="S195:S197"/>
    <mergeCell ref="T195:T197"/>
    <mergeCell ref="U195:U197"/>
    <mergeCell ref="V195:V197"/>
    <mergeCell ref="W195:W197"/>
    <mergeCell ref="X195:X197"/>
    <mergeCell ref="Y195:Y197"/>
    <mergeCell ref="G194:G198"/>
    <mergeCell ref="H189:H193"/>
    <mergeCell ref="I189:I193"/>
    <mergeCell ref="J189:J193"/>
    <mergeCell ref="K189:K193"/>
    <mergeCell ref="L189:L193"/>
    <mergeCell ref="M189:M193"/>
    <mergeCell ref="AG199:AG203"/>
    <mergeCell ref="AH199:AH203"/>
    <mergeCell ref="AI199:AI203"/>
    <mergeCell ref="AJ199:AJ203"/>
    <mergeCell ref="AK199:AK203"/>
    <mergeCell ref="N200:N202"/>
    <mergeCell ref="O200:O202"/>
    <mergeCell ref="P200:P202"/>
    <mergeCell ref="Q200:Q202"/>
    <mergeCell ref="R200:R202"/>
    <mergeCell ref="S200:S202"/>
    <mergeCell ref="T200:T202"/>
    <mergeCell ref="U200:U202"/>
    <mergeCell ref="V200:V202"/>
    <mergeCell ref="W200:W202"/>
    <mergeCell ref="X200:X202"/>
    <mergeCell ref="Y200:Y202"/>
    <mergeCell ref="Q205:Q207"/>
    <mergeCell ref="R205:R207"/>
    <mergeCell ref="S205:S207"/>
    <mergeCell ref="T205:T207"/>
    <mergeCell ref="U205:U207"/>
    <mergeCell ref="V205:V207"/>
    <mergeCell ref="W205:W207"/>
    <mergeCell ref="X205:X207"/>
    <mergeCell ref="Y205:Y207"/>
    <mergeCell ref="G204:G208"/>
    <mergeCell ref="H199:H203"/>
    <mergeCell ref="I199:I203"/>
    <mergeCell ref="J199:J203"/>
    <mergeCell ref="K199:K203"/>
    <mergeCell ref="L199:L203"/>
    <mergeCell ref="M199:M203"/>
    <mergeCell ref="AF199:AF203"/>
    <mergeCell ref="AH209:AH213"/>
    <mergeCell ref="AI209:AI213"/>
    <mergeCell ref="AJ209:AJ213"/>
    <mergeCell ref="AK209:AK213"/>
    <mergeCell ref="N210:N212"/>
    <mergeCell ref="O210:O212"/>
    <mergeCell ref="P210:P212"/>
    <mergeCell ref="Q210:Q212"/>
    <mergeCell ref="R210:R212"/>
    <mergeCell ref="S210:S212"/>
    <mergeCell ref="T210:T212"/>
    <mergeCell ref="U210:U212"/>
    <mergeCell ref="V210:V212"/>
    <mergeCell ref="W210:W212"/>
    <mergeCell ref="X210:X212"/>
    <mergeCell ref="Y210:Y212"/>
    <mergeCell ref="G199:G203"/>
    <mergeCell ref="H204:H208"/>
    <mergeCell ref="I204:I208"/>
    <mergeCell ref="J204:J208"/>
    <mergeCell ref="K204:K208"/>
    <mergeCell ref="L204:L208"/>
    <mergeCell ref="M204:M208"/>
    <mergeCell ref="AF204:AF208"/>
    <mergeCell ref="AG204:AG208"/>
    <mergeCell ref="AH204:AH208"/>
    <mergeCell ref="AI204:AI208"/>
    <mergeCell ref="AJ204:AJ208"/>
    <mergeCell ref="AK204:AK208"/>
    <mergeCell ref="N205:N207"/>
    <mergeCell ref="O205:O207"/>
    <mergeCell ref="P205:P207"/>
    <mergeCell ref="R215:R217"/>
    <mergeCell ref="S215:S217"/>
    <mergeCell ref="T215:T217"/>
    <mergeCell ref="U215:U217"/>
    <mergeCell ref="V215:V217"/>
    <mergeCell ref="W215:W217"/>
    <mergeCell ref="X215:X217"/>
    <mergeCell ref="Y215:Y217"/>
    <mergeCell ref="G214:G218"/>
    <mergeCell ref="H209:H213"/>
    <mergeCell ref="I209:I213"/>
    <mergeCell ref="J209:J213"/>
    <mergeCell ref="K209:K213"/>
    <mergeCell ref="L209:L213"/>
    <mergeCell ref="M209:M213"/>
    <mergeCell ref="AF209:AF213"/>
    <mergeCell ref="AG209:AG213"/>
    <mergeCell ref="AI219:AI223"/>
    <mergeCell ref="AJ219:AJ223"/>
    <mergeCell ref="AK219:AK223"/>
    <mergeCell ref="N220:N222"/>
    <mergeCell ref="O220:O222"/>
    <mergeCell ref="P220:P222"/>
    <mergeCell ref="Q220:Q222"/>
    <mergeCell ref="R220:R222"/>
    <mergeCell ref="S220:S222"/>
    <mergeCell ref="T220:T222"/>
    <mergeCell ref="U220:U222"/>
    <mergeCell ref="V220:V222"/>
    <mergeCell ref="W220:W222"/>
    <mergeCell ref="X220:X222"/>
    <mergeCell ref="Y220:Y222"/>
    <mergeCell ref="G209:G213"/>
    <mergeCell ref="H214:H218"/>
    <mergeCell ref="I214:I218"/>
    <mergeCell ref="J214:J218"/>
    <mergeCell ref="K214:K218"/>
    <mergeCell ref="L214:L218"/>
    <mergeCell ref="M214:M218"/>
    <mergeCell ref="AF214:AF218"/>
    <mergeCell ref="AG214:AG218"/>
    <mergeCell ref="AH214:AH218"/>
    <mergeCell ref="AI214:AI218"/>
    <mergeCell ref="AJ214:AJ218"/>
    <mergeCell ref="AK214:AK218"/>
    <mergeCell ref="N215:N217"/>
    <mergeCell ref="O215:O217"/>
    <mergeCell ref="P215:P217"/>
    <mergeCell ref="Q215:Q217"/>
    <mergeCell ref="S225:S227"/>
    <mergeCell ref="T225:T227"/>
    <mergeCell ref="U225:U227"/>
    <mergeCell ref="V225:V227"/>
    <mergeCell ref="W225:W227"/>
    <mergeCell ref="X225:X227"/>
    <mergeCell ref="Y225:Y227"/>
    <mergeCell ref="G224:G228"/>
    <mergeCell ref="H219:H223"/>
    <mergeCell ref="I219:I223"/>
    <mergeCell ref="J219:J223"/>
    <mergeCell ref="K219:K223"/>
    <mergeCell ref="L219:L223"/>
    <mergeCell ref="M219:M223"/>
    <mergeCell ref="AF219:AF223"/>
    <mergeCell ref="AG219:AG223"/>
    <mergeCell ref="AH219:AH223"/>
    <mergeCell ref="AJ229:AJ233"/>
    <mergeCell ref="AK229:AK233"/>
    <mergeCell ref="N230:N232"/>
    <mergeCell ref="O230:O232"/>
    <mergeCell ref="P230:P232"/>
    <mergeCell ref="Q230:Q232"/>
    <mergeCell ref="R230:R232"/>
    <mergeCell ref="S230:S232"/>
    <mergeCell ref="T230:T232"/>
    <mergeCell ref="U230:U232"/>
    <mergeCell ref="V230:V232"/>
    <mergeCell ref="W230:W232"/>
    <mergeCell ref="X230:X232"/>
    <mergeCell ref="Y230:Y232"/>
    <mergeCell ref="G219:G223"/>
    <mergeCell ref="H224:H228"/>
    <mergeCell ref="I224:I228"/>
    <mergeCell ref="J224:J228"/>
    <mergeCell ref="K224:K228"/>
    <mergeCell ref="L224:L228"/>
    <mergeCell ref="M224:M228"/>
    <mergeCell ref="AF224:AF228"/>
    <mergeCell ref="AG224:AG228"/>
    <mergeCell ref="AH224:AH228"/>
    <mergeCell ref="AI224:AI228"/>
    <mergeCell ref="AJ224:AJ228"/>
    <mergeCell ref="AK224:AK228"/>
    <mergeCell ref="N225:N227"/>
    <mergeCell ref="O225:O227"/>
    <mergeCell ref="P225:P227"/>
    <mergeCell ref="Q225:Q227"/>
    <mergeCell ref="R225:R227"/>
    <mergeCell ref="T235:T237"/>
    <mergeCell ref="U235:U237"/>
    <mergeCell ref="V235:V237"/>
    <mergeCell ref="W235:W237"/>
    <mergeCell ref="X235:X237"/>
    <mergeCell ref="Y235:Y237"/>
    <mergeCell ref="G234:G238"/>
    <mergeCell ref="H229:H233"/>
    <mergeCell ref="I229:I233"/>
    <mergeCell ref="J229:J233"/>
    <mergeCell ref="K229:K233"/>
    <mergeCell ref="L229:L233"/>
    <mergeCell ref="M229:M233"/>
    <mergeCell ref="AF229:AF233"/>
    <mergeCell ref="AG229:AG233"/>
    <mergeCell ref="AH229:AH233"/>
    <mergeCell ref="AI229:AI233"/>
    <mergeCell ref="AK245:AK249"/>
    <mergeCell ref="N246:N248"/>
    <mergeCell ref="O246:O248"/>
    <mergeCell ref="P246:P248"/>
    <mergeCell ref="Q246:Q248"/>
    <mergeCell ref="R246:R248"/>
    <mergeCell ref="S246:S248"/>
    <mergeCell ref="T246:T248"/>
    <mergeCell ref="U246:U248"/>
    <mergeCell ref="V246:V248"/>
    <mergeCell ref="W246:W248"/>
    <mergeCell ref="X246:X248"/>
    <mergeCell ref="Y246:Y248"/>
    <mergeCell ref="G229:G233"/>
    <mergeCell ref="H234:H238"/>
    <mergeCell ref="I234:I238"/>
    <mergeCell ref="J234:J238"/>
    <mergeCell ref="K234:K238"/>
    <mergeCell ref="L234:L238"/>
    <mergeCell ref="M234:M238"/>
    <mergeCell ref="AF234:AF238"/>
    <mergeCell ref="AG234:AG238"/>
    <mergeCell ref="AH234:AH238"/>
    <mergeCell ref="AI234:AI238"/>
    <mergeCell ref="AJ234:AJ238"/>
    <mergeCell ref="AK234:AK238"/>
    <mergeCell ref="N235:N237"/>
    <mergeCell ref="O235:O237"/>
    <mergeCell ref="P235:P237"/>
    <mergeCell ref="Q235:Q237"/>
    <mergeCell ref="R235:R237"/>
    <mergeCell ref="S235:S237"/>
    <mergeCell ref="G245:G249"/>
    <mergeCell ref="H250:H254"/>
    <mergeCell ref="I250:I254"/>
    <mergeCell ref="J250:J254"/>
    <mergeCell ref="K250:K254"/>
    <mergeCell ref="L250:L254"/>
    <mergeCell ref="M250:M254"/>
    <mergeCell ref="AF250:AF254"/>
    <mergeCell ref="AG250:AG254"/>
    <mergeCell ref="AH250:AH254"/>
    <mergeCell ref="AI250:AI254"/>
    <mergeCell ref="AJ250:AJ254"/>
    <mergeCell ref="AK250:AK254"/>
    <mergeCell ref="N251:N253"/>
    <mergeCell ref="O251:O253"/>
    <mergeCell ref="P251:P253"/>
    <mergeCell ref="Q251:Q253"/>
    <mergeCell ref="R251:R253"/>
    <mergeCell ref="S251:S253"/>
    <mergeCell ref="T251:T253"/>
    <mergeCell ref="U251:U253"/>
    <mergeCell ref="V251:V253"/>
    <mergeCell ref="W251:W253"/>
    <mergeCell ref="X251:X253"/>
    <mergeCell ref="Y251:Y253"/>
    <mergeCell ref="G250:G254"/>
    <mergeCell ref="M245:M249"/>
    <mergeCell ref="AF245:AF249"/>
    <mergeCell ref="AG245:AG249"/>
    <mergeCell ref="AH245:AH249"/>
    <mergeCell ref="AI245:AI249"/>
    <mergeCell ref="AJ245:AJ249"/>
    <mergeCell ref="AF255:AF259"/>
    <mergeCell ref="AG255:AG259"/>
    <mergeCell ref="AH255:AH259"/>
    <mergeCell ref="AI255:AI259"/>
    <mergeCell ref="AJ255:AJ259"/>
    <mergeCell ref="AK255:AK259"/>
    <mergeCell ref="N256:N258"/>
    <mergeCell ref="O256:O258"/>
    <mergeCell ref="P256:P258"/>
    <mergeCell ref="Q256:Q258"/>
    <mergeCell ref="R256:R258"/>
    <mergeCell ref="S256:S258"/>
    <mergeCell ref="T256:T258"/>
    <mergeCell ref="U256:U258"/>
    <mergeCell ref="V256:V258"/>
    <mergeCell ref="W256:W258"/>
    <mergeCell ref="X256:X258"/>
    <mergeCell ref="Y256:Y258"/>
    <mergeCell ref="G255:G259"/>
    <mergeCell ref="H260:H264"/>
    <mergeCell ref="I260:I264"/>
    <mergeCell ref="J260:J264"/>
    <mergeCell ref="K260:K264"/>
    <mergeCell ref="L260:L264"/>
    <mergeCell ref="M260:M264"/>
    <mergeCell ref="AF260:AF264"/>
    <mergeCell ref="AG260:AG264"/>
    <mergeCell ref="AH260:AH264"/>
    <mergeCell ref="AI260:AI264"/>
    <mergeCell ref="AJ260:AJ264"/>
    <mergeCell ref="AK260:AK264"/>
    <mergeCell ref="N261:N263"/>
    <mergeCell ref="O261:O263"/>
    <mergeCell ref="P261:P263"/>
    <mergeCell ref="Q261:Q263"/>
    <mergeCell ref="R261:R263"/>
    <mergeCell ref="S261:S263"/>
    <mergeCell ref="T261:T263"/>
    <mergeCell ref="U261:U263"/>
    <mergeCell ref="V261:V263"/>
    <mergeCell ref="W261:W263"/>
    <mergeCell ref="X261:X263"/>
    <mergeCell ref="Y261:Y263"/>
    <mergeCell ref="G260:G264"/>
    <mergeCell ref="H255:H259"/>
    <mergeCell ref="I255:I259"/>
    <mergeCell ref="J255:J259"/>
    <mergeCell ref="K255:K259"/>
    <mergeCell ref="L255:L259"/>
    <mergeCell ref="M255:M259"/>
    <mergeCell ref="AF265:AF269"/>
    <mergeCell ref="AG265:AG269"/>
    <mergeCell ref="AH265:AH269"/>
    <mergeCell ref="AI265:AI269"/>
    <mergeCell ref="AJ265:AJ269"/>
    <mergeCell ref="AK265:AK269"/>
    <mergeCell ref="N266:N268"/>
    <mergeCell ref="O266:O268"/>
    <mergeCell ref="P266:P268"/>
    <mergeCell ref="Q266:Q268"/>
    <mergeCell ref="R266:R268"/>
    <mergeCell ref="S266:S268"/>
    <mergeCell ref="T266:T268"/>
    <mergeCell ref="U266:U268"/>
    <mergeCell ref="V266:V268"/>
    <mergeCell ref="W266:W268"/>
    <mergeCell ref="X266:X268"/>
    <mergeCell ref="Y266:Y268"/>
    <mergeCell ref="G265:G269"/>
    <mergeCell ref="H270:H274"/>
    <mergeCell ref="I270:I274"/>
    <mergeCell ref="J270:J274"/>
    <mergeCell ref="K270:K274"/>
    <mergeCell ref="L270:L274"/>
    <mergeCell ref="M270:M274"/>
    <mergeCell ref="AF270:AF274"/>
    <mergeCell ref="AG270:AG274"/>
    <mergeCell ref="AH270:AH274"/>
    <mergeCell ref="AI270:AI274"/>
    <mergeCell ref="AJ270:AJ274"/>
    <mergeCell ref="AK270:AK274"/>
    <mergeCell ref="N271:N273"/>
    <mergeCell ref="O271:O273"/>
    <mergeCell ref="P271:P273"/>
    <mergeCell ref="Q271:Q273"/>
    <mergeCell ref="R271:R273"/>
    <mergeCell ref="S271:S273"/>
    <mergeCell ref="T271:T273"/>
    <mergeCell ref="U271:U273"/>
    <mergeCell ref="V271:V273"/>
    <mergeCell ref="W271:W273"/>
    <mergeCell ref="X271:X273"/>
    <mergeCell ref="Y271:Y273"/>
    <mergeCell ref="G270:G274"/>
    <mergeCell ref="H265:H269"/>
    <mergeCell ref="I265:I269"/>
    <mergeCell ref="J265:J269"/>
    <mergeCell ref="K265:K269"/>
    <mergeCell ref="L265:L269"/>
    <mergeCell ref="M265:M269"/>
    <mergeCell ref="AF275:AF279"/>
    <mergeCell ref="AG275:AG279"/>
    <mergeCell ref="AH275:AH279"/>
    <mergeCell ref="AI275:AI279"/>
    <mergeCell ref="AJ275:AJ279"/>
    <mergeCell ref="AK275:AK279"/>
    <mergeCell ref="N276:N278"/>
    <mergeCell ref="O276:O278"/>
    <mergeCell ref="P276:P278"/>
    <mergeCell ref="Q276:Q278"/>
    <mergeCell ref="R276:R278"/>
    <mergeCell ref="S276:S278"/>
    <mergeCell ref="T276:T278"/>
    <mergeCell ref="U276:U278"/>
    <mergeCell ref="V276:V278"/>
    <mergeCell ref="W276:W278"/>
    <mergeCell ref="X276:X278"/>
    <mergeCell ref="Y276:Y278"/>
    <mergeCell ref="G275:G279"/>
    <mergeCell ref="H280:H284"/>
    <mergeCell ref="I280:I284"/>
    <mergeCell ref="J280:J284"/>
    <mergeCell ref="K280:K284"/>
    <mergeCell ref="L280:L284"/>
    <mergeCell ref="M280:M284"/>
    <mergeCell ref="AF280:AF284"/>
    <mergeCell ref="AG280:AG284"/>
    <mergeCell ref="AH280:AH284"/>
    <mergeCell ref="AI280:AI284"/>
    <mergeCell ref="AJ280:AJ284"/>
    <mergeCell ref="AK280:AK284"/>
    <mergeCell ref="N281:N283"/>
    <mergeCell ref="O281:O283"/>
    <mergeCell ref="P281:P283"/>
    <mergeCell ref="Q281:Q283"/>
    <mergeCell ref="R281:R283"/>
    <mergeCell ref="S281:S283"/>
    <mergeCell ref="T281:T283"/>
    <mergeCell ref="U281:U283"/>
    <mergeCell ref="V281:V283"/>
    <mergeCell ref="W281:W283"/>
    <mergeCell ref="X281:X283"/>
    <mergeCell ref="Y281:Y283"/>
    <mergeCell ref="G280:G284"/>
    <mergeCell ref="H275:H279"/>
    <mergeCell ref="I275:I279"/>
    <mergeCell ref="J275:J279"/>
    <mergeCell ref="K275:K279"/>
    <mergeCell ref="L275:L279"/>
    <mergeCell ref="M275:M279"/>
    <mergeCell ref="AF285:AF289"/>
    <mergeCell ref="AG285:AG289"/>
    <mergeCell ref="AH285:AH289"/>
    <mergeCell ref="AI285:AI289"/>
    <mergeCell ref="AJ285:AJ289"/>
    <mergeCell ref="AK285:AK289"/>
    <mergeCell ref="N286:N288"/>
    <mergeCell ref="O286:O288"/>
    <mergeCell ref="P286:P288"/>
    <mergeCell ref="Q286:Q288"/>
    <mergeCell ref="R286:R288"/>
    <mergeCell ref="S286:S288"/>
    <mergeCell ref="T286:T288"/>
    <mergeCell ref="U286:U288"/>
    <mergeCell ref="V286:V288"/>
    <mergeCell ref="W286:W288"/>
    <mergeCell ref="X286:X288"/>
    <mergeCell ref="Y286:Y288"/>
    <mergeCell ref="G285:G289"/>
    <mergeCell ref="H290:H294"/>
    <mergeCell ref="I290:I294"/>
    <mergeCell ref="J290:J294"/>
    <mergeCell ref="K290:K294"/>
    <mergeCell ref="L290:L294"/>
    <mergeCell ref="M290:M294"/>
    <mergeCell ref="AF290:AF294"/>
    <mergeCell ref="AG290:AG294"/>
    <mergeCell ref="AH290:AH294"/>
    <mergeCell ref="AI290:AI294"/>
    <mergeCell ref="AJ290:AJ294"/>
    <mergeCell ref="AK290:AK294"/>
    <mergeCell ref="N291:N293"/>
    <mergeCell ref="O291:O293"/>
    <mergeCell ref="P291:P293"/>
    <mergeCell ref="Q291:Q293"/>
    <mergeCell ref="R291:R293"/>
    <mergeCell ref="S291:S293"/>
    <mergeCell ref="T291:T293"/>
    <mergeCell ref="U291:U293"/>
    <mergeCell ref="V291:V293"/>
    <mergeCell ref="W291:W293"/>
    <mergeCell ref="X291:X293"/>
    <mergeCell ref="Y291:Y293"/>
    <mergeCell ref="G290:G294"/>
    <mergeCell ref="H285:H289"/>
    <mergeCell ref="I285:I289"/>
    <mergeCell ref="J285:J289"/>
    <mergeCell ref="K285:K289"/>
    <mergeCell ref="L285:L289"/>
    <mergeCell ref="M285:M289"/>
    <mergeCell ref="AG295:AG299"/>
    <mergeCell ref="AH295:AH299"/>
    <mergeCell ref="AI295:AI299"/>
    <mergeCell ref="AJ295:AJ299"/>
    <mergeCell ref="AK295:AK299"/>
    <mergeCell ref="N296:N298"/>
    <mergeCell ref="O296:O298"/>
    <mergeCell ref="P296:P298"/>
    <mergeCell ref="Q296:Q298"/>
    <mergeCell ref="R296:R298"/>
    <mergeCell ref="S296:S298"/>
    <mergeCell ref="T296:T298"/>
    <mergeCell ref="U296:U298"/>
    <mergeCell ref="V296:V298"/>
    <mergeCell ref="W296:W298"/>
    <mergeCell ref="X296:X298"/>
    <mergeCell ref="Y296:Y298"/>
    <mergeCell ref="Q301:Q303"/>
    <mergeCell ref="R301:R303"/>
    <mergeCell ref="S301:S303"/>
    <mergeCell ref="T301:T303"/>
    <mergeCell ref="U301:U303"/>
    <mergeCell ref="V301:V303"/>
    <mergeCell ref="W301:W303"/>
    <mergeCell ref="X301:X303"/>
    <mergeCell ref="Y301:Y303"/>
    <mergeCell ref="G300:G304"/>
    <mergeCell ref="H295:H299"/>
    <mergeCell ref="I295:I299"/>
    <mergeCell ref="J295:J299"/>
    <mergeCell ref="K295:K299"/>
    <mergeCell ref="L295:L299"/>
    <mergeCell ref="M295:M299"/>
    <mergeCell ref="AF295:AF299"/>
    <mergeCell ref="AH305:AH309"/>
    <mergeCell ref="AI305:AI309"/>
    <mergeCell ref="AJ305:AJ309"/>
    <mergeCell ref="AK305:AK309"/>
    <mergeCell ref="N306:N308"/>
    <mergeCell ref="O306:O308"/>
    <mergeCell ref="P306:P308"/>
    <mergeCell ref="Q306:Q308"/>
    <mergeCell ref="R306:R308"/>
    <mergeCell ref="S306:S308"/>
    <mergeCell ref="T306:T308"/>
    <mergeCell ref="U306:U308"/>
    <mergeCell ref="V306:V308"/>
    <mergeCell ref="W306:W308"/>
    <mergeCell ref="X306:X308"/>
    <mergeCell ref="Y306:Y308"/>
    <mergeCell ref="G295:G299"/>
    <mergeCell ref="H300:H304"/>
    <mergeCell ref="I300:I304"/>
    <mergeCell ref="J300:J304"/>
    <mergeCell ref="K300:K304"/>
    <mergeCell ref="L300:L304"/>
    <mergeCell ref="M300:M304"/>
    <mergeCell ref="AF300:AF304"/>
    <mergeCell ref="AG300:AG304"/>
    <mergeCell ref="AH300:AH304"/>
    <mergeCell ref="AI300:AI304"/>
    <mergeCell ref="AJ300:AJ304"/>
    <mergeCell ref="AK300:AK304"/>
    <mergeCell ref="N301:N303"/>
    <mergeCell ref="O301:O303"/>
    <mergeCell ref="P301:P303"/>
    <mergeCell ref="R311:R313"/>
    <mergeCell ref="S311:S313"/>
    <mergeCell ref="T311:T313"/>
    <mergeCell ref="U311:U313"/>
    <mergeCell ref="V311:V313"/>
    <mergeCell ref="W311:W313"/>
    <mergeCell ref="X311:X313"/>
    <mergeCell ref="Y311:Y313"/>
    <mergeCell ref="G310:G314"/>
    <mergeCell ref="H305:H309"/>
    <mergeCell ref="I305:I309"/>
    <mergeCell ref="J305:J309"/>
    <mergeCell ref="K305:K309"/>
    <mergeCell ref="L305:L309"/>
    <mergeCell ref="M305:M309"/>
    <mergeCell ref="AF305:AF309"/>
    <mergeCell ref="AG305:AG309"/>
    <mergeCell ref="AI315:AI319"/>
    <mergeCell ref="AJ315:AJ319"/>
    <mergeCell ref="AK315:AK319"/>
    <mergeCell ref="N316:N318"/>
    <mergeCell ref="O316:O318"/>
    <mergeCell ref="P316:P318"/>
    <mergeCell ref="Q316:Q318"/>
    <mergeCell ref="R316:R318"/>
    <mergeCell ref="S316:S318"/>
    <mergeCell ref="T316:T318"/>
    <mergeCell ref="U316:U318"/>
    <mergeCell ref="V316:V318"/>
    <mergeCell ref="W316:W318"/>
    <mergeCell ref="X316:X318"/>
    <mergeCell ref="Y316:Y318"/>
    <mergeCell ref="G305:G309"/>
    <mergeCell ref="H310:H314"/>
    <mergeCell ref="I310:I314"/>
    <mergeCell ref="J310:J314"/>
    <mergeCell ref="K310:K314"/>
    <mergeCell ref="L310:L314"/>
    <mergeCell ref="M310:M314"/>
    <mergeCell ref="AF310:AF314"/>
    <mergeCell ref="AG310:AG314"/>
    <mergeCell ref="AH310:AH314"/>
    <mergeCell ref="AI310:AI314"/>
    <mergeCell ref="AJ310:AJ314"/>
    <mergeCell ref="AK310:AK314"/>
    <mergeCell ref="N311:N313"/>
    <mergeCell ref="O311:O313"/>
    <mergeCell ref="P311:P313"/>
    <mergeCell ref="Q311:Q313"/>
    <mergeCell ref="S321:S323"/>
    <mergeCell ref="T321:T323"/>
    <mergeCell ref="U321:U323"/>
    <mergeCell ref="V321:V323"/>
    <mergeCell ref="W321:W323"/>
    <mergeCell ref="X321:X323"/>
    <mergeCell ref="Y321:Y323"/>
    <mergeCell ref="G320:G324"/>
    <mergeCell ref="H315:H319"/>
    <mergeCell ref="I315:I319"/>
    <mergeCell ref="J315:J319"/>
    <mergeCell ref="K315:K319"/>
    <mergeCell ref="L315:L319"/>
    <mergeCell ref="M315:M319"/>
    <mergeCell ref="AF315:AF319"/>
    <mergeCell ref="AG315:AG319"/>
    <mergeCell ref="AH315:AH319"/>
    <mergeCell ref="AJ325:AJ329"/>
    <mergeCell ref="AK325:AK329"/>
    <mergeCell ref="N326:N328"/>
    <mergeCell ref="O326:O328"/>
    <mergeCell ref="P326:P328"/>
    <mergeCell ref="Q326:Q328"/>
    <mergeCell ref="R326:R328"/>
    <mergeCell ref="S326:S328"/>
    <mergeCell ref="T326:T328"/>
    <mergeCell ref="U326:U328"/>
    <mergeCell ref="V326:V328"/>
    <mergeCell ref="W326:W328"/>
    <mergeCell ref="X326:X328"/>
    <mergeCell ref="Y326:Y328"/>
    <mergeCell ref="G315:G319"/>
    <mergeCell ref="H320:H324"/>
    <mergeCell ref="I320:I324"/>
    <mergeCell ref="J320:J324"/>
    <mergeCell ref="K320:K324"/>
    <mergeCell ref="L320:L324"/>
    <mergeCell ref="M320:M324"/>
    <mergeCell ref="AF320:AF324"/>
    <mergeCell ref="AG320:AG324"/>
    <mergeCell ref="AH320:AH324"/>
    <mergeCell ref="AI320:AI324"/>
    <mergeCell ref="AJ320:AJ324"/>
    <mergeCell ref="AK320:AK324"/>
    <mergeCell ref="N321:N323"/>
    <mergeCell ref="O321:O323"/>
    <mergeCell ref="P321:P323"/>
    <mergeCell ref="Q321:Q323"/>
    <mergeCell ref="R321:R323"/>
    <mergeCell ref="T337:T339"/>
    <mergeCell ref="U337:U339"/>
    <mergeCell ref="V337:V339"/>
    <mergeCell ref="W337:W339"/>
    <mergeCell ref="X337:X339"/>
    <mergeCell ref="Y337:Y339"/>
    <mergeCell ref="G336:G340"/>
    <mergeCell ref="H325:H329"/>
    <mergeCell ref="I325:I329"/>
    <mergeCell ref="J325:J329"/>
    <mergeCell ref="K325:K329"/>
    <mergeCell ref="L325:L329"/>
    <mergeCell ref="M325:M329"/>
    <mergeCell ref="AF325:AF329"/>
    <mergeCell ref="AG325:AG329"/>
    <mergeCell ref="AH325:AH329"/>
    <mergeCell ref="AI325:AI329"/>
    <mergeCell ref="P332:P334"/>
    <mergeCell ref="Q332:Q334"/>
    <mergeCell ref="R332:R334"/>
    <mergeCell ref="G331:G335"/>
    <mergeCell ref="AK341:AK345"/>
    <mergeCell ref="N342:N344"/>
    <mergeCell ref="O342:O344"/>
    <mergeCell ref="P342:P344"/>
    <mergeCell ref="Q342:Q344"/>
    <mergeCell ref="R342:R344"/>
    <mergeCell ref="S342:S344"/>
    <mergeCell ref="T342:T344"/>
    <mergeCell ref="U342:U344"/>
    <mergeCell ref="V342:V344"/>
    <mergeCell ref="W342:W344"/>
    <mergeCell ref="X342:X344"/>
    <mergeCell ref="Y342:Y344"/>
    <mergeCell ref="G325:G329"/>
    <mergeCell ref="H336:H340"/>
    <mergeCell ref="I336:I340"/>
    <mergeCell ref="J336:J340"/>
    <mergeCell ref="K336:K340"/>
    <mergeCell ref="L336:L340"/>
    <mergeCell ref="M336:M340"/>
    <mergeCell ref="AF336:AF340"/>
    <mergeCell ref="AG336:AG340"/>
    <mergeCell ref="AH336:AH340"/>
    <mergeCell ref="AI336:AI340"/>
    <mergeCell ref="AJ336:AJ340"/>
    <mergeCell ref="AK336:AK340"/>
    <mergeCell ref="N337:N339"/>
    <mergeCell ref="O337:O339"/>
    <mergeCell ref="P337:P339"/>
    <mergeCell ref="Q337:Q339"/>
    <mergeCell ref="R337:R339"/>
    <mergeCell ref="S337:S339"/>
    <mergeCell ref="G341:G345"/>
    <mergeCell ref="H346:H350"/>
    <mergeCell ref="I346:I350"/>
    <mergeCell ref="J346:J350"/>
    <mergeCell ref="K346:K350"/>
    <mergeCell ref="L346:L350"/>
    <mergeCell ref="M346:M350"/>
    <mergeCell ref="AF346:AF350"/>
    <mergeCell ref="AG346:AG350"/>
    <mergeCell ref="AH346:AH350"/>
    <mergeCell ref="AI346:AI350"/>
    <mergeCell ref="AJ346:AJ350"/>
    <mergeCell ref="AK346:AK350"/>
    <mergeCell ref="N347:N349"/>
    <mergeCell ref="O347:O349"/>
    <mergeCell ref="P347:P349"/>
    <mergeCell ref="Q347:Q349"/>
    <mergeCell ref="R347:R349"/>
    <mergeCell ref="S347:S349"/>
    <mergeCell ref="T347:T349"/>
    <mergeCell ref="U347:U349"/>
    <mergeCell ref="V347:V349"/>
    <mergeCell ref="W347:W349"/>
    <mergeCell ref="X347:X349"/>
    <mergeCell ref="Y347:Y349"/>
    <mergeCell ref="G346:G350"/>
    <mergeCell ref="M341:M345"/>
    <mergeCell ref="AF341:AF345"/>
    <mergeCell ref="AG341:AG345"/>
    <mergeCell ref="AH341:AH345"/>
    <mergeCell ref="AI341:AI345"/>
    <mergeCell ref="AJ341:AJ345"/>
    <mergeCell ref="AG351:AG355"/>
    <mergeCell ref="AH351:AH355"/>
    <mergeCell ref="AI351:AI355"/>
    <mergeCell ref="AJ351:AJ355"/>
    <mergeCell ref="AK351:AK355"/>
    <mergeCell ref="N352:N354"/>
    <mergeCell ref="O352:O354"/>
    <mergeCell ref="P352:P354"/>
    <mergeCell ref="Q352:Q354"/>
    <mergeCell ref="R352:R354"/>
    <mergeCell ref="S352:S354"/>
    <mergeCell ref="T352:T354"/>
    <mergeCell ref="U352:U354"/>
    <mergeCell ref="V352:V354"/>
    <mergeCell ref="W352:W354"/>
    <mergeCell ref="X352:X354"/>
    <mergeCell ref="Y352:Y354"/>
    <mergeCell ref="Q357:Q359"/>
    <mergeCell ref="R357:R359"/>
    <mergeCell ref="S357:S359"/>
    <mergeCell ref="T357:T359"/>
    <mergeCell ref="U357:U359"/>
    <mergeCell ref="V357:V359"/>
    <mergeCell ref="W357:W359"/>
    <mergeCell ref="X357:X359"/>
    <mergeCell ref="Y357:Y359"/>
    <mergeCell ref="G356:G360"/>
    <mergeCell ref="H351:H355"/>
    <mergeCell ref="I351:I355"/>
    <mergeCell ref="J351:J355"/>
    <mergeCell ref="K351:K355"/>
    <mergeCell ref="L351:L355"/>
    <mergeCell ref="M351:M355"/>
    <mergeCell ref="AF351:AF355"/>
    <mergeCell ref="AH361:AH365"/>
    <mergeCell ref="AI361:AI365"/>
    <mergeCell ref="AJ361:AJ365"/>
    <mergeCell ref="AK361:AK365"/>
    <mergeCell ref="N362:N364"/>
    <mergeCell ref="O362:O364"/>
    <mergeCell ref="P362:P364"/>
    <mergeCell ref="Q362:Q364"/>
    <mergeCell ref="R362:R364"/>
    <mergeCell ref="S362:S364"/>
    <mergeCell ref="T362:T364"/>
    <mergeCell ref="U362:U364"/>
    <mergeCell ref="V362:V364"/>
    <mergeCell ref="W362:W364"/>
    <mergeCell ref="X362:X364"/>
    <mergeCell ref="Y362:Y364"/>
    <mergeCell ref="G351:G355"/>
    <mergeCell ref="H356:H360"/>
    <mergeCell ref="I356:I360"/>
    <mergeCell ref="J356:J360"/>
    <mergeCell ref="K356:K360"/>
    <mergeCell ref="L356:L360"/>
    <mergeCell ref="M356:M360"/>
    <mergeCell ref="AF356:AF360"/>
    <mergeCell ref="AG356:AG360"/>
    <mergeCell ref="AH356:AH360"/>
    <mergeCell ref="AI356:AI360"/>
    <mergeCell ref="AJ356:AJ360"/>
    <mergeCell ref="AK356:AK360"/>
    <mergeCell ref="N357:N359"/>
    <mergeCell ref="O357:O359"/>
    <mergeCell ref="P357:P359"/>
    <mergeCell ref="R367:R369"/>
    <mergeCell ref="S367:S369"/>
    <mergeCell ref="T367:T369"/>
    <mergeCell ref="U367:U369"/>
    <mergeCell ref="V367:V369"/>
    <mergeCell ref="W367:W369"/>
    <mergeCell ref="X367:X369"/>
    <mergeCell ref="Y367:Y369"/>
    <mergeCell ref="G366:G370"/>
    <mergeCell ref="H361:H365"/>
    <mergeCell ref="I361:I365"/>
    <mergeCell ref="J361:J365"/>
    <mergeCell ref="K361:K365"/>
    <mergeCell ref="L361:L365"/>
    <mergeCell ref="M361:M365"/>
    <mergeCell ref="AF361:AF365"/>
    <mergeCell ref="AG361:AG365"/>
    <mergeCell ref="AI371:AI375"/>
    <mergeCell ref="AJ371:AJ375"/>
    <mergeCell ref="AK371:AK375"/>
    <mergeCell ref="N372:N374"/>
    <mergeCell ref="O372:O374"/>
    <mergeCell ref="P372:P374"/>
    <mergeCell ref="Q372:Q374"/>
    <mergeCell ref="R372:R374"/>
    <mergeCell ref="S372:S374"/>
    <mergeCell ref="T372:T374"/>
    <mergeCell ref="U372:U374"/>
    <mergeCell ref="V372:V374"/>
    <mergeCell ref="W372:W374"/>
    <mergeCell ref="X372:X374"/>
    <mergeCell ref="Y372:Y374"/>
    <mergeCell ref="G361:G365"/>
    <mergeCell ref="H366:H370"/>
    <mergeCell ref="I366:I370"/>
    <mergeCell ref="J366:J370"/>
    <mergeCell ref="K366:K370"/>
    <mergeCell ref="L366:L370"/>
    <mergeCell ref="M366:M370"/>
    <mergeCell ref="AF366:AF370"/>
    <mergeCell ref="AG366:AG370"/>
    <mergeCell ref="AH366:AH370"/>
    <mergeCell ref="AI366:AI370"/>
    <mergeCell ref="AJ366:AJ370"/>
    <mergeCell ref="AK366:AK370"/>
    <mergeCell ref="N367:N369"/>
    <mergeCell ref="O367:O369"/>
    <mergeCell ref="P367:P369"/>
    <mergeCell ref="Q367:Q369"/>
    <mergeCell ref="S377:S379"/>
    <mergeCell ref="T377:T379"/>
    <mergeCell ref="U377:U379"/>
    <mergeCell ref="V377:V379"/>
    <mergeCell ref="W377:W379"/>
    <mergeCell ref="X377:X379"/>
    <mergeCell ref="Y377:Y379"/>
    <mergeCell ref="G376:G380"/>
    <mergeCell ref="H371:H375"/>
    <mergeCell ref="I371:I375"/>
    <mergeCell ref="J371:J375"/>
    <mergeCell ref="K371:K375"/>
    <mergeCell ref="L371:L375"/>
    <mergeCell ref="M371:M375"/>
    <mergeCell ref="AF371:AF375"/>
    <mergeCell ref="AG371:AG375"/>
    <mergeCell ref="AH371:AH375"/>
    <mergeCell ref="AJ381:AJ385"/>
    <mergeCell ref="AK381:AK385"/>
    <mergeCell ref="N382:N384"/>
    <mergeCell ref="O382:O384"/>
    <mergeCell ref="P382:P384"/>
    <mergeCell ref="Q382:Q384"/>
    <mergeCell ref="R382:R384"/>
    <mergeCell ref="S382:S384"/>
    <mergeCell ref="T382:T384"/>
    <mergeCell ref="U382:U384"/>
    <mergeCell ref="V382:V384"/>
    <mergeCell ref="W382:W384"/>
    <mergeCell ref="X382:X384"/>
    <mergeCell ref="Y382:Y384"/>
    <mergeCell ref="G371:G375"/>
    <mergeCell ref="H376:H380"/>
    <mergeCell ref="I376:I380"/>
    <mergeCell ref="J376:J380"/>
    <mergeCell ref="K376:K380"/>
    <mergeCell ref="L376:L380"/>
    <mergeCell ref="M376:M380"/>
    <mergeCell ref="AF376:AF380"/>
    <mergeCell ref="AG376:AG380"/>
    <mergeCell ref="AH376:AH380"/>
    <mergeCell ref="AI376:AI380"/>
    <mergeCell ref="AJ376:AJ380"/>
    <mergeCell ref="AK376:AK380"/>
    <mergeCell ref="N377:N379"/>
    <mergeCell ref="O377:O379"/>
    <mergeCell ref="P377:P379"/>
    <mergeCell ref="Q377:Q379"/>
    <mergeCell ref="R377:R379"/>
    <mergeCell ref="T387:T389"/>
    <mergeCell ref="U387:U389"/>
    <mergeCell ref="V387:V389"/>
    <mergeCell ref="W387:W389"/>
    <mergeCell ref="X387:X389"/>
    <mergeCell ref="Y387:Y389"/>
    <mergeCell ref="G386:G390"/>
    <mergeCell ref="H381:H385"/>
    <mergeCell ref="I381:I385"/>
    <mergeCell ref="J381:J385"/>
    <mergeCell ref="K381:K385"/>
    <mergeCell ref="L381:L385"/>
    <mergeCell ref="M381:M385"/>
    <mergeCell ref="AF381:AF385"/>
    <mergeCell ref="AG381:AG385"/>
    <mergeCell ref="AH381:AH385"/>
    <mergeCell ref="AI381:AI385"/>
    <mergeCell ref="AK397:AK402"/>
    <mergeCell ref="N398:N401"/>
    <mergeCell ref="O398:O401"/>
    <mergeCell ref="P398:P401"/>
    <mergeCell ref="Q398:Q401"/>
    <mergeCell ref="R398:R401"/>
    <mergeCell ref="S398:S401"/>
    <mergeCell ref="T398:T401"/>
    <mergeCell ref="U398:U401"/>
    <mergeCell ref="V398:V401"/>
    <mergeCell ref="W398:W401"/>
    <mergeCell ref="X398:X401"/>
    <mergeCell ref="Y398:Y401"/>
    <mergeCell ref="G381:G385"/>
    <mergeCell ref="H386:H390"/>
    <mergeCell ref="I386:I390"/>
    <mergeCell ref="J386:J390"/>
    <mergeCell ref="K386:K390"/>
    <mergeCell ref="L386:L390"/>
    <mergeCell ref="M386:M390"/>
    <mergeCell ref="AF386:AF390"/>
    <mergeCell ref="AG386:AG390"/>
    <mergeCell ref="AH386:AH390"/>
    <mergeCell ref="AI386:AI390"/>
    <mergeCell ref="AJ386:AJ390"/>
    <mergeCell ref="AK386:AK390"/>
    <mergeCell ref="N387:N389"/>
    <mergeCell ref="O387:O389"/>
    <mergeCell ref="P387:P389"/>
    <mergeCell ref="Q387:Q389"/>
    <mergeCell ref="R387:R389"/>
    <mergeCell ref="S387:S389"/>
    <mergeCell ref="G397:G402"/>
    <mergeCell ref="H403:H408"/>
    <mergeCell ref="I403:I408"/>
    <mergeCell ref="J403:J408"/>
    <mergeCell ref="K403:K408"/>
    <mergeCell ref="L403:L408"/>
    <mergeCell ref="M403:M408"/>
    <mergeCell ref="AF403:AF408"/>
    <mergeCell ref="AG403:AG408"/>
    <mergeCell ref="AH403:AH408"/>
    <mergeCell ref="AI403:AI408"/>
    <mergeCell ref="AJ403:AJ408"/>
    <mergeCell ref="AK403:AK408"/>
    <mergeCell ref="N404:N407"/>
    <mergeCell ref="O404:O407"/>
    <mergeCell ref="P404:P407"/>
    <mergeCell ref="Q404:Q407"/>
    <mergeCell ref="R404:R407"/>
    <mergeCell ref="S404:S407"/>
    <mergeCell ref="T404:T407"/>
    <mergeCell ref="U404:U407"/>
    <mergeCell ref="V404:V407"/>
    <mergeCell ref="W404:W407"/>
    <mergeCell ref="X404:X407"/>
    <mergeCell ref="Y404:Y407"/>
    <mergeCell ref="G403:G408"/>
    <mergeCell ref="M397:M402"/>
    <mergeCell ref="AF397:AF402"/>
    <mergeCell ref="AG397:AG402"/>
    <mergeCell ref="AH397:AH402"/>
    <mergeCell ref="AI397:AI402"/>
    <mergeCell ref="AJ397:AJ402"/>
    <mergeCell ref="AF409:AF414"/>
    <mergeCell ref="AG409:AG414"/>
    <mergeCell ref="AH409:AH414"/>
    <mergeCell ref="AI409:AI414"/>
    <mergeCell ref="AJ409:AJ414"/>
    <mergeCell ref="AK409:AK414"/>
    <mergeCell ref="N410:N413"/>
    <mergeCell ref="O410:O413"/>
    <mergeCell ref="P410:P413"/>
    <mergeCell ref="Q410:Q413"/>
    <mergeCell ref="R410:R413"/>
    <mergeCell ref="S410:S413"/>
    <mergeCell ref="T410:T413"/>
    <mergeCell ref="U410:U413"/>
    <mergeCell ref="V410:V413"/>
    <mergeCell ref="W410:W413"/>
    <mergeCell ref="X410:X413"/>
    <mergeCell ref="Y410:Y413"/>
    <mergeCell ref="G409:G414"/>
    <mergeCell ref="H415:H420"/>
    <mergeCell ref="I415:I420"/>
    <mergeCell ref="J415:J420"/>
    <mergeCell ref="K415:K420"/>
    <mergeCell ref="L415:L420"/>
    <mergeCell ref="M415:M420"/>
    <mergeCell ref="AF415:AF420"/>
    <mergeCell ref="AG415:AG420"/>
    <mergeCell ref="AH415:AH420"/>
    <mergeCell ref="AI415:AI420"/>
    <mergeCell ref="AJ415:AJ420"/>
    <mergeCell ref="AK415:AK420"/>
    <mergeCell ref="N416:N419"/>
    <mergeCell ref="O416:O419"/>
    <mergeCell ref="P416:P419"/>
    <mergeCell ref="Q416:Q419"/>
    <mergeCell ref="R416:R419"/>
    <mergeCell ref="S416:S419"/>
    <mergeCell ref="T416:T419"/>
    <mergeCell ref="U416:U419"/>
    <mergeCell ref="V416:V419"/>
    <mergeCell ref="W416:W419"/>
    <mergeCell ref="X416:X419"/>
    <mergeCell ref="Y416:Y419"/>
    <mergeCell ref="G415:G420"/>
    <mergeCell ref="H409:H414"/>
    <mergeCell ref="I409:I414"/>
    <mergeCell ref="J409:J414"/>
    <mergeCell ref="K409:K414"/>
    <mergeCell ref="L409:L414"/>
    <mergeCell ref="M409:M414"/>
    <mergeCell ref="AF421:AF426"/>
    <mergeCell ref="AG421:AG426"/>
    <mergeCell ref="AH421:AH426"/>
    <mergeCell ref="AI421:AI426"/>
    <mergeCell ref="AJ421:AJ426"/>
    <mergeCell ref="AK421:AK426"/>
    <mergeCell ref="N422:N425"/>
    <mergeCell ref="O422:O425"/>
    <mergeCell ref="P422:P425"/>
    <mergeCell ref="Q422:Q425"/>
    <mergeCell ref="R422:R425"/>
    <mergeCell ref="S422:S425"/>
    <mergeCell ref="T422:T425"/>
    <mergeCell ref="U422:U425"/>
    <mergeCell ref="V422:V425"/>
    <mergeCell ref="W422:W425"/>
    <mergeCell ref="X422:X425"/>
    <mergeCell ref="Y422:Y425"/>
    <mergeCell ref="G421:G426"/>
    <mergeCell ref="H427:H432"/>
    <mergeCell ref="I427:I432"/>
    <mergeCell ref="J427:J432"/>
    <mergeCell ref="K427:K432"/>
    <mergeCell ref="L427:L432"/>
    <mergeCell ref="M427:M432"/>
    <mergeCell ref="AF427:AF432"/>
    <mergeCell ref="AG427:AG432"/>
    <mergeCell ref="AH427:AH432"/>
    <mergeCell ref="AI427:AI432"/>
    <mergeCell ref="AJ427:AJ432"/>
    <mergeCell ref="AK427:AK432"/>
    <mergeCell ref="N428:N431"/>
    <mergeCell ref="O428:O431"/>
    <mergeCell ref="P428:P431"/>
    <mergeCell ref="Q428:Q431"/>
    <mergeCell ref="R428:R431"/>
    <mergeCell ref="S428:S431"/>
    <mergeCell ref="T428:T431"/>
    <mergeCell ref="U428:U431"/>
    <mergeCell ref="V428:V431"/>
    <mergeCell ref="W428:W431"/>
    <mergeCell ref="X428:X431"/>
    <mergeCell ref="Y428:Y431"/>
    <mergeCell ref="G427:G432"/>
    <mergeCell ref="H421:H426"/>
    <mergeCell ref="I421:I426"/>
    <mergeCell ref="J421:J426"/>
    <mergeCell ref="K421:K426"/>
    <mergeCell ref="L421:L426"/>
    <mergeCell ref="M421:M426"/>
    <mergeCell ref="AG433:AG438"/>
    <mergeCell ref="AH433:AH438"/>
    <mergeCell ref="AI433:AI438"/>
    <mergeCell ref="AJ433:AJ438"/>
    <mergeCell ref="AK433:AK438"/>
    <mergeCell ref="N434:N437"/>
    <mergeCell ref="O434:O437"/>
    <mergeCell ref="P434:P437"/>
    <mergeCell ref="Q434:Q437"/>
    <mergeCell ref="R434:R437"/>
    <mergeCell ref="S434:S437"/>
    <mergeCell ref="T434:T437"/>
    <mergeCell ref="U434:U437"/>
    <mergeCell ref="V434:V437"/>
    <mergeCell ref="W434:W437"/>
    <mergeCell ref="X434:X437"/>
    <mergeCell ref="Y434:Y437"/>
    <mergeCell ref="Q440:Q443"/>
    <mergeCell ref="R440:R443"/>
    <mergeCell ref="S440:S443"/>
    <mergeCell ref="T440:T443"/>
    <mergeCell ref="U440:U443"/>
    <mergeCell ref="V440:V443"/>
    <mergeCell ref="W440:W443"/>
    <mergeCell ref="X440:X443"/>
    <mergeCell ref="Y440:Y443"/>
    <mergeCell ref="G439:G444"/>
    <mergeCell ref="H433:H438"/>
    <mergeCell ref="I433:I438"/>
    <mergeCell ref="J433:J438"/>
    <mergeCell ref="K433:K438"/>
    <mergeCell ref="L433:L438"/>
    <mergeCell ref="M433:M438"/>
    <mergeCell ref="AF433:AF438"/>
    <mergeCell ref="AH445:AH450"/>
    <mergeCell ref="AI445:AI450"/>
    <mergeCell ref="AJ445:AJ450"/>
    <mergeCell ref="AK445:AK450"/>
    <mergeCell ref="N446:N449"/>
    <mergeCell ref="O446:O449"/>
    <mergeCell ref="P446:P449"/>
    <mergeCell ref="Q446:Q449"/>
    <mergeCell ref="R446:R449"/>
    <mergeCell ref="S446:S449"/>
    <mergeCell ref="T446:T449"/>
    <mergeCell ref="U446:U449"/>
    <mergeCell ref="V446:V449"/>
    <mergeCell ref="W446:W449"/>
    <mergeCell ref="X446:X449"/>
    <mergeCell ref="Y446:Y449"/>
    <mergeCell ref="G433:G438"/>
    <mergeCell ref="H439:H444"/>
    <mergeCell ref="I439:I444"/>
    <mergeCell ref="J439:J444"/>
    <mergeCell ref="K439:K444"/>
    <mergeCell ref="L439:L444"/>
    <mergeCell ref="M439:M444"/>
    <mergeCell ref="AF439:AF444"/>
    <mergeCell ref="AG439:AG444"/>
    <mergeCell ref="AH439:AH444"/>
    <mergeCell ref="AI439:AI444"/>
    <mergeCell ref="AJ439:AJ444"/>
    <mergeCell ref="AK439:AK444"/>
    <mergeCell ref="N440:N443"/>
    <mergeCell ref="O440:O443"/>
    <mergeCell ref="P440:P443"/>
    <mergeCell ref="R452:R454"/>
    <mergeCell ref="S452:S454"/>
    <mergeCell ref="T452:T454"/>
    <mergeCell ref="U452:U454"/>
    <mergeCell ref="V452:V454"/>
    <mergeCell ref="W452:W454"/>
    <mergeCell ref="X452:X454"/>
    <mergeCell ref="Y452:Y454"/>
    <mergeCell ref="G451:G455"/>
    <mergeCell ref="H445:H450"/>
    <mergeCell ref="I445:I450"/>
    <mergeCell ref="J445:J450"/>
    <mergeCell ref="K445:K450"/>
    <mergeCell ref="L445:L450"/>
    <mergeCell ref="M445:M450"/>
    <mergeCell ref="AF445:AF450"/>
    <mergeCell ref="AG445:AG450"/>
    <mergeCell ref="AI456:AI461"/>
    <mergeCell ref="AJ456:AJ461"/>
    <mergeCell ref="AK456:AK461"/>
    <mergeCell ref="N457:N460"/>
    <mergeCell ref="O457:O460"/>
    <mergeCell ref="P457:P460"/>
    <mergeCell ref="Q457:Q460"/>
    <mergeCell ref="R457:R460"/>
    <mergeCell ref="S457:S460"/>
    <mergeCell ref="T457:T460"/>
    <mergeCell ref="U457:U460"/>
    <mergeCell ref="V457:V460"/>
    <mergeCell ref="W457:W460"/>
    <mergeCell ref="X457:X460"/>
    <mergeCell ref="Y457:Y460"/>
    <mergeCell ref="G445:G450"/>
    <mergeCell ref="H451:H455"/>
    <mergeCell ref="I451:I455"/>
    <mergeCell ref="J451:J455"/>
    <mergeCell ref="K451:K455"/>
    <mergeCell ref="L451:L455"/>
    <mergeCell ref="M451:M455"/>
    <mergeCell ref="AF451:AF455"/>
    <mergeCell ref="AG451:AG455"/>
    <mergeCell ref="AH451:AH455"/>
    <mergeCell ref="AI451:AI455"/>
    <mergeCell ref="AJ451:AJ455"/>
    <mergeCell ref="AK451:AK455"/>
    <mergeCell ref="N452:N454"/>
    <mergeCell ref="O452:O454"/>
    <mergeCell ref="P452:P454"/>
    <mergeCell ref="Q452:Q454"/>
    <mergeCell ref="S463:S466"/>
    <mergeCell ref="T463:T466"/>
    <mergeCell ref="U463:U466"/>
    <mergeCell ref="V463:V466"/>
    <mergeCell ref="W463:W466"/>
    <mergeCell ref="X463:X466"/>
    <mergeCell ref="Y463:Y466"/>
    <mergeCell ref="G462:G467"/>
    <mergeCell ref="H456:H461"/>
    <mergeCell ref="I456:I461"/>
    <mergeCell ref="J456:J461"/>
    <mergeCell ref="K456:K461"/>
    <mergeCell ref="L456:L461"/>
    <mergeCell ref="M456:M461"/>
    <mergeCell ref="AF456:AF461"/>
    <mergeCell ref="AG456:AG461"/>
    <mergeCell ref="AH456:AH461"/>
    <mergeCell ref="AJ468:AJ473"/>
    <mergeCell ref="AK468:AK473"/>
    <mergeCell ref="N469:N472"/>
    <mergeCell ref="O469:O472"/>
    <mergeCell ref="P469:P472"/>
    <mergeCell ref="Q469:Q472"/>
    <mergeCell ref="R469:R472"/>
    <mergeCell ref="S469:S472"/>
    <mergeCell ref="T469:T472"/>
    <mergeCell ref="U469:U472"/>
    <mergeCell ref="V469:V472"/>
    <mergeCell ref="W469:W472"/>
    <mergeCell ref="X469:X472"/>
    <mergeCell ref="Y469:Y472"/>
    <mergeCell ref="G456:G461"/>
    <mergeCell ref="H462:H467"/>
    <mergeCell ref="I462:I467"/>
    <mergeCell ref="J462:J467"/>
    <mergeCell ref="K462:K467"/>
    <mergeCell ref="L462:L467"/>
    <mergeCell ref="M462:M467"/>
    <mergeCell ref="AF462:AF467"/>
    <mergeCell ref="AG462:AG467"/>
    <mergeCell ref="AH462:AH467"/>
    <mergeCell ref="AI462:AI467"/>
    <mergeCell ref="AJ462:AJ467"/>
    <mergeCell ref="AK462:AK467"/>
    <mergeCell ref="N463:N466"/>
    <mergeCell ref="O463:O466"/>
    <mergeCell ref="P463:P466"/>
    <mergeCell ref="Q463:Q466"/>
    <mergeCell ref="R463:R466"/>
    <mergeCell ref="T475:T478"/>
    <mergeCell ref="U475:U478"/>
    <mergeCell ref="V475:V478"/>
    <mergeCell ref="W475:W478"/>
    <mergeCell ref="X475:X478"/>
    <mergeCell ref="Y475:Y478"/>
    <mergeCell ref="G474:G479"/>
    <mergeCell ref="H468:H473"/>
    <mergeCell ref="I468:I473"/>
    <mergeCell ref="J468:J473"/>
    <mergeCell ref="K468:K473"/>
    <mergeCell ref="L468:L473"/>
    <mergeCell ref="M468:M473"/>
    <mergeCell ref="AF468:AF473"/>
    <mergeCell ref="AG468:AG473"/>
    <mergeCell ref="AH468:AH473"/>
    <mergeCell ref="AI468:AI473"/>
    <mergeCell ref="AK486:AK490"/>
    <mergeCell ref="N487:N489"/>
    <mergeCell ref="O487:O489"/>
    <mergeCell ref="P487:P489"/>
    <mergeCell ref="Q487:Q489"/>
    <mergeCell ref="R487:R489"/>
    <mergeCell ref="S487:S489"/>
    <mergeCell ref="T487:T489"/>
    <mergeCell ref="U487:U489"/>
    <mergeCell ref="V487:V489"/>
    <mergeCell ref="W487:W489"/>
    <mergeCell ref="X487:X489"/>
    <mergeCell ref="Y487:Y489"/>
    <mergeCell ref="G468:G473"/>
    <mergeCell ref="H474:H479"/>
    <mergeCell ref="I474:I479"/>
    <mergeCell ref="J474:J479"/>
    <mergeCell ref="K474:K479"/>
    <mergeCell ref="L474:L479"/>
    <mergeCell ref="M474:M479"/>
    <mergeCell ref="AF474:AF479"/>
    <mergeCell ref="AG474:AG479"/>
    <mergeCell ref="AH474:AH479"/>
    <mergeCell ref="AI474:AI479"/>
    <mergeCell ref="AJ474:AJ479"/>
    <mergeCell ref="AK474:AK479"/>
    <mergeCell ref="N475:N478"/>
    <mergeCell ref="O475:O478"/>
    <mergeCell ref="P475:P478"/>
    <mergeCell ref="Q475:Q478"/>
    <mergeCell ref="R475:R478"/>
    <mergeCell ref="S475:S478"/>
    <mergeCell ref="G486:G490"/>
    <mergeCell ref="H491:H495"/>
    <mergeCell ref="I491:I495"/>
    <mergeCell ref="J491:J495"/>
    <mergeCell ref="K491:K495"/>
    <mergeCell ref="L491:L495"/>
    <mergeCell ref="M491:M495"/>
    <mergeCell ref="AF491:AF495"/>
    <mergeCell ref="AG491:AG495"/>
    <mergeCell ref="AH491:AH495"/>
    <mergeCell ref="AI491:AI495"/>
    <mergeCell ref="AJ491:AJ495"/>
    <mergeCell ref="AK491:AK495"/>
    <mergeCell ref="N492:N494"/>
    <mergeCell ref="O492:O494"/>
    <mergeCell ref="P492:P494"/>
    <mergeCell ref="Q492:Q494"/>
    <mergeCell ref="R492:R494"/>
    <mergeCell ref="S492:S494"/>
    <mergeCell ref="T492:T494"/>
    <mergeCell ref="U492:U494"/>
    <mergeCell ref="V492:V494"/>
    <mergeCell ref="W492:W494"/>
    <mergeCell ref="X492:X494"/>
    <mergeCell ref="Y492:Y494"/>
    <mergeCell ref="G491:G495"/>
    <mergeCell ref="M486:M490"/>
    <mergeCell ref="AF486:AF490"/>
    <mergeCell ref="AG486:AG490"/>
    <mergeCell ref="AH486:AH490"/>
    <mergeCell ref="AI486:AI490"/>
    <mergeCell ref="AJ486:AJ490"/>
    <mergeCell ref="AF496:AF501"/>
    <mergeCell ref="AG496:AG501"/>
    <mergeCell ref="AH496:AH501"/>
    <mergeCell ref="AI496:AI501"/>
    <mergeCell ref="AJ496:AJ501"/>
    <mergeCell ref="AK496:AK501"/>
    <mergeCell ref="N497:N500"/>
    <mergeCell ref="O497:O500"/>
    <mergeCell ref="P497:P500"/>
    <mergeCell ref="Q497:Q500"/>
    <mergeCell ref="R497:R500"/>
    <mergeCell ref="S497:S500"/>
    <mergeCell ref="T497:T500"/>
    <mergeCell ref="U497:U500"/>
    <mergeCell ref="V497:V500"/>
    <mergeCell ref="W497:W500"/>
    <mergeCell ref="X497:X500"/>
    <mergeCell ref="Y497:Y500"/>
    <mergeCell ref="G496:G501"/>
    <mergeCell ref="H502:H506"/>
    <mergeCell ref="I502:I506"/>
    <mergeCell ref="J502:J506"/>
    <mergeCell ref="K502:K506"/>
    <mergeCell ref="L502:L506"/>
    <mergeCell ref="M502:M506"/>
    <mergeCell ref="AF502:AF506"/>
    <mergeCell ref="AG502:AG506"/>
    <mergeCell ref="AH502:AH506"/>
    <mergeCell ref="AI502:AI506"/>
    <mergeCell ref="AJ502:AJ506"/>
    <mergeCell ref="AK502:AK506"/>
    <mergeCell ref="N503:N505"/>
    <mergeCell ref="O503:O505"/>
    <mergeCell ref="P503:P505"/>
    <mergeCell ref="Q503:Q505"/>
    <mergeCell ref="R503:R505"/>
    <mergeCell ref="S503:S505"/>
    <mergeCell ref="T503:T505"/>
    <mergeCell ref="U503:U505"/>
    <mergeCell ref="V503:V505"/>
    <mergeCell ref="W503:W505"/>
    <mergeCell ref="X503:X505"/>
    <mergeCell ref="Y503:Y505"/>
    <mergeCell ref="G502:G506"/>
    <mergeCell ref="H496:H501"/>
    <mergeCell ref="I496:I501"/>
    <mergeCell ref="J496:J501"/>
    <mergeCell ref="K496:K501"/>
    <mergeCell ref="L496:L501"/>
    <mergeCell ref="M496:M501"/>
    <mergeCell ref="AF507:AF511"/>
    <mergeCell ref="AG507:AG511"/>
    <mergeCell ref="AH507:AH511"/>
    <mergeCell ref="AI507:AI511"/>
    <mergeCell ref="AJ507:AJ511"/>
    <mergeCell ref="AK507:AK511"/>
    <mergeCell ref="N508:N510"/>
    <mergeCell ref="O508:O510"/>
    <mergeCell ref="P508:P510"/>
    <mergeCell ref="Q508:Q510"/>
    <mergeCell ref="R508:R510"/>
    <mergeCell ref="S508:S510"/>
    <mergeCell ref="T508:T510"/>
    <mergeCell ref="U508:U510"/>
    <mergeCell ref="V508:V510"/>
    <mergeCell ref="W508:W510"/>
    <mergeCell ref="X508:X510"/>
    <mergeCell ref="Y508:Y510"/>
    <mergeCell ref="G507:G511"/>
    <mergeCell ref="H512:H516"/>
    <mergeCell ref="I512:I516"/>
    <mergeCell ref="J512:J516"/>
    <mergeCell ref="K512:K516"/>
    <mergeCell ref="L512:L516"/>
    <mergeCell ref="M512:M516"/>
    <mergeCell ref="AF512:AF516"/>
    <mergeCell ref="AG512:AG516"/>
    <mergeCell ref="AH512:AH516"/>
    <mergeCell ref="AI512:AI516"/>
    <mergeCell ref="AJ512:AJ516"/>
    <mergeCell ref="AK512:AK516"/>
    <mergeCell ref="N513:N515"/>
    <mergeCell ref="O513:O515"/>
    <mergeCell ref="P513:P515"/>
    <mergeCell ref="Q513:Q515"/>
    <mergeCell ref="R513:R515"/>
    <mergeCell ref="S513:S515"/>
    <mergeCell ref="T513:T515"/>
    <mergeCell ref="U513:U515"/>
    <mergeCell ref="V513:V515"/>
    <mergeCell ref="W513:W515"/>
    <mergeCell ref="X513:X515"/>
    <mergeCell ref="Y513:Y515"/>
    <mergeCell ref="G512:G516"/>
    <mergeCell ref="H507:H511"/>
    <mergeCell ref="I507:I511"/>
    <mergeCell ref="J507:J511"/>
    <mergeCell ref="K507:K511"/>
    <mergeCell ref="L507:L511"/>
    <mergeCell ref="M507:M511"/>
    <mergeCell ref="AG517:AG521"/>
    <mergeCell ref="AH517:AH521"/>
    <mergeCell ref="AI517:AI521"/>
    <mergeCell ref="AJ517:AJ521"/>
    <mergeCell ref="AK517:AK521"/>
    <mergeCell ref="N518:N520"/>
    <mergeCell ref="O518:O520"/>
    <mergeCell ref="P518:P520"/>
    <mergeCell ref="Q518:Q520"/>
    <mergeCell ref="R518:R520"/>
    <mergeCell ref="S518:S520"/>
    <mergeCell ref="T518:T520"/>
    <mergeCell ref="U518:U520"/>
    <mergeCell ref="V518:V520"/>
    <mergeCell ref="W518:W520"/>
    <mergeCell ref="X518:X520"/>
    <mergeCell ref="Y518:Y520"/>
    <mergeCell ref="Q523:Q525"/>
    <mergeCell ref="R523:R525"/>
    <mergeCell ref="S523:S525"/>
    <mergeCell ref="T523:T525"/>
    <mergeCell ref="U523:U525"/>
    <mergeCell ref="V523:V525"/>
    <mergeCell ref="W523:W525"/>
    <mergeCell ref="X523:X525"/>
    <mergeCell ref="Y523:Y525"/>
    <mergeCell ref="G522:G526"/>
    <mergeCell ref="H517:H521"/>
    <mergeCell ref="I517:I521"/>
    <mergeCell ref="J517:J521"/>
    <mergeCell ref="K517:K521"/>
    <mergeCell ref="L517:L521"/>
    <mergeCell ref="M517:M521"/>
    <mergeCell ref="AF517:AF521"/>
    <mergeCell ref="AH527:AH531"/>
    <mergeCell ref="AI527:AI531"/>
    <mergeCell ref="AJ527:AJ531"/>
    <mergeCell ref="AK527:AK531"/>
    <mergeCell ref="N528:N530"/>
    <mergeCell ref="O528:O530"/>
    <mergeCell ref="P528:P530"/>
    <mergeCell ref="Q528:Q530"/>
    <mergeCell ref="R528:R530"/>
    <mergeCell ref="S528:S530"/>
    <mergeCell ref="T528:T530"/>
    <mergeCell ref="U528:U530"/>
    <mergeCell ref="V528:V530"/>
    <mergeCell ref="W528:W530"/>
    <mergeCell ref="X528:X530"/>
    <mergeCell ref="Y528:Y530"/>
    <mergeCell ref="G517:G521"/>
    <mergeCell ref="H522:H526"/>
    <mergeCell ref="I522:I526"/>
    <mergeCell ref="J522:J526"/>
    <mergeCell ref="K522:K526"/>
    <mergeCell ref="L522:L526"/>
    <mergeCell ref="M522:M526"/>
    <mergeCell ref="AF522:AF526"/>
    <mergeCell ref="AG522:AG526"/>
    <mergeCell ref="AH522:AH526"/>
    <mergeCell ref="AI522:AI526"/>
    <mergeCell ref="AJ522:AJ526"/>
    <mergeCell ref="AK522:AK526"/>
    <mergeCell ref="N523:N525"/>
    <mergeCell ref="O523:O525"/>
    <mergeCell ref="P523:P525"/>
    <mergeCell ref="R533:R535"/>
    <mergeCell ref="S533:S535"/>
    <mergeCell ref="T533:T535"/>
    <mergeCell ref="U533:U535"/>
    <mergeCell ref="V533:V535"/>
    <mergeCell ref="W533:W535"/>
    <mergeCell ref="X533:X535"/>
    <mergeCell ref="Y533:Y535"/>
    <mergeCell ref="G532:G536"/>
    <mergeCell ref="H527:H531"/>
    <mergeCell ref="I527:I531"/>
    <mergeCell ref="J527:J531"/>
    <mergeCell ref="K527:K531"/>
    <mergeCell ref="L527:L531"/>
    <mergeCell ref="M527:M531"/>
    <mergeCell ref="AF527:AF531"/>
    <mergeCell ref="AG527:AG531"/>
    <mergeCell ref="AI537:AI541"/>
    <mergeCell ref="AJ537:AJ541"/>
    <mergeCell ref="AK537:AK541"/>
    <mergeCell ref="N538:N540"/>
    <mergeCell ref="O538:O540"/>
    <mergeCell ref="P538:P540"/>
    <mergeCell ref="Q538:Q540"/>
    <mergeCell ref="R538:R540"/>
    <mergeCell ref="S538:S540"/>
    <mergeCell ref="T538:T540"/>
    <mergeCell ref="U538:U540"/>
    <mergeCell ref="V538:V540"/>
    <mergeCell ref="W538:W540"/>
    <mergeCell ref="X538:X540"/>
    <mergeCell ref="Y538:Y540"/>
    <mergeCell ref="G527:G531"/>
    <mergeCell ref="H532:H536"/>
    <mergeCell ref="I532:I536"/>
    <mergeCell ref="J532:J536"/>
    <mergeCell ref="K532:K536"/>
    <mergeCell ref="L532:L536"/>
    <mergeCell ref="M532:M536"/>
    <mergeCell ref="AF532:AF536"/>
    <mergeCell ref="AG532:AG536"/>
    <mergeCell ref="AH532:AH536"/>
    <mergeCell ref="AI532:AI536"/>
    <mergeCell ref="AJ532:AJ536"/>
    <mergeCell ref="AK532:AK536"/>
    <mergeCell ref="N533:N535"/>
    <mergeCell ref="O533:O535"/>
    <mergeCell ref="P533:P535"/>
    <mergeCell ref="Q533:Q535"/>
    <mergeCell ref="S543:S545"/>
    <mergeCell ref="T543:T545"/>
    <mergeCell ref="U543:U545"/>
    <mergeCell ref="V543:V545"/>
    <mergeCell ref="W543:W545"/>
    <mergeCell ref="X543:X545"/>
    <mergeCell ref="Y543:Y545"/>
    <mergeCell ref="G542:G546"/>
    <mergeCell ref="H537:H541"/>
    <mergeCell ref="I537:I541"/>
    <mergeCell ref="J537:J541"/>
    <mergeCell ref="K537:K541"/>
    <mergeCell ref="L537:L541"/>
    <mergeCell ref="M537:M541"/>
    <mergeCell ref="AF537:AF541"/>
    <mergeCell ref="AG537:AG541"/>
    <mergeCell ref="AH537:AH541"/>
    <mergeCell ref="AJ547:AJ551"/>
    <mergeCell ref="AK547:AK551"/>
    <mergeCell ref="N548:N550"/>
    <mergeCell ref="O548:O550"/>
    <mergeCell ref="P548:P550"/>
    <mergeCell ref="Q548:Q550"/>
    <mergeCell ref="R548:R550"/>
    <mergeCell ref="S548:S550"/>
    <mergeCell ref="T548:T550"/>
    <mergeCell ref="U548:U550"/>
    <mergeCell ref="V548:V550"/>
    <mergeCell ref="W548:W550"/>
    <mergeCell ref="X548:X550"/>
    <mergeCell ref="Y548:Y550"/>
    <mergeCell ref="G537:G541"/>
    <mergeCell ref="H542:H546"/>
    <mergeCell ref="I542:I546"/>
    <mergeCell ref="J542:J546"/>
    <mergeCell ref="K542:K546"/>
    <mergeCell ref="L542:L546"/>
    <mergeCell ref="M542:M546"/>
    <mergeCell ref="AF542:AF546"/>
    <mergeCell ref="AG542:AG546"/>
    <mergeCell ref="AH542:AH546"/>
    <mergeCell ref="AI542:AI546"/>
    <mergeCell ref="AJ542:AJ546"/>
    <mergeCell ref="AK542:AK546"/>
    <mergeCell ref="N543:N545"/>
    <mergeCell ref="O543:O545"/>
    <mergeCell ref="P543:P545"/>
    <mergeCell ref="Q543:Q545"/>
    <mergeCell ref="R543:R545"/>
    <mergeCell ref="T559:T563"/>
    <mergeCell ref="U559:U563"/>
    <mergeCell ref="V559:V563"/>
    <mergeCell ref="W559:W563"/>
    <mergeCell ref="X559:X563"/>
    <mergeCell ref="Y559:Y563"/>
    <mergeCell ref="G558:G564"/>
    <mergeCell ref="H547:H551"/>
    <mergeCell ref="I547:I551"/>
    <mergeCell ref="J547:J551"/>
    <mergeCell ref="K547:K551"/>
    <mergeCell ref="L547:L551"/>
    <mergeCell ref="M547:M551"/>
    <mergeCell ref="AF547:AF551"/>
    <mergeCell ref="AG547:AG551"/>
    <mergeCell ref="AH547:AH551"/>
    <mergeCell ref="AI547:AI551"/>
    <mergeCell ref="P554:P556"/>
    <mergeCell ref="Q554:Q556"/>
    <mergeCell ref="R554:R556"/>
    <mergeCell ref="G553:G557"/>
    <mergeCell ref="AK565:AK569"/>
    <mergeCell ref="N566:N568"/>
    <mergeCell ref="O566:O568"/>
    <mergeCell ref="P566:P568"/>
    <mergeCell ref="Q566:Q568"/>
    <mergeCell ref="R566:R568"/>
    <mergeCell ref="S566:S568"/>
    <mergeCell ref="T566:T568"/>
    <mergeCell ref="U566:U568"/>
    <mergeCell ref="V566:V568"/>
    <mergeCell ref="W566:W568"/>
    <mergeCell ref="X566:X568"/>
    <mergeCell ref="Y566:Y568"/>
    <mergeCell ref="G547:G551"/>
    <mergeCell ref="H558:H564"/>
    <mergeCell ref="I558:I564"/>
    <mergeCell ref="J558:J564"/>
    <mergeCell ref="K558:K564"/>
    <mergeCell ref="L558:L564"/>
    <mergeCell ref="M558:M564"/>
    <mergeCell ref="AF558:AF564"/>
    <mergeCell ref="AG558:AG564"/>
    <mergeCell ref="AH558:AH564"/>
    <mergeCell ref="AI558:AI564"/>
    <mergeCell ref="AJ558:AJ564"/>
    <mergeCell ref="AK558:AK564"/>
    <mergeCell ref="N559:N563"/>
    <mergeCell ref="O559:O563"/>
    <mergeCell ref="P559:P563"/>
    <mergeCell ref="Q559:Q563"/>
    <mergeCell ref="R559:R563"/>
    <mergeCell ref="S559:S563"/>
    <mergeCell ref="G565:G569"/>
    <mergeCell ref="H570:H576"/>
    <mergeCell ref="I570:I576"/>
    <mergeCell ref="J570:J576"/>
    <mergeCell ref="K570:K576"/>
    <mergeCell ref="L570:L576"/>
    <mergeCell ref="M570:M576"/>
    <mergeCell ref="AF570:AF576"/>
    <mergeCell ref="AG570:AG576"/>
    <mergeCell ref="AH570:AH576"/>
    <mergeCell ref="AI570:AI576"/>
    <mergeCell ref="AJ570:AJ576"/>
    <mergeCell ref="AK570:AK576"/>
    <mergeCell ref="N571:N575"/>
    <mergeCell ref="O571:O575"/>
    <mergeCell ref="P571:P575"/>
    <mergeCell ref="Q571:Q575"/>
    <mergeCell ref="R571:R575"/>
    <mergeCell ref="S571:S575"/>
    <mergeCell ref="T571:T575"/>
    <mergeCell ref="U571:U575"/>
    <mergeCell ref="V571:V575"/>
    <mergeCell ref="W571:W575"/>
    <mergeCell ref="X571:X575"/>
    <mergeCell ref="Y571:Y575"/>
    <mergeCell ref="G570:G576"/>
    <mergeCell ref="M565:M569"/>
    <mergeCell ref="AF565:AF569"/>
    <mergeCell ref="AG565:AG569"/>
    <mergeCell ref="AH565:AH569"/>
    <mergeCell ref="AI565:AI569"/>
    <mergeCell ref="AJ565:AJ569"/>
    <mergeCell ref="AF577:AF583"/>
    <mergeCell ref="AG577:AG583"/>
    <mergeCell ref="AH577:AH583"/>
    <mergeCell ref="AI577:AI583"/>
    <mergeCell ref="AJ577:AJ583"/>
    <mergeCell ref="AK577:AK583"/>
    <mergeCell ref="N578:N582"/>
    <mergeCell ref="O578:O582"/>
    <mergeCell ref="P578:P582"/>
    <mergeCell ref="Q578:Q582"/>
    <mergeCell ref="R578:R582"/>
    <mergeCell ref="S578:S582"/>
    <mergeCell ref="T578:T582"/>
    <mergeCell ref="U578:U582"/>
    <mergeCell ref="V578:V582"/>
    <mergeCell ref="W578:W582"/>
    <mergeCell ref="X578:X582"/>
    <mergeCell ref="Y578:Y582"/>
    <mergeCell ref="G577:G583"/>
    <mergeCell ref="H584:H590"/>
    <mergeCell ref="I584:I590"/>
    <mergeCell ref="J584:J590"/>
    <mergeCell ref="K584:K590"/>
    <mergeCell ref="L584:L590"/>
    <mergeCell ref="M584:M590"/>
    <mergeCell ref="AF584:AF590"/>
    <mergeCell ref="AG584:AG590"/>
    <mergeCell ref="AH584:AH590"/>
    <mergeCell ref="AI584:AI590"/>
    <mergeCell ref="AJ584:AJ590"/>
    <mergeCell ref="AK584:AK590"/>
    <mergeCell ref="N585:N589"/>
    <mergeCell ref="O585:O589"/>
    <mergeCell ref="P585:P589"/>
    <mergeCell ref="Q585:Q589"/>
    <mergeCell ref="R585:R589"/>
    <mergeCell ref="S585:S589"/>
    <mergeCell ref="T585:T589"/>
    <mergeCell ref="U585:U589"/>
    <mergeCell ref="V585:V589"/>
    <mergeCell ref="W585:W589"/>
    <mergeCell ref="X585:X589"/>
    <mergeCell ref="Y585:Y589"/>
    <mergeCell ref="G584:G590"/>
    <mergeCell ref="H577:H583"/>
    <mergeCell ref="I577:I583"/>
    <mergeCell ref="J577:J583"/>
    <mergeCell ref="K577:K583"/>
    <mergeCell ref="L577:L583"/>
    <mergeCell ref="M577:M583"/>
    <mergeCell ref="AF591:AF597"/>
    <mergeCell ref="AG591:AG597"/>
    <mergeCell ref="AH591:AH597"/>
    <mergeCell ref="AI591:AI597"/>
    <mergeCell ref="AJ591:AJ597"/>
    <mergeCell ref="AK591:AK597"/>
    <mergeCell ref="N592:N596"/>
    <mergeCell ref="O592:O596"/>
    <mergeCell ref="P592:P596"/>
    <mergeCell ref="Q592:Q596"/>
    <mergeCell ref="R592:R596"/>
    <mergeCell ref="S592:S596"/>
    <mergeCell ref="T592:T596"/>
    <mergeCell ref="U592:U596"/>
    <mergeCell ref="V592:V596"/>
    <mergeCell ref="W592:W596"/>
    <mergeCell ref="X592:X596"/>
    <mergeCell ref="Y592:Y596"/>
    <mergeCell ref="G591:G597"/>
    <mergeCell ref="H598:H603"/>
    <mergeCell ref="I598:I603"/>
    <mergeCell ref="J598:J603"/>
    <mergeCell ref="K598:K603"/>
    <mergeCell ref="L598:L603"/>
    <mergeCell ref="M598:M603"/>
    <mergeCell ref="AF598:AF603"/>
    <mergeCell ref="AG598:AG603"/>
    <mergeCell ref="AH598:AH603"/>
    <mergeCell ref="AI598:AI603"/>
    <mergeCell ref="AJ598:AJ603"/>
    <mergeCell ref="AK598:AK603"/>
    <mergeCell ref="N599:N602"/>
    <mergeCell ref="O599:O602"/>
    <mergeCell ref="P599:P602"/>
    <mergeCell ref="Q599:Q602"/>
    <mergeCell ref="R599:R602"/>
    <mergeCell ref="S599:S602"/>
    <mergeCell ref="T599:T602"/>
    <mergeCell ref="U599:U602"/>
    <mergeCell ref="V599:V602"/>
    <mergeCell ref="W599:W602"/>
    <mergeCell ref="X599:X602"/>
    <mergeCell ref="Y599:Y602"/>
    <mergeCell ref="G598:G603"/>
    <mergeCell ref="H591:H597"/>
    <mergeCell ref="I591:I597"/>
    <mergeCell ref="J591:J597"/>
    <mergeCell ref="K591:K597"/>
    <mergeCell ref="L591:L597"/>
    <mergeCell ref="M591:M597"/>
    <mergeCell ref="AF604:AF609"/>
    <mergeCell ref="AG604:AG609"/>
    <mergeCell ref="AH604:AH609"/>
    <mergeCell ref="AI604:AI609"/>
    <mergeCell ref="AJ604:AJ609"/>
    <mergeCell ref="AK604:AK609"/>
    <mergeCell ref="N605:N608"/>
    <mergeCell ref="O605:O608"/>
    <mergeCell ref="P605:P608"/>
    <mergeCell ref="Q605:Q608"/>
    <mergeCell ref="R605:R608"/>
    <mergeCell ref="S605:S608"/>
    <mergeCell ref="T605:T608"/>
    <mergeCell ref="U605:U608"/>
    <mergeCell ref="V605:V608"/>
    <mergeCell ref="W605:W608"/>
    <mergeCell ref="X605:X608"/>
    <mergeCell ref="Y605:Y608"/>
    <mergeCell ref="G604:G609"/>
    <mergeCell ref="H610:H615"/>
    <mergeCell ref="I610:I615"/>
    <mergeCell ref="J610:J615"/>
    <mergeCell ref="K610:K615"/>
    <mergeCell ref="L610:L615"/>
    <mergeCell ref="M610:M615"/>
    <mergeCell ref="AF610:AF615"/>
    <mergeCell ref="AG610:AG615"/>
    <mergeCell ref="AH610:AH615"/>
    <mergeCell ref="AI610:AI615"/>
    <mergeCell ref="AJ610:AJ615"/>
    <mergeCell ref="AK610:AK615"/>
    <mergeCell ref="N611:N614"/>
    <mergeCell ref="O611:O614"/>
    <mergeCell ref="P611:P614"/>
    <mergeCell ref="Q611:Q614"/>
    <mergeCell ref="R611:R614"/>
    <mergeCell ref="S611:S614"/>
    <mergeCell ref="T611:T614"/>
    <mergeCell ref="U611:U614"/>
    <mergeCell ref="V611:V614"/>
    <mergeCell ref="W611:W614"/>
    <mergeCell ref="X611:X614"/>
    <mergeCell ref="Y611:Y614"/>
    <mergeCell ref="G610:G615"/>
    <mergeCell ref="H604:H609"/>
    <mergeCell ref="I604:I609"/>
    <mergeCell ref="J604:J609"/>
    <mergeCell ref="K604:K609"/>
    <mergeCell ref="L604:L609"/>
    <mergeCell ref="M604:M609"/>
    <mergeCell ref="AF616:AF621"/>
    <mergeCell ref="AG616:AG621"/>
    <mergeCell ref="AH616:AH621"/>
    <mergeCell ref="AI616:AI621"/>
    <mergeCell ref="AJ616:AJ621"/>
    <mergeCell ref="AK616:AK621"/>
    <mergeCell ref="N617:N620"/>
    <mergeCell ref="O617:O620"/>
    <mergeCell ref="P617:P620"/>
    <mergeCell ref="Q617:Q620"/>
    <mergeCell ref="R617:R620"/>
    <mergeCell ref="S617:S620"/>
    <mergeCell ref="T617:T620"/>
    <mergeCell ref="U617:U620"/>
    <mergeCell ref="V617:V620"/>
    <mergeCell ref="W617:W620"/>
    <mergeCell ref="X617:X620"/>
    <mergeCell ref="Y617:Y620"/>
    <mergeCell ref="G616:G621"/>
    <mergeCell ref="H622:H627"/>
    <mergeCell ref="I622:I627"/>
    <mergeCell ref="J622:J627"/>
    <mergeCell ref="K622:K627"/>
    <mergeCell ref="L622:L627"/>
    <mergeCell ref="M622:M627"/>
    <mergeCell ref="AF622:AF627"/>
    <mergeCell ref="AG622:AG627"/>
    <mergeCell ref="AH622:AH627"/>
    <mergeCell ref="AI622:AI627"/>
    <mergeCell ref="AJ622:AJ627"/>
    <mergeCell ref="AK622:AK627"/>
    <mergeCell ref="N623:N626"/>
    <mergeCell ref="O623:O626"/>
    <mergeCell ref="P623:P626"/>
    <mergeCell ref="Q623:Q626"/>
    <mergeCell ref="R623:R626"/>
    <mergeCell ref="S623:S626"/>
    <mergeCell ref="T623:T626"/>
    <mergeCell ref="U623:U626"/>
    <mergeCell ref="V623:V626"/>
    <mergeCell ref="W623:W626"/>
    <mergeCell ref="X623:X626"/>
    <mergeCell ref="Y623:Y626"/>
    <mergeCell ref="G622:G627"/>
    <mergeCell ref="H616:H621"/>
    <mergeCell ref="I616:I621"/>
    <mergeCell ref="J616:J621"/>
    <mergeCell ref="K616:K621"/>
    <mergeCell ref="L616:L621"/>
    <mergeCell ref="M616:M621"/>
    <mergeCell ref="AF628:AF633"/>
    <mergeCell ref="AG628:AG633"/>
    <mergeCell ref="AH628:AH633"/>
    <mergeCell ref="AI628:AI633"/>
    <mergeCell ref="AJ628:AJ633"/>
    <mergeCell ref="AK628:AK633"/>
    <mergeCell ref="N629:N632"/>
    <mergeCell ref="O629:O632"/>
    <mergeCell ref="P629:P632"/>
    <mergeCell ref="Q629:Q632"/>
    <mergeCell ref="R629:R632"/>
    <mergeCell ref="S629:S632"/>
    <mergeCell ref="T629:T632"/>
    <mergeCell ref="U629:U632"/>
    <mergeCell ref="V629:V632"/>
    <mergeCell ref="W629:W632"/>
    <mergeCell ref="X629:X632"/>
    <mergeCell ref="Y629:Y632"/>
    <mergeCell ref="G628:G633"/>
    <mergeCell ref="H634:H639"/>
    <mergeCell ref="I634:I639"/>
    <mergeCell ref="J634:J639"/>
    <mergeCell ref="K634:K639"/>
    <mergeCell ref="L634:L639"/>
    <mergeCell ref="M634:M639"/>
    <mergeCell ref="AF634:AF639"/>
    <mergeCell ref="AG634:AG639"/>
    <mergeCell ref="AH634:AH639"/>
    <mergeCell ref="AI634:AI639"/>
    <mergeCell ref="AJ634:AJ639"/>
    <mergeCell ref="AK634:AK639"/>
    <mergeCell ref="N635:N638"/>
    <mergeCell ref="O635:O638"/>
    <mergeCell ref="P635:P638"/>
    <mergeCell ref="Q635:Q638"/>
    <mergeCell ref="R635:R638"/>
    <mergeCell ref="S635:S638"/>
    <mergeCell ref="T635:T638"/>
    <mergeCell ref="U635:U638"/>
    <mergeCell ref="V635:V638"/>
    <mergeCell ref="W635:W638"/>
    <mergeCell ref="X635:X638"/>
    <mergeCell ref="Y635:Y638"/>
    <mergeCell ref="G634:G639"/>
    <mergeCell ref="H628:H633"/>
    <mergeCell ref="I628:I633"/>
    <mergeCell ref="J628:J633"/>
    <mergeCell ref="K628:K633"/>
    <mergeCell ref="L628:L633"/>
    <mergeCell ref="M628:M633"/>
    <mergeCell ref="AF640:AF645"/>
    <mergeCell ref="AG640:AG645"/>
    <mergeCell ref="AH640:AH645"/>
    <mergeCell ref="AI640:AI645"/>
    <mergeCell ref="AJ640:AJ645"/>
    <mergeCell ref="AK640:AK645"/>
    <mergeCell ref="N641:N644"/>
    <mergeCell ref="O641:O644"/>
    <mergeCell ref="P641:P644"/>
    <mergeCell ref="Q641:Q644"/>
    <mergeCell ref="R641:R644"/>
    <mergeCell ref="S641:S644"/>
    <mergeCell ref="T641:T644"/>
    <mergeCell ref="U641:U644"/>
    <mergeCell ref="V641:V644"/>
    <mergeCell ref="W641:W644"/>
    <mergeCell ref="X641:X644"/>
    <mergeCell ref="Y641:Y644"/>
    <mergeCell ref="G640:G645"/>
    <mergeCell ref="H646:H651"/>
    <mergeCell ref="I646:I651"/>
    <mergeCell ref="J646:J651"/>
    <mergeCell ref="K646:K651"/>
    <mergeCell ref="L646:L651"/>
    <mergeCell ref="M646:M651"/>
    <mergeCell ref="AF646:AF651"/>
    <mergeCell ref="AG646:AG651"/>
    <mergeCell ref="AH646:AH651"/>
    <mergeCell ref="AI646:AI651"/>
    <mergeCell ref="AJ646:AJ651"/>
    <mergeCell ref="AK646:AK651"/>
    <mergeCell ref="N647:N650"/>
    <mergeCell ref="O647:O650"/>
    <mergeCell ref="P647:P650"/>
    <mergeCell ref="Q647:Q650"/>
    <mergeCell ref="R647:R650"/>
    <mergeCell ref="S647:S650"/>
    <mergeCell ref="T647:T650"/>
    <mergeCell ref="U647:U650"/>
    <mergeCell ref="V647:V650"/>
    <mergeCell ref="W647:W650"/>
    <mergeCell ref="X647:X650"/>
    <mergeCell ref="Y647:Y650"/>
    <mergeCell ref="G646:G651"/>
    <mergeCell ref="H640:H645"/>
    <mergeCell ref="I640:I645"/>
    <mergeCell ref="J640:J645"/>
    <mergeCell ref="K640:K645"/>
    <mergeCell ref="L640:L645"/>
    <mergeCell ref="M640:M645"/>
    <mergeCell ref="AF652:AF657"/>
    <mergeCell ref="AG652:AG657"/>
    <mergeCell ref="AH652:AH657"/>
    <mergeCell ref="AI652:AI657"/>
    <mergeCell ref="AJ652:AJ657"/>
    <mergeCell ref="AK652:AK657"/>
    <mergeCell ref="N653:N656"/>
    <mergeCell ref="O653:O656"/>
    <mergeCell ref="P653:P656"/>
    <mergeCell ref="Q653:Q656"/>
    <mergeCell ref="R653:R656"/>
    <mergeCell ref="S653:S656"/>
    <mergeCell ref="T653:T656"/>
    <mergeCell ref="U653:U656"/>
    <mergeCell ref="V653:V656"/>
    <mergeCell ref="W653:W656"/>
    <mergeCell ref="X653:X656"/>
    <mergeCell ref="Y653:Y656"/>
    <mergeCell ref="G652:G657"/>
    <mergeCell ref="H658:H663"/>
    <mergeCell ref="I658:I663"/>
    <mergeCell ref="J658:J663"/>
    <mergeCell ref="K658:K663"/>
    <mergeCell ref="L658:L663"/>
    <mergeCell ref="M658:M663"/>
    <mergeCell ref="AF658:AF663"/>
    <mergeCell ref="AG658:AG663"/>
    <mergeCell ref="AH658:AH663"/>
    <mergeCell ref="AI658:AI663"/>
    <mergeCell ref="AJ658:AJ663"/>
    <mergeCell ref="AK658:AK663"/>
    <mergeCell ref="N659:N662"/>
    <mergeCell ref="O659:O662"/>
    <mergeCell ref="P659:P662"/>
    <mergeCell ref="Q659:Q662"/>
    <mergeCell ref="R659:R662"/>
    <mergeCell ref="S659:S662"/>
    <mergeCell ref="T659:T662"/>
    <mergeCell ref="U659:U662"/>
    <mergeCell ref="V659:V662"/>
    <mergeCell ref="W659:W662"/>
    <mergeCell ref="X659:X662"/>
    <mergeCell ref="Y659:Y662"/>
    <mergeCell ref="G658:G663"/>
    <mergeCell ref="H652:H657"/>
    <mergeCell ref="I652:I657"/>
    <mergeCell ref="J652:J657"/>
    <mergeCell ref="K652:K657"/>
    <mergeCell ref="L652:L657"/>
    <mergeCell ref="M652:M657"/>
    <mergeCell ref="AF664:AF669"/>
    <mergeCell ref="AG664:AG669"/>
    <mergeCell ref="AH664:AH669"/>
    <mergeCell ref="AI664:AI669"/>
    <mergeCell ref="AJ664:AJ669"/>
    <mergeCell ref="AK664:AK669"/>
    <mergeCell ref="N665:N668"/>
    <mergeCell ref="O665:O668"/>
    <mergeCell ref="P665:P668"/>
    <mergeCell ref="Q665:Q668"/>
    <mergeCell ref="R665:R668"/>
    <mergeCell ref="S665:S668"/>
    <mergeCell ref="T665:T668"/>
    <mergeCell ref="U665:U668"/>
    <mergeCell ref="V665:V668"/>
    <mergeCell ref="W665:W668"/>
    <mergeCell ref="X665:X668"/>
    <mergeCell ref="Y665:Y668"/>
    <mergeCell ref="G664:G669"/>
    <mergeCell ref="H670:H675"/>
    <mergeCell ref="I670:I675"/>
    <mergeCell ref="J670:J675"/>
    <mergeCell ref="K670:K675"/>
    <mergeCell ref="L670:L675"/>
    <mergeCell ref="M670:M675"/>
    <mergeCell ref="AF670:AF675"/>
    <mergeCell ref="AG670:AG675"/>
    <mergeCell ref="AH670:AH675"/>
    <mergeCell ref="AI670:AI675"/>
    <mergeCell ref="AJ670:AJ675"/>
    <mergeCell ref="AK670:AK675"/>
    <mergeCell ref="N671:N674"/>
    <mergeCell ref="O671:O674"/>
    <mergeCell ref="P671:P674"/>
    <mergeCell ref="Q671:Q674"/>
    <mergeCell ref="R671:R674"/>
    <mergeCell ref="S671:S674"/>
    <mergeCell ref="T671:T674"/>
    <mergeCell ref="U671:U674"/>
    <mergeCell ref="V671:V674"/>
    <mergeCell ref="W671:W674"/>
    <mergeCell ref="X671:X674"/>
    <mergeCell ref="Y671:Y674"/>
    <mergeCell ref="G670:G675"/>
    <mergeCell ref="H664:H669"/>
    <mergeCell ref="I664:I669"/>
    <mergeCell ref="J664:J669"/>
    <mergeCell ref="K664:K669"/>
    <mergeCell ref="L664:L669"/>
    <mergeCell ref="M664:M669"/>
    <mergeCell ref="AF676:AF681"/>
    <mergeCell ref="AG676:AG681"/>
    <mergeCell ref="AH676:AH681"/>
    <mergeCell ref="AI676:AI681"/>
    <mergeCell ref="AJ676:AJ681"/>
    <mergeCell ref="AK676:AK681"/>
    <mergeCell ref="N677:N680"/>
    <mergeCell ref="O677:O680"/>
    <mergeCell ref="P677:P680"/>
    <mergeCell ref="Q677:Q680"/>
    <mergeCell ref="R677:R680"/>
    <mergeCell ref="S677:S680"/>
    <mergeCell ref="T677:T680"/>
    <mergeCell ref="U677:U680"/>
    <mergeCell ref="V677:V680"/>
    <mergeCell ref="W677:W680"/>
    <mergeCell ref="X677:X680"/>
    <mergeCell ref="Y677:Y680"/>
    <mergeCell ref="G676:G681"/>
    <mergeCell ref="H682:H687"/>
    <mergeCell ref="I682:I687"/>
    <mergeCell ref="J682:J687"/>
    <mergeCell ref="K682:K687"/>
    <mergeCell ref="L682:L687"/>
    <mergeCell ref="M682:M687"/>
    <mergeCell ref="AF682:AF687"/>
    <mergeCell ref="AG682:AG687"/>
    <mergeCell ref="AH682:AH687"/>
    <mergeCell ref="AI682:AI687"/>
    <mergeCell ref="AJ682:AJ687"/>
    <mergeCell ref="AK682:AK687"/>
    <mergeCell ref="N683:N686"/>
    <mergeCell ref="O683:O686"/>
    <mergeCell ref="P683:P686"/>
    <mergeCell ref="Q683:Q686"/>
    <mergeCell ref="R683:R686"/>
    <mergeCell ref="S683:S686"/>
    <mergeCell ref="T683:T686"/>
    <mergeCell ref="U683:U686"/>
    <mergeCell ref="V683:V686"/>
    <mergeCell ref="W683:W686"/>
    <mergeCell ref="X683:X686"/>
    <mergeCell ref="Y683:Y686"/>
    <mergeCell ref="G682:G687"/>
    <mergeCell ref="H676:H681"/>
    <mergeCell ref="I676:I681"/>
    <mergeCell ref="J676:J681"/>
    <mergeCell ref="K676:K681"/>
    <mergeCell ref="L676:L681"/>
    <mergeCell ref="M676:M681"/>
    <mergeCell ref="AF688:AF693"/>
    <mergeCell ref="AG688:AG693"/>
    <mergeCell ref="AH688:AH693"/>
    <mergeCell ref="AI688:AI693"/>
    <mergeCell ref="AJ688:AJ693"/>
    <mergeCell ref="AK688:AK693"/>
    <mergeCell ref="N689:N692"/>
    <mergeCell ref="O689:O692"/>
    <mergeCell ref="P689:P692"/>
    <mergeCell ref="Q689:Q692"/>
    <mergeCell ref="R689:R692"/>
    <mergeCell ref="S689:S692"/>
    <mergeCell ref="T689:T692"/>
    <mergeCell ref="U689:U692"/>
    <mergeCell ref="V689:V692"/>
    <mergeCell ref="W689:W692"/>
    <mergeCell ref="X689:X692"/>
    <mergeCell ref="Y689:Y692"/>
    <mergeCell ref="G688:G693"/>
    <mergeCell ref="H694:H699"/>
    <mergeCell ref="I694:I699"/>
    <mergeCell ref="J694:J699"/>
    <mergeCell ref="K694:K699"/>
    <mergeCell ref="L694:L699"/>
    <mergeCell ref="M694:M699"/>
    <mergeCell ref="AF694:AF699"/>
    <mergeCell ref="AG694:AG699"/>
    <mergeCell ref="AH694:AH699"/>
    <mergeCell ref="AI694:AI699"/>
    <mergeCell ref="AJ694:AJ699"/>
    <mergeCell ref="AK694:AK699"/>
    <mergeCell ref="N695:N698"/>
    <mergeCell ref="O695:O698"/>
    <mergeCell ref="P695:P698"/>
    <mergeCell ref="Q695:Q698"/>
    <mergeCell ref="R695:R698"/>
    <mergeCell ref="S695:S698"/>
    <mergeCell ref="T695:T698"/>
    <mergeCell ref="U695:U698"/>
    <mergeCell ref="V695:V698"/>
    <mergeCell ref="W695:W698"/>
    <mergeCell ref="X695:X698"/>
    <mergeCell ref="Y695:Y698"/>
    <mergeCell ref="G694:G699"/>
    <mergeCell ref="H688:H693"/>
    <mergeCell ref="I688:I693"/>
    <mergeCell ref="J688:J693"/>
    <mergeCell ref="K688:K693"/>
    <mergeCell ref="L688:L693"/>
    <mergeCell ref="M688:M693"/>
    <mergeCell ref="AG700:AG705"/>
    <mergeCell ref="AH700:AH705"/>
    <mergeCell ref="AI700:AI705"/>
    <mergeCell ref="AJ700:AJ705"/>
    <mergeCell ref="AK700:AK705"/>
    <mergeCell ref="N701:N704"/>
    <mergeCell ref="O701:O704"/>
    <mergeCell ref="P701:P704"/>
    <mergeCell ref="Q701:Q704"/>
    <mergeCell ref="R701:R704"/>
    <mergeCell ref="S701:S704"/>
    <mergeCell ref="T701:T704"/>
    <mergeCell ref="U701:U704"/>
    <mergeCell ref="V701:V704"/>
    <mergeCell ref="W701:W704"/>
    <mergeCell ref="X701:X704"/>
    <mergeCell ref="Y701:Y704"/>
    <mergeCell ref="Q707:Q710"/>
    <mergeCell ref="R707:R710"/>
    <mergeCell ref="S707:S710"/>
    <mergeCell ref="T707:T710"/>
    <mergeCell ref="U707:U710"/>
    <mergeCell ref="V707:V710"/>
    <mergeCell ref="W707:W710"/>
    <mergeCell ref="X707:X710"/>
    <mergeCell ref="Y707:Y710"/>
    <mergeCell ref="G706:G711"/>
    <mergeCell ref="H700:H705"/>
    <mergeCell ref="I700:I705"/>
    <mergeCell ref="J700:J705"/>
    <mergeCell ref="K700:K705"/>
    <mergeCell ref="L700:L705"/>
    <mergeCell ref="M700:M705"/>
    <mergeCell ref="AF700:AF705"/>
    <mergeCell ref="AH712:AH718"/>
    <mergeCell ref="AI712:AI718"/>
    <mergeCell ref="AJ712:AJ718"/>
    <mergeCell ref="AK712:AK718"/>
    <mergeCell ref="N713:N717"/>
    <mergeCell ref="O713:O717"/>
    <mergeCell ref="P713:P717"/>
    <mergeCell ref="Q713:Q717"/>
    <mergeCell ref="R713:R717"/>
    <mergeCell ref="S713:S717"/>
    <mergeCell ref="T713:T717"/>
    <mergeCell ref="U713:U717"/>
    <mergeCell ref="V713:V717"/>
    <mergeCell ref="W713:W717"/>
    <mergeCell ref="X713:X717"/>
    <mergeCell ref="Y713:Y717"/>
    <mergeCell ref="G700:G705"/>
    <mergeCell ref="H706:H711"/>
    <mergeCell ref="I706:I711"/>
    <mergeCell ref="J706:J711"/>
    <mergeCell ref="K706:K711"/>
    <mergeCell ref="L706:L711"/>
    <mergeCell ref="M706:M711"/>
    <mergeCell ref="AF706:AF711"/>
    <mergeCell ref="AG706:AG711"/>
    <mergeCell ref="AH706:AH711"/>
    <mergeCell ref="AI706:AI711"/>
    <mergeCell ref="AJ706:AJ711"/>
    <mergeCell ref="AK706:AK711"/>
    <mergeCell ref="N707:N710"/>
    <mergeCell ref="O707:O710"/>
    <mergeCell ref="P707:P710"/>
    <mergeCell ref="R720:R724"/>
    <mergeCell ref="S720:S724"/>
    <mergeCell ref="T720:T724"/>
    <mergeCell ref="U720:U724"/>
    <mergeCell ref="V720:V724"/>
    <mergeCell ref="W720:W724"/>
    <mergeCell ref="X720:X724"/>
    <mergeCell ref="Y720:Y724"/>
    <mergeCell ref="G719:G725"/>
    <mergeCell ref="H712:H718"/>
    <mergeCell ref="I712:I718"/>
    <mergeCell ref="J712:J718"/>
    <mergeCell ref="K712:K718"/>
    <mergeCell ref="L712:L718"/>
    <mergeCell ref="M712:M718"/>
    <mergeCell ref="AF712:AF718"/>
    <mergeCell ref="AG712:AG718"/>
    <mergeCell ref="AI726:AI732"/>
    <mergeCell ref="AJ726:AJ732"/>
    <mergeCell ref="AK726:AK732"/>
    <mergeCell ref="N727:N731"/>
    <mergeCell ref="O727:O731"/>
    <mergeCell ref="P727:P731"/>
    <mergeCell ref="Q727:Q731"/>
    <mergeCell ref="R727:R731"/>
    <mergeCell ref="S727:S731"/>
    <mergeCell ref="T727:T731"/>
    <mergeCell ref="U727:U731"/>
    <mergeCell ref="V727:V731"/>
    <mergeCell ref="W727:W731"/>
    <mergeCell ref="X727:X731"/>
    <mergeCell ref="Y727:Y731"/>
    <mergeCell ref="G712:G718"/>
    <mergeCell ref="H719:H725"/>
    <mergeCell ref="I719:I725"/>
    <mergeCell ref="J719:J725"/>
    <mergeCell ref="K719:K725"/>
    <mergeCell ref="L719:L725"/>
    <mergeCell ref="M719:M725"/>
    <mergeCell ref="AF719:AF725"/>
    <mergeCell ref="AG719:AG725"/>
    <mergeCell ref="AH719:AH725"/>
    <mergeCell ref="AI719:AI725"/>
    <mergeCell ref="AJ719:AJ725"/>
    <mergeCell ref="AK719:AK725"/>
    <mergeCell ref="N720:N724"/>
    <mergeCell ref="O720:O724"/>
    <mergeCell ref="P720:P724"/>
    <mergeCell ref="Q720:Q724"/>
    <mergeCell ref="S734:S738"/>
    <mergeCell ref="T734:T738"/>
    <mergeCell ref="U734:U738"/>
    <mergeCell ref="V734:V738"/>
    <mergeCell ref="W734:W738"/>
    <mergeCell ref="X734:X738"/>
    <mergeCell ref="Y734:Y738"/>
    <mergeCell ref="G733:G739"/>
    <mergeCell ref="H726:H732"/>
    <mergeCell ref="I726:I732"/>
    <mergeCell ref="J726:J732"/>
    <mergeCell ref="K726:K732"/>
    <mergeCell ref="L726:L732"/>
    <mergeCell ref="M726:M732"/>
    <mergeCell ref="AF726:AF732"/>
    <mergeCell ref="AG726:AG732"/>
    <mergeCell ref="AH726:AH732"/>
    <mergeCell ref="AJ740:AJ746"/>
    <mergeCell ref="AK740:AK746"/>
    <mergeCell ref="N741:N745"/>
    <mergeCell ref="O741:O745"/>
    <mergeCell ref="P741:P745"/>
    <mergeCell ref="Q741:Q745"/>
    <mergeCell ref="R741:R745"/>
    <mergeCell ref="S741:S745"/>
    <mergeCell ref="T741:T745"/>
    <mergeCell ref="U741:U745"/>
    <mergeCell ref="V741:V745"/>
    <mergeCell ref="W741:W745"/>
    <mergeCell ref="X741:X745"/>
    <mergeCell ref="Y741:Y745"/>
    <mergeCell ref="G726:G732"/>
    <mergeCell ref="H733:H739"/>
    <mergeCell ref="I733:I739"/>
    <mergeCell ref="J733:J739"/>
    <mergeCell ref="K733:K739"/>
    <mergeCell ref="L733:L739"/>
    <mergeCell ref="M733:M739"/>
    <mergeCell ref="AF733:AF739"/>
    <mergeCell ref="AG733:AG739"/>
    <mergeCell ref="AH733:AH739"/>
    <mergeCell ref="AI733:AI739"/>
    <mergeCell ref="AJ733:AJ739"/>
    <mergeCell ref="AK733:AK739"/>
    <mergeCell ref="N734:N738"/>
    <mergeCell ref="O734:O738"/>
    <mergeCell ref="P734:P738"/>
    <mergeCell ref="Q734:Q738"/>
    <mergeCell ref="R734:R738"/>
    <mergeCell ref="T754:T756"/>
    <mergeCell ref="U754:U756"/>
    <mergeCell ref="V754:V756"/>
    <mergeCell ref="W754:W756"/>
    <mergeCell ref="X754:X756"/>
    <mergeCell ref="Y754:Y756"/>
    <mergeCell ref="G753:G757"/>
    <mergeCell ref="H740:H746"/>
    <mergeCell ref="I740:I746"/>
    <mergeCell ref="J740:J746"/>
    <mergeCell ref="K740:K746"/>
    <mergeCell ref="L740:L746"/>
    <mergeCell ref="M740:M746"/>
    <mergeCell ref="AF740:AF746"/>
    <mergeCell ref="AG740:AG746"/>
    <mergeCell ref="AH740:AH746"/>
    <mergeCell ref="AI740:AI746"/>
    <mergeCell ref="P749:P751"/>
    <mergeCell ref="Q749:Q751"/>
    <mergeCell ref="R749:R751"/>
    <mergeCell ref="G748:G752"/>
    <mergeCell ref="AK758:AK762"/>
    <mergeCell ref="N759:N761"/>
    <mergeCell ref="O759:O761"/>
    <mergeCell ref="P759:P761"/>
    <mergeCell ref="Q759:Q761"/>
    <mergeCell ref="R759:R761"/>
    <mergeCell ref="S759:S761"/>
    <mergeCell ref="T759:T761"/>
    <mergeCell ref="U759:U761"/>
    <mergeCell ref="V759:V761"/>
    <mergeCell ref="W759:W761"/>
    <mergeCell ref="X759:X761"/>
    <mergeCell ref="Y759:Y761"/>
    <mergeCell ref="G740:G746"/>
    <mergeCell ref="H753:H757"/>
    <mergeCell ref="I753:I757"/>
    <mergeCell ref="J753:J757"/>
    <mergeCell ref="K753:K757"/>
    <mergeCell ref="L753:L757"/>
    <mergeCell ref="M753:M757"/>
    <mergeCell ref="AF753:AF757"/>
    <mergeCell ref="AG753:AG757"/>
    <mergeCell ref="AH753:AH757"/>
    <mergeCell ref="AI753:AI757"/>
    <mergeCell ref="AJ753:AJ757"/>
    <mergeCell ref="AK753:AK757"/>
    <mergeCell ref="N754:N756"/>
    <mergeCell ref="O754:O756"/>
    <mergeCell ref="P754:P756"/>
    <mergeCell ref="Q754:Q756"/>
    <mergeCell ref="R754:R756"/>
    <mergeCell ref="S754:S756"/>
    <mergeCell ref="G758:G762"/>
    <mergeCell ref="H763:H767"/>
    <mergeCell ref="I763:I767"/>
    <mergeCell ref="J763:J767"/>
    <mergeCell ref="K763:K767"/>
    <mergeCell ref="L763:L767"/>
    <mergeCell ref="M763:M767"/>
    <mergeCell ref="AF763:AF767"/>
    <mergeCell ref="AG763:AG767"/>
    <mergeCell ref="AH763:AH767"/>
    <mergeCell ref="AI763:AI767"/>
    <mergeCell ref="AJ763:AJ767"/>
    <mergeCell ref="AK763:AK767"/>
    <mergeCell ref="N764:N766"/>
    <mergeCell ref="O764:O766"/>
    <mergeCell ref="P764:P766"/>
    <mergeCell ref="Q764:Q766"/>
    <mergeCell ref="R764:R766"/>
    <mergeCell ref="S764:S766"/>
    <mergeCell ref="T764:T766"/>
    <mergeCell ref="U764:U766"/>
    <mergeCell ref="V764:V766"/>
    <mergeCell ref="W764:W766"/>
    <mergeCell ref="X764:X766"/>
    <mergeCell ref="Y764:Y766"/>
    <mergeCell ref="G763:G767"/>
    <mergeCell ref="M758:M762"/>
    <mergeCell ref="AF758:AF762"/>
    <mergeCell ref="AG758:AG762"/>
    <mergeCell ref="AH758:AH762"/>
    <mergeCell ref="AI758:AI762"/>
    <mergeCell ref="AJ758:AJ762"/>
    <mergeCell ref="AF768:AF772"/>
    <mergeCell ref="AG768:AG772"/>
    <mergeCell ref="AH768:AH772"/>
    <mergeCell ref="AI768:AI772"/>
    <mergeCell ref="AJ768:AJ772"/>
    <mergeCell ref="AK768:AK772"/>
    <mergeCell ref="N769:N771"/>
    <mergeCell ref="O769:O771"/>
    <mergeCell ref="P769:P771"/>
    <mergeCell ref="Q769:Q771"/>
    <mergeCell ref="R769:R771"/>
    <mergeCell ref="S769:S771"/>
    <mergeCell ref="T769:T771"/>
    <mergeCell ref="U769:U771"/>
    <mergeCell ref="V769:V771"/>
    <mergeCell ref="W769:W771"/>
    <mergeCell ref="X769:X771"/>
    <mergeCell ref="Y769:Y771"/>
    <mergeCell ref="G768:G772"/>
    <mergeCell ref="H773:H777"/>
    <mergeCell ref="I773:I777"/>
    <mergeCell ref="J773:J777"/>
    <mergeCell ref="K773:K777"/>
    <mergeCell ref="L773:L777"/>
    <mergeCell ref="M773:M777"/>
    <mergeCell ref="AF773:AF777"/>
    <mergeCell ref="AG773:AG777"/>
    <mergeCell ref="AH773:AH777"/>
    <mergeCell ref="AI773:AI777"/>
    <mergeCell ref="AJ773:AJ777"/>
    <mergeCell ref="AK773:AK777"/>
    <mergeCell ref="N774:N776"/>
    <mergeCell ref="O774:O776"/>
    <mergeCell ref="P774:P776"/>
    <mergeCell ref="Q774:Q776"/>
    <mergeCell ref="R774:R776"/>
    <mergeCell ref="S774:S776"/>
    <mergeCell ref="T774:T776"/>
    <mergeCell ref="U774:U776"/>
    <mergeCell ref="V774:V776"/>
    <mergeCell ref="W774:W776"/>
    <mergeCell ref="X774:X776"/>
    <mergeCell ref="Y774:Y776"/>
    <mergeCell ref="G773:G777"/>
    <mergeCell ref="H768:H772"/>
    <mergeCell ref="I768:I772"/>
    <mergeCell ref="J768:J772"/>
    <mergeCell ref="K768:K772"/>
    <mergeCell ref="L768:L772"/>
    <mergeCell ref="M768:M772"/>
    <mergeCell ref="AF778:AF782"/>
    <mergeCell ref="AG778:AG782"/>
    <mergeCell ref="AH778:AH782"/>
    <mergeCell ref="AI778:AI782"/>
    <mergeCell ref="AJ778:AJ782"/>
    <mergeCell ref="AK778:AK782"/>
    <mergeCell ref="N779:N781"/>
    <mergeCell ref="O779:O781"/>
    <mergeCell ref="P779:P781"/>
    <mergeCell ref="Q779:Q781"/>
    <mergeCell ref="R779:R781"/>
    <mergeCell ref="S779:S781"/>
    <mergeCell ref="T779:T781"/>
    <mergeCell ref="U779:U781"/>
    <mergeCell ref="V779:V781"/>
    <mergeCell ref="W779:W781"/>
    <mergeCell ref="X779:X781"/>
    <mergeCell ref="Y779:Y781"/>
    <mergeCell ref="G778:G782"/>
    <mergeCell ref="H783:H787"/>
    <mergeCell ref="I783:I787"/>
    <mergeCell ref="J783:J787"/>
    <mergeCell ref="K783:K787"/>
    <mergeCell ref="L783:L787"/>
    <mergeCell ref="M783:M787"/>
    <mergeCell ref="AF783:AF787"/>
    <mergeCell ref="AG783:AG787"/>
    <mergeCell ref="AH783:AH787"/>
    <mergeCell ref="AI783:AI787"/>
    <mergeCell ref="AJ783:AJ787"/>
    <mergeCell ref="AK783:AK787"/>
    <mergeCell ref="N784:N786"/>
    <mergeCell ref="O784:O786"/>
    <mergeCell ref="P784:P786"/>
    <mergeCell ref="Q784:Q786"/>
    <mergeCell ref="R784:R786"/>
    <mergeCell ref="S784:S786"/>
    <mergeCell ref="T784:T786"/>
    <mergeCell ref="U784:U786"/>
    <mergeCell ref="V784:V786"/>
    <mergeCell ref="W784:W786"/>
    <mergeCell ref="X784:X786"/>
    <mergeCell ref="Y784:Y786"/>
    <mergeCell ref="G783:G787"/>
    <mergeCell ref="H778:H782"/>
    <mergeCell ref="I778:I782"/>
    <mergeCell ref="J778:J782"/>
    <mergeCell ref="K778:K782"/>
    <mergeCell ref="L778:L782"/>
    <mergeCell ref="M778:M782"/>
    <mergeCell ref="AF788:AF792"/>
    <mergeCell ref="AG788:AG792"/>
    <mergeCell ref="AH788:AH792"/>
    <mergeCell ref="AI788:AI792"/>
    <mergeCell ref="AJ788:AJ792"/>
    <mergeCell ref="AK788:AK792"/>
    <mergeCell ref="N789:N791"/>
    <mergeCell ref="O789:O791"/>
    <mergeCell ref="P789:P791"/>
    <mergeCell ref="Q789:Q791"/>
    <mergeCell ref="R789:R791"/>
    <mergeCell ref="S789:S791"/>
    <mergeCell ref="T789:T791"/>
    <mergeCell ref="U789:U791"/>
    <mergeCell ref="V789:V791"/>
    <mergeCell ref="W789:W791"/>
    <mergeCell ref="X789:X791"/>
    <mergeCell ref="Y789:Y791"/>
    <mergeCell ref="G788:G792"/>
    <mergeCell ref="H793:H797"/>
    <mergeCell ref="I793:I797"/>
    <mergeCell ref="J793:J797"/>
    <mergeCell ref="K793:K797"/>
    <mergeCell ref="L793:L797"/>
    <mergeCell ref="M793:M797"/>
    <mergeCell ref="AF793:AF797"/>
    <mergeCell ref="AG793:AG797"/>
    <mergeCell ref="AH793:AH797"/>
    <mergeCell ref="AI793:AI797"/>
    <mergeCell ref="AJ793:AJ797"/>
    <mergeCell ref="AK793:AK797"/>
    <mergeCell ref="N794:N796"/>
    <mergeCell ref="O794:O796"/>
    <mergeCell ref="P794:P796"/>
    <mergeCell ref="Q794:Q796"/>
    <mergeCell ref="R794:R796"/>
    <mergeCell ref="S794:S796"/>
    <mergeCell ref="T794:T796"/>
    <mergeCell ref="U794:U796"/>
    <mergeCell ref="V794:V796"/>
    <mergeCell ref="W794:W796"/>
    <mergeCell ref="X794:X796"/>
    <mergeCell ref="Y794:Y796"/>
    <mergeCell ref="G793:G797"/>
    <mergeCell ref="H788:H792"/>
    <mergeCell ref="I788:I792"/>
    <mergeCell ref="J788:J792"/>
    <mergeCell ref="K788:K792"/>
    <mergeCell ref="L788:L792"/>
    <mergeCell ref="M788:M792"/>
    <mergeCell ref="AF798:AF802"/>
    <mergeCell ref="AG798:AG802"/>
    <mergeCell ref="AH798:AH802"/>
    <mergeCell ref="AI798:AI802"/>
    <mergeCell ref="AJ798:AJ802"/>
    <mergeCell ref="AK798:AK802"/>
    <mergeCell ref="N799:N801"/>
    <mergeCell ref="O799:O801"/>
    <mergeCell ref="P799:P801"/>
    <mergeCell ref="Q799:Q801"/>
    <mergeCell ref="R799:R801"/>
    <mergeCell ref="S799:S801"/>
    <mergeCell ref="T799:T801"/>
    <mergeCell ref="U799:U801"/>
    <mergeCell ref="V799:V801"/>
    <mergeCell ref="W799:W801"/>
    <mergeCell ref="X799:X801"/>
    <mergeCell ref="Y799:Y801"/>
    <mergeCell ref="G798:G802"/>
    <mergeCell ref="H803:H807"/>
    <mergeCell ref="I803:I807"/>
    <mergeCell ref="J803:J807"/>
    <mergeCell ref="K803:K807"/>
    <mergeCell ref="L803:L807"/>
    <mergeCell ref="M803:M807"/>
    <mergeCell ref="AF803:AF807"/>
    <mergeCell ref="AG803:AG807"/>
    <mergeCell ref="AH803:AH807"/>
    <mergeCell ref="AI803:AI807"/>
    <mergeCell ref="AJ803:AJ807"/>
    <mergeCell ref="AK803:AK807"/>
    <mergeCell ref="N804:N806"/>
    <mergeCell ref="O804:O806"/>
    <mergeCell ref="P804:P806"/>
    <mergeCell ref="Q804:Q806"/>
    <mergeCell ref="R804:R806"/>
    <mergeCell ref="S804:S806"/>
    <mergeCell ref="T804:T806"/>
    <mergeCell ref="U804:U806"/>
    <mergeCell ref="V804:V806"/>
    <mergeCell ref="W804:W806"/>
    <mergeCell ref="X804:X806"/>
    <mergeCell ref="Y804:Y806"/>
    <mergeCell ref="G803:G807"/>
    <mergeCell ref="H798:H802"/>
    <mergeCell ref="I798:I802"/>
    <mergeCell ref="J798:J802"/>
    <mergeCell ref="K798:K802"/>
    <mergeCell ref="L798:L802"/>
    <mergeCell ref="M798:M802"/>
    <mergeCell ref="AF808:AF812"/>
    <mergeCell ref="AG808:AG812"/>
    <mergeCell ref="AH808:AH812"/>
    <mergeCell ref="AI808:AI812"/>
    <mergeCell ref="AJ808:AJ812"/>
    <mergeCell ref="AK808:AK812"/>
    <mergeCell ref="N809:N811"/>
    <mergeCell ref="O809:O811"/>
    <mergeCell ref="P809:P811"/>
    <mergeCell ref="Q809:Q811"/>
    <mergeCell ref="R809:R811"/>
    <mergeCell ref="S809:S811"/>
    <mergeCell ref="T809:T811"/>
    <mergeCell ref="U809:U811"/>
    <mergeCell ref="V809:V811"/>
    <mergeCell ref="W809:W811"/>
    <mergeCell ref="X809:X811"/>
    <mergeCell ref="Y809:Y811"/>
    <mergeCell ref="G808:G812"/>
    <mergeCell ref="H813:H817"/>
    <mergeCell ref="I813:I817"/>
    <mergeCell ref="J813:J817"/>
    <mergeCell ref="K813:K817"/>
    <mergeCell ref="L813:L817"/>
    <mergeCell ref="M813:M817"/>
    <mergeCell ref="AF813:AF817"/>
    <mergeCell ref="AG813:AG817"/>
    <mergeCell ref="AH813:AH817"/>
    <mergeCell ref="AI813:AI817"/>
    <mergeCell ref="AJ813:AJ817"/>
    <mergeCell ref="AK813:AK817"/>
    <mergeCell ref="N814:N816"/>
    <mergeCell ref="O814:O816"/>
    <mergeCell ref="P814:P816"/>
    <mergeCell ref="Q814:Q816"/>
    <mergeCell ref="R814:R816"/>
    <mergeCell ref="S814:S816"/>
    <mergeCell ref="T814:T816"/>
    <mergeCell ref="U814:U816"/>
    <mergeCell ref="V814:V816"/>
    <mergeCell ref="W814:W816"/>
    <mergeCell ref="X814:X816"/>
    <mergeCell ref="Y814:Y816"/>
    <mergeCell ref="G813:G817"/>
    <mergeCell ref="H808:H812"/>
    <mergeCell ref="I808:I812"/>
    <mergeCell ref="J808:J812"/>
    <mergeCell ref="K808:K812"/>
    <mergeCell ref="L808:L812"/>
    <mergeCell ref="M808:M812"/>
    <mergeCell ref="AF818:AF822"/>
    <mergeCell ref="AG818:AG822"/>
    <mergeCell ref="AH818:AH822"/>
    <mergeCell ref="AI818:AI822"/>
    <mergeCell ref="AJ818:AJ822"/>
    <mergeCell ref="AK818:AK822"/>
    <mergeCell ref="N819:N821"/>
    <mergeCell ref="O819:O821"/>
    <mergeCell ref="P819:P821"/>
    <mergeCell ref="Q819:Q821"/>
    <mergeCell ref="R819:R821"/>
    <mergeCell ref="S819:S821"/>
    <mergeCell ref="T819:T821"/>
    <mergeCell ref="U819:U821"/>
    <mergeCell ref="V819:V821"/>
    <mergeCell ref="W819:W821"/>
    <mergeCell ref="X819:X821"/>
    <mergeCell ref="Y819:Y821"/>
    <mergeCell ref="G818:G822"/>
    <mergeCell ref="H829:H833"/>
    <mergeCell ref="I829:I833"/>
    <mergeCell ref="J829:J833"/>
    <mergeCell ref="K829:K833"/>
    <mergeCell ref="L829:L833"/>
    <mergeCell ref="M829:M833"/>
    <mergeCell ref="AF829:AF833"/>
    <mergeCell ref="AG829:AG833"/>
    <mergeCell ref="AH829:AH833"/>
    <mergeCell ref="AI829:AI833"/>
    <mergeCell ref="AJ829:AJ833"/>
    <mergeCell ref="AK829:AK833"/>
    <mergeCell ref="N830:N832"/>
    <mergeCell ref="O830:O832"/>
    <mergeCell ref="P830:P832"/>
    <mergeCell ref="Q830:Q832"/>
    <mergeCell ref="R830:R832"/>
    <mergeCell ref="S830:S832"/>
    <mergeCell ref="T830:T832"/>
    <mergeCell ref="U830:U832"/>
    <mergeCell ref="V830:V832"/>
    <mergeCell ref="W830:W832"/>
    <mergeCell ref="X830:X832"/>
    <mergeCell ref="Y830:Y832"/>
    <mergeCell ref="G829:G833"/>
    <mergeCell ref="H818:H822"/>
    <mergeCell ref="I818:I822"/>
    <mergeCell ref="J818:J822"/>
    <mergeCell ref="K818:K822"/>
    <mergeCell ref="L818:L822"/>
    <mergeCell ref="M818:M822"/>
    <mergeCell ref="S840:S842"/>
    <mergeCell ref="T840:T842"/>
    <mergeCell ref="U840:U842"/>
    <mergeCell ref="V840:V842"/>
    <mergeCell ref="W840:W842"/>
    <mergeCell ref="X840:X842"/>
    <mergeCell ref="Y840:Y842"/>
    <mergeCell ref="G839:G843"/>
    <mergeCell ref="M834:M838"/>
    <mergeCell ref="AF834:AF838"/>
    <mergeCell ref="AG834:AG838"/>
    <mergeCell ref="AH834:AH838"/>
    <mergeCell ref="AI834:AI838"/>
    <mergeCell ref="AJ834:AJ838"/>
    <mergeCell ref="AK834:AK838"/>
    <mergeCell ref="N835:N837"/>
    <mergeCell ref="O835:O837"/>
    <mergeCell ref="P835:P837"/>
    <mergeCell ref="Q835:Q837"/>
    <mergeCell ref="R835:R837"/>
    <mergeCell ref="S835:S837"/>
    <mergeCell ref="T835:T837"/>
    <mergeCell ref="U835:U837"/>
    <mergeCell ref="V835:V837"/>
    <mergeCell ref="W835:W837"/>
    <mergeCell ref="X835:X837"/>
    <mergeCell ref="Y835:Y837"/>
    <mergeCell ref="AJ844:AJ848"/>
    <mergeCell ref="AK844:AK848"/>
    <mergeCell ref="N845:N847"/>
    <mergeCell ref="O845:O847"/>
    <mergeCell ref="P845:P847"/>
    <mergeCell ref="Q845:Q847"/>
    <mergeCell ref="R845:R847"/>
    <mergeCell ref="S845:S847"/>
    <mergeCell ref="T845:T847"/>
    <mergeCell ref="U845:U847"/>
    <mergeCell ref="V845:V847"/>
    <mergeCell ref="W845:W847"/>
    <mergeCell ref="X845:X847"/>
    <mergeCell ref="Y845:Y847"/>
    <mergeCell ref="G834:G838"/>
    <mergeCell ref="H839:H843"/>
    <mergeCell ref="I839:I843"/>
    <mergeCell ref="J839:J843"/>
    <mergeCell ref="K839:K843"/>
    <mergeCell ref="L839:L843"/>
    <mergeCell ref="M839:M843"/>
    <mergeCell ref="AF839:AF843"/>
    <mergeCell ref="AG839:AG843"/>
    <mergeCell ref="AH839:AH843"/>
    <mergeCell ref="AI839:AI843"/>
    <mergeCell ref="AJ839:AJ843"/>
    <mergeCell ref="AK839:AK843"/>
    <mergeCell ref="N840:N842"/>
    <mergeCell ref="O840:O842"/>
    <mergeCell ref="P840:P842"/>
    <mergeCell ref="Q840:Q842"/>
    <mergeCell ref="R840:R842"/>
    <mergeCell ref="T850:T852"/>
    <mergeCell ref="U850:U852"/>
    <mergeCell ref="V850:V852"/>
    <mergeCell ref="W850:W852"/>
    <mergeCell ref="X850:X852"/>
    <mergeCell ref="Y850:Y852"/>
    <mergeCell ref="G849:G853"/>
    <mergeCell ref="H844:H848"/>
    <mergeCell ref="I844:I848"/>
    <mergeCell ref="J844:J848"/>
    <mergeCell ref="K844:K848"/>
    <mergeCell ref="L844:L848"/>
    <mergeCell ref="M844:M848"/>
    <mergeCell ref="AF844:AF848"/>
    <mergeCell ref="AG844:AG848"/>
    <mergeCell ref="AH844:AH848"/>
    <mergeCell ref="AI844:AI848"/>
    <mergeCell ref="AK860:AK865"/>
    <mergeCell ref="N861:N864"/>
    <mergeCell ref="O861:O864"/>
    <mergeCell ref="P861:P864"/>
    <mergeCell ref="Q861:Q864"/>
    <mergeCell ref="R861:R864"/>
    <mergeCell ref="S861:S864"/>
    <mergeCell ref="T861:T864"/>
    <mergeCell ref="U861:U864"/>
    <mergeCell ref="V861:V864"/>
    <mergeCell ref="W861:W864"/>
    <mergeCell ref="X861:X864"/>
    <mergeCell ref="Y861:Y864"/>
    <mergeCell ref="G844:G848"/>
    <mergeCell ref="H849:H853"/>
    <mergeCell ref="I849:I853"/>
    <mergeCell ref="J849:J853"/>
    <mergeCell ref="K849:K853"/>
    <mergeCell ref="L849:L853"/>
    <mergeCell ref="M849:M853"/>
    <mergeCell ref="AF849:AF853"/>
    <mergeCell ref="AG849:AG853"/>
    <mergeCell ref="AH849:AH853"/>
    <mergeCell ref="AI849:AI853"/>
    <mergeCell ref="AJ849:AJ853"/>
    <mergeCell ref="AK849:AK853"/>
    <mergeCell ref="N850:N852"/>
    <mergeCell ref="O850:O852"/>
    <mergeCell ref="P850:P852"/>
    <mergeCell ref="Q850:Q852"/>
    <mergeCell ref="R850:R852"/>
    <mergeCell ref="S850:S852"/>
    <mergeCell ref="G860:G865"/>
    <mergeCell ref="H866:H871"/>
    <mergeCell ref="I866:I871"/>
    <mergeCell ref="J866:J871"/>
    <mergeCell ref="K866:K871"/>
    <mergeCell ref="L866:L871"/>
    <mergeCell ref="M866:M871"/>
    <mergeCell ref="AF866:AF871"/>
    <mergeCell ref="AG866:AG871"/>
    <mergeCell ref="AH866:AH871"/>
    <mergeCell ref="AI866:AI871"/>
    <mergeCell ref="AJ866:AJ871"/>
    <mergeCell ref="AK866:AK871"/>
    <mergeCell ref="N867:N870"/>
    <mergeCell ref="O867:O870"/>
    <mergeCell ref="P867:P870"/>
    <mergeCell ref="Q867:Q870"/>
    <mergeCell ref="R867:R870"/>
    <mergeCell ref="S867:S870"/>
    <mergeCell ref="T867:T870"/>
    <mergeCell ref="U867:U870"/>
    <mergeCell ref="V867:V870"/>
    <mergeCell ref="W867:W870"/>
    <mergeCell ref="X867:X870"/>
    <mergeCell ref="Y867:Y870"/>
    <mergeCell ref="G866:G871"/>
    <mergeCell ref="M860:M865"/>
    <mergeCell ref="AF860:AF865"/>
    <mergeCell ref="AG860:AG865"/>
    <mergeCell ref="AH860:AH865"/>
    <mergeCell ref="AI860:AI865"/>
    <mergeCell ref="AJ860:AJ865"/>
    <mergeCell ref="AF872:AF877"/>
    <mergeCell ref="AG872:AG877"/>
    <mergeCell ref="AH872:AH877"/>
    <mergeCell ref="AI872:AI877"/>
    <mergeCell ref="AJ872:AJ877"/>
    <mergeCell ref="AK872:AK877"/>
    <mergeCell ref="N873:N876"/>
    <mergeCell ref="O873:O876"/>
    <mergeCell ref="P873:P876"/>
    <mergeCell ref="Q873:Q876"/>
    <mergeCell ref="R873:R876"/>
    <mergeCell ref="S873:S876"/>
    <mergeCell ref="T873:T876"/>
    <mergeCell ref="U873:U876"/>
    <mergeCell ref="V873:V876"/>
    <mergeCell ref="W873:W876"/>
    <mergeCell ref="X873:X876"/>
    <mergeCell ref="Y873:Y876"/>
    <mergeCell ref="G872:G877"/>
    <mergeCell ref="H878:H883"/>
    <mergeCell ref="I878:I883"/>
    <mergeCell ref="J878:J883"/>
    <mergeCell ref="K878:K883"/>
    <mergeCell ref="L878:L883"/>
    <mergeCell ref="M878:M883"/>
    <mergeCell ref="AF878:AF883"/>
    <mergeCell ref="AG878:AG883"/>
    <mergeCell ref="AH878:AH883"/>
    <mergeCell ref="AI878:AI883"/>
    <mergeCell ref="AJ878:AJ883"/>
    <mergeCell ref="AK878:AK883"/>
    <mergeCell ref="N879:N882"/>
    <mergeCell ref="O879:O882"/>
    <mergeCell ref="P879:P882"/>
    <mergeCell ref="Q879:Q882"/>
    <mergeCell ref="R879:R882"/>
    <mergeCell ref="S879:S882"/>
    <mergeCell ref="T879:T882"/>
    <mergeCell ref="U879:U882"/>
    <mergeCell ref="V879:V882"/>
    <mergeCell ref="W879:W882"/>
    <mergeCell ref="X879:X882"/>
    <mergeCell ref="Y879:Y882"/>
    <mergeCell ref="G878:G883"/>
    <mergeCell ref="H872:H877"/>
    <mergeCell ref="I872:I877"/>
    <mergeCell ref="J872:J877"/>
    <mergeCell ref="K872:K877"/>
    <mergeCell ref="L872:L877"/>
    <mergeCell ref="M872:M877"/>
    <mergeCell ref="AF884:AF889"/>
    <mergeCell ref="AG884:AG889"/>
    <mergeCell ref="AH884:AH889"/>
    <mergeCell ref="AI884:AI889"/>
    <mergeCell ref="AJ884:AJ889"/>
    <mergeCell ref="AK884:AK889"/>
    <mergeCell ref="N885:N888"/>
    <mergeCell ref="O885:O888"/>
    <mergeCell ref="P885:P888"/>
    <mergeCell ref="Q885:Q888"/>
    <mergeCell ref="R885:R888"/>
    <mergeCell ref="S885:S888"/>
    <mergeCell ref="T885:T888"/>
    <mergeCell ref="U885:U888"/>
    <mergeCell ref="V885:V888"/>
    <mergeCell ref="W885:W888"/>
    <mergeCell ref="X885:X888"/>
    <mergeCell ref="Y885:Y888"/>
    <mergeCell ref="G884:G889"/>
    <mergeCell ref="H890:H895"/>
    <mergeCell ref="I890:I895"/>
    <mergeCell ref="J890:J895"/>
    <mergeCell ref="K890:K895"/>
    <mergeCell ref="L890:L895"/>
    <mergeCell ref="M890:M895"/>
    <mergeCell ref="AF890:AF895"/>
    <mergeCell ref="AG890:AG895"/>
    <mergeCell ref="AH890:AH895"/>
    <mergeCell ref="AI890:AI895"/>
    <mergeCell ref="AJ890:AJ895"/>
    <mergeCell ref="AK890:AK895"/>
    <mergeCell ref="N891:N894"/>
    <mergeCell ref="O891:O894"/>
    <mergeCell ref="P891:P894"/>
    <mergeCell ref="Q891:Q894"/>
    <mergeCell ref="R891:R894"/>
    <mergeCell ref="S891:S894"/>
    <mergeCell ref="T891:T894"/>
    <mergeCell ref="U891:U894"/>
    <mergeCell ref="V891:V894"/>
    <mergeCell ref="W891:W894"/>
    <mergeCell ref="X891:X894"/>
    <mergeCell ref="Y891:Y894"/>
    <mergeCell ref="G890:G895"/>
    <mergeCell ref="H884:H889"/>
    <mergeCell ref="I884:I889"/>
    <mergeCell ref="J884:J889"/>
    <mergeCell ref="K884:K889"/>
    <mergeCell ref="L884:L889"/>
    <mergeCell ref="M884:M889"/>
    <mergeCell ref="AF896:AF901"/>
    <mergeCell ref="AG896:AG901"/>
    <mergeCell ref="AH896:AH901"/>
    <mergeCell ref="AI896:AI901"/>
    <mergeCell ref="AJ896:AJ901"/>
    <mergeCell ref="AK896:AK901"/>
    <mergeCell ref="N897:N900"/>
    <mergeCell ref="O897:O900"/>
    <mergeCell ref="P897:P900"/>
    <mergeCell ref="Q897:Q900"/>
    <mergeCell ref="R897:R900"/>
    <mergeCell ref="S897:S900"/>
    <mergeCell ref="T897:T900"/>
    <mergeCell ref="U897:U900"/>
    <mergeCell ref="V897:V900"/>
    <mergeCell ref="W897:W900"/>
    <mergeCell ref="X897:X900"/>
    <mergeCell ref="Y897:Y900"/>
    <mergeCell ref="G896:G901"/>
    <mergeCell ref="H908:H914"/>
    <mergeCell ref="I908:I914"/>
    <mergeCell ref="J908:J914"/>
    <mergeCell ref="K908:K914"/>
    <mergeCell ref="L908:L914"/>
    <mergeCell ref="M908:M914"/>
    <mergeCell ref="AF908:AF914"/>
    <mergeCell ref="AG908:AG914"/>
    <mergeCell ref="AH908:AH914"/>
    <mergeCell ref="AI908:AI914"/>
    <mergeCell ref="AJ908:AJ914"/>
    <mergeCell ref="AK908:AK914"/>
    <mergeCell ref="N909:N913"/>
    <mergeCell ref="O909:O913"/>
    <mergeCell ref="P909:P913"/>
    <mergeCell ref="Q909:Q913"/>
    <mergeCell ref="R909:R913"/>
    <mergeCell ref="S909:S913"/>
    <mergeCell ref="T909:T913"/>
    <mergeCell ref="U909:U913"/>
    <mergeCell ref="V909:V913"/>
    <mergeCell ref="W909:W913"/>
    <mergeCell ref="X909:X913"/>
    <mergeCell ref="Y909:Y913"/>
    <mergeCell ref="G908:G914"/>
    <mergeCell ref="H896:H901"/>
    <mergeCell ref="I896:I901"/>
    <mergeCell ref="J896:J901"/>
    <mergeCell ref="K896:K901"/>
    <mergeCell ref="L896:L901"/>
    <mergeCell ref="M896:M901"/>
    <mergeCell ref="R923:R927"/>
    <mergeCell ref="S923:S927"/>
    <mergeCell ref="T923:T927"/>
    <mergeCell ref="U923:U927"/>
    <mergeCell ref="V923:V927"/>
    <mergeCell ref="W923:W927"/>
    <mergeCell ref="X923:X927"/>
    <mergeCell ref="Y923:Y927"/>
    <mergeCell ref="G922:G928"/>
    <mergeCell ref="M915:M921"/>
    <mergeCell ref="AF915:AF921"/>
    <mergeCell ref="AG915:AG921"/>
    <mergeCell ref="AH915:AH921"/>
    <mergeCell ref="AI915:AI921"/>
    <mergeCell ref="AJ915:AJ921"/>
    <mergeCell ref="AK915:AK921"/>
    <mergeCell ref="N916:N920"/>
    <mergeCell ref="O916:O920"/>
    <mergeCell ref="P916:P920"/>
    <mergeCell ref="Q916:Q920"/>
    <mergeCell ref="R916:R920"/>
    <mergeCell ref="S916:S920"/>
    <mergeCell ref="T916:T920"/>
    <mergeCell ref="U916:U920"/>
    <mergeCell ref="V916:V920"/>
    <mergeCell ref="W916:W920"/>
    <mergeCell ref="X916:X920"/>
    <mergeCell ref="Y916:Y920"/>
    <mergeCell ref="AI929:AI935"/>
    <mergeCell ref="AJ929:AJ935"/>
    <mergeCell ref="AK929:AK935"/>
    <mergeCell ref="N930:N934"/>
    <mergeCell ref="O930:O934"/>
    <mergeCell ref="P930:P934"/>
    <mergeCell ref="Q930:Q934"/>
    <mergeCell ref="R930:R934"/>
    <mergeCell ref="S930:S934"/>
    <mergeCell ref="T930:T934"/>
    <mergeCell ref="U930:U934"/>
    <mergeCell ref="V930:V934"/>
    <mergeCell ref="W930:W934"/>
    <mergeCell ref="X930:X934"/>
    <mergeCell ref="Y930:Y934"/>
    <mergeCell ref="G915:G921"/>
    <mergeCell ref="H922:H928"/>
    <mergeCell ref="I922:I928"/>
    <mergeCell ref="J922:J928"/>
    <mergeCell ref="K922:K928"/>
    <mergeCell ref="L922:L928"/>
    <mergeCell ref="M922:M928"/>
    <mergeCell ref="AF922:AF928"/>
    <mergeCell ref="AG922:AG928"/>
    <mergeCell ref="AH922:AH928"/>
    <mergeCell ref="AI922:AI928"/>
    <mergeCell ref="AJ922:AJ928"/>
    <mergeCell ref="AK922:AK928"/>
    <mergeCell ref="N923:N927"/>
    <mergeCell ref="O923:O927"/>
    <mergeCell ref="P923:P927"/>
    <mergeCell ref="Q923:Q927"/>
    <mergeCell ref="S937:S941"/>
    <mergeCell ref="T937:T941"/>
    <mergeCell ref="U937:U941"/>
    <mergeCell ref="V937:V941"/>
    <mergeCell ref="W937:W941"/>
    <mergeCell ref="X937:X941"/>
    <mergeCell ref="Y937:Y941"/>
    <mergeCell ref="G936:G942"/>
    <mergeCell ref="H929:H935"/>
    <mergeCell ref="I929:I935"/>
    <mergeCell ref="J929:J935"/>
    <mergeCell ref="K929:K935"/>
    <mergeCell ref="L929:L935"/>
    <mergeCell ref="M929:M935"/>
    <mergeCell ref="AF929:AF935"/>
    <mergeCell ref="AG929:AG935"/>
    <mergeCell ref="AH929:AH935"/>
    <mergeCell ref="AJ943:AJ949"/>
    <mergeCell ref="AK943:AK949"/>
    <mergeCell ref="N944:N948"/>
    <mergeCell ref="O944:O948"/>
    <mergeCell ref="P944:P948"/>
    <mergeCell ref="Q944:Q948"/>
    <mergeCell ref="R944:R948"/>
    <mergeCell ref="S944:S948"/>
    <mergeCell ref="T944:T948"/>
    <mergeCell ref="U944:U948"/>
    <mergeCell ref="V944:V948"/>
    <mergeCell ref="W944:W948"/>
    <mergeCell ref="X944:X948"/>
    <mergeCell ref="Y944:Y948"/>
    <mergeCell ref="G929:G935"/>
    <mergeCell ref="H936:H942"/>
    <mergeCell ref="I936:I942"/>
    <mergeCell ref="J936:J942"/>
    <mergeCell ref="K936:K942"/>
    <mergeCell ref="L936:L942"/>
    <mergeCell ref="M936:M942"/>
    <mergeCell ref="AF936:AF942"/>
    <mergeCell ref="AG936:AG942"/>
    <mergeCell ref="AH936:AH942"/>
    <mergeCell ref="AI936:AI942"/>
    <mergeCell ref="AJ936:AJ942"/>
    <mergeCell ref="AK936:AK942"/>
    <mergeCell ref="N937:N941"/>
    <mergeCell ref="O937:O941"/>
    <mergeCell ref="P937:P941"/>
    <mergeCell ref="Q937:Q941"/>
    <mergeCell ref="R937:R941"/>
    <mergeCell ref="T951:T955"/>
    <mergeCell ref="U951:U955"/>
    <mergeCell ref="V951:V955"/>
    <mergeCell ref="W951:W955"/>
    <mergeCell ref="X951:X955"/>
    <mergeCell ref="Y951:Y955"/>
    <mergeCell ref="G950:G956"/>
    <mergeCell ref="H943:H949"/>
    <mergeCell ref="I943:I949"/>
    <mergeCell ref="J943:J949"/>
    <mergeCell ref="K943:K949"/>
    <mergeCell ref="L943:L949"/>
    <mergeCell ref="M943:M949"/>
    <mergeCell ref="AF943:AF949"/>
    <mergeCell ref="AG943:AG949"/>
    <mergeCell ref="AH943:AH949"/>
    <mergeCell ref="AI943:AI949"/>
    <mergeCell ref="AK963:AK967"/>
    <mergeCell ref="N964:N966"/>
    <mergeCell ref="O964:O966"/>
    <mergeCell ref="P964:P966"/>
    <mergeCell ref="Q964:Q966"/>
    <mergeCell ref="R964:R966"/>
    <mergeCell ref="S964:S966"/>
    <mergeCell ref="T964:T966"/>
    <mergeCell ref="U964:U966"/>
    <mergeCell ref="V964:V966"/>
    <mergeCell ref="W964:W966"/>
    <mergeCell ref="X964:X966"/>
    <mergeCell ref="Y964:Y966"/>
    <mergeCell ref="G943:G949"/>
    <mergeCell ref="H950:H956"/>
    <mergeCell ref="I950:I956"/>
    <mergeCell ref="J950:J956"/>
    <mergeCell ref="K950:K956"/>
    <mergeCell ref="L950:L956"/>
    <mergeCell ref="M950:M956"/>
    <mergeCell ref="AF950:AF956"/>
    <mergeCell ref="AG950:AG956"/>
    <mergeCell ref="AH950:AH956"/>
    <mergeCell ref="AI950:AI956"/>
    <mergeCell ref="AJ950:AJ956"/>
    <mergeCell ref="AK950:AK956"/>
    <mergeCell ref="N951:N955"/>
    <mergeCell ref="O951:O955"/>
    <mergeCell ref="P951:P955"/>
    <mergeCell ref="Q951:Q955"/>
    <mergeCell ref="R951:R955"/>
    <mergeCell ref="S951:S955"/>
    <mergeCell ref="G963:G967"/>
    <mergeCell ref="H968:H972"/>
    <mergeCell ref="I968:I972"/>
    <mergeCell ref="J968:J972"/>
    <mergeCell ref="K968:K972"/>
    <mergeCell ref="L968:L972"/>
    <mergeCell ref="M968:M972"/>
    <mergeCell ref="AF968:AF972"/>
    <mergeCell ref="AG968:AG972"/>
    <mergeCell ref="AH968:AH972"/>
    <mergeCell ref="AI968:AI972"/>
    <mergeCell ref="AJ968:AJ972"/>
    <mergeCell ref="AK968:AK972"/>
    <mergeCell ref="N969:N971"/>
    <mergeCell ref="O969:O971"/>
    <mergeCell ref="P969:P971"/>
    <mergeCell ref="Q969:Q971"/>
    <mergeCell ref="R969:R971"/>
    <mergeCell ref="S969:S971"/>
    <mergeCell ref="T969:T971"/>
    <mergeCell ref="U969:U971"/>
    <mergeCell ref="V969:V971"/>
    <mergeCell ref="W969:W971"/>
    <mergeCell ref="X969:X971"/>
    <mergeCell ref="Y969:Y971"/>
    <mergeCell ref="G968:G972"/>
    <mergeCell ref="M963:M967"/>
    <mergeCell ref="AF963:AF967"/>
    <mergeCell ref="AG963:AG967"/>
    <mergeCell ref="AH963:AH967"/>
    <mergeCell ref="AI963:AI967"/>
    <mergeCell ref="AJ963:AJ967"/>
    <mergeCell ref="AF973:AF977"/>
    <mergeCell ref="AG973:AG977"/>
    <mergeCell ref="AH973:AH977"/>
    <mergeCell ref="AI973:AI977"/>
    <mergeCell ref="AJ973:AJ977"/>
    <mergeCell ref="AK973:AK977"/>
    <mergeCell ref="N974:N976"/>
    <mergeCell ref="O974:O976"/>
    <mergeCell ref="P974:P976"/>
    <mergeCell ref="Q974:Q976"/>
    <mergeCell ref="R974:R976"/>
    <mergeCell ref="S974:S976"/>
    <mergeCell ref="T974:T976"/>
    <mergeCell ref="U974:U976"/>
    <mergeCell ref="V974:V976"/>
    <mergeCell ref="W974:W976"/>
    <mergeCell ref="X974:X976"/>
    <mergeCell ref="Y974:Y976"/>
    <mergeCell ref="G973:G977"/>
    <mergeCell ref="H984:H988"/>
    <mergeCell ref="I984:I988"/>
    <mergeCell ref="J984:J988"/>
    <mergeCell ref="K984:K988"/>
    <mergeCell ref="L984:L988"/>
    <mergeCell ref="M984:M988"/>
    <mergeCell ref="AF984:AF988"/>
    <mergeCell ref="AG984:AG988"/>
    <mergeCell ref="AH984:AH988"/>
    <mergeCell ref="AI984:AI988"/>
    <mergeCell ref="AJ984:AJ988"/>
    <mergeCell ref="AK984:AK988"/>
    <mergeCell ref="N985:N987"/>
    <mergeCell ref="O985:O987"/>
    <mergeCell ref="P985:P987"/>
    <mergeCell ref="Q985:Q987"/>
    <mergeCell ref="R985:R987"/>
    <mergeCell ref="S985:S987"/>
    <mergeCell ref="T985:T987"/>
    <mergeCell ref="U985:U987"/>
    <mergeCell ref="V985:V987"/>
    <mergeCell ref="W985:W987"/>
    <mergeCell ref="X985:X987"/>
    <mergeCell ref="Y985:Y987"/>
    <mergeCell ref="G984:G988"/>
    <mergeCell ref="H973:H977"/>
    <mergeCell ref="I973:I977"/>
    <mergeCell ref="J973:J977"/>
    <mergeCell ref="K973:K977"/>
    <mergeCell ref="L973:L977"/>
    <mergeCell ref="M973:M977"/>
    <mergeCell ref="T1001:T1003"/>
    <mergeCell ref="U1001:U1003"/>
    <mergeCell ref="V1001:V1003"/>
    <mergeCell ref="W1001:W1003"/>
    <mergeCell ref="X1001:X1003"/>
    <mergeCell ref="Y1001:Y1003"/>
    <mergeCell ref="G1000:G1004"/>
    <mergeCell ref="M989:M993"/>
    <mergeCell ref="AF989:AF993"/>
    <mergeCell ref="AG989:AG993"/>
    <mergeCell ref="AH989:AH993"/>
    <mergeCell ref="AI989:AI993"/>
    <mergeCell ref="AJ989:AJ993"/>
    <mergeCell ref="AK989:AK993"/>
    <mergeCell ref="N990:N992"/>
    <mergeCell ref="O990:O992"/>
    <mergeCell ref="P990:P992"/>
    <mergeCell ref="Q990:Q992"/>
    <mergeCell ref="R990:R992"/>
    <mergeCell ref="S990:S992"/>
    <mergeCell ref="T990:T992"/>
    <mergeCell ref="U990:U992"/>
    <mergeCell ref="V990:V992"/>
    <mergeCell ref="W990:W992"/>
    <mergeCell ref="X990:X992"/>
    <mergeCell ref="Y990:Y992"/>
    <mergeCell ref="G995:G999"/>
    <mergeCell ref="AK1005:AK1009"/>
    <mergeCell ref="N1006:N1008"/>
    <mergeCell ref="O1006:O1008"/>
    <mergeCell ref="P1006:P1008"/>
    <mergeCell ref="Q1006:Q1008"/>
    <mergeCell ref="R1006:R1008"/>
    <mergeCell ref="S1006:S1008"/>
    <mergeCell ref="T1006:T1008"/>
    <mergeCell ref="U1006:U1008"/>
    <mergeCell ref="V1006:V1008"/>
    <mergeCell ref="W1006:W1008"/>
    <mergeCell ref="X1006:X1008"/>
    <mergeCell ref="Y1006:Y1008"/>
    <mergeCell ref="G989:G993"/>
    <mergeCell ref="H1000:H1004"/>
    <mergeCell ref="I1000:I1004"/>
    <mergeCell ref="J1000:J1004"/>
    <mergeCell ref="K1000:K1004"/>
    <mergeCell ref="L1000:L1004"/>
    <mergeCell ref="M1000:M1004"/>
    <mergeCell ref="AF1000:AF1004"/>
    <mergeCell ref="AG1000:AG1004"/>
    <mergeCell ref="AH1000:AH1004"/>
    <mergeCell ref="AI1000:AI1004"/>
    <mergeCell ref="AJ1000:AJ1004"/>
    <mergeCell ref="AK1000:AK1004"/>
    <mergeCell ref="N1001:N1003"/>
    <mergeCell ref="O1001:O1003"/>
    <mergeCell ref="P1001:P1003"/>
    <mergeCell ref="Q1001:Q1003"/>
    <mergeCell ref="R1001:R1003"/>
    <mergeCell ref="S1001:S1003"/>
    <mergeCell ref="G1005:G1009"/>
    <mergeCell ref="H1010:H1014"/>
    <mergeCell ref="I1010:I1014"/>
    <mergeCell ref="J1010:J1014"/>
    <mergeCell ref="K1010:K1014"/>
    <mergeCell ref="L1010:L1014"/>
    <mergeCell ref="M1010:M1014"/>
    <mergeCell ref="AF1010:AF1014"/>
    <mergeCell ref="AG1010:AG1014"/>
    <mergeCell ref="AH1010:AH1014"/>
    <mergeCell ref="AI1010:AI1014"/>
    <mergeCell ref="AJ1010:AJ1014"/>
    <mergeCell ref="AK1010:AK1014"/>
    <mergeCell ref="N1011:N1013"/>
    <mergeCell ref="O1011:O1013"/>
    <mergeCell ref="P1011:P1013"/>
    <mergeCell ref="Q1011:Q1013"/>
    <mergeCell ref="R1011:R1013"/>
    <mergeCell ref="S1011:S1013"/>
    <mergeCell ref="T1011:T1013"/>
    <mergeCell ref="U1011:U1013"/>
    <mergeCell ref="V1011:V1013"/>
    <mergeCell ref="W1011:W1013"/>
    <mergeCell ref="X1011:X1013"/>
    <mergeCell ref="Y1011:Y1013"/>
    <mergeCell ref="G1010:G1014"/>
    <mergeCell ref="M1005:M1009"/>
    <mergeCell ref="AF1005:AF1009"/>
    <mergeCell ref="AG1005:AG1009"/>
    <mergeCell ref="AH1005:AH1009"/>
    <mergeCell ref="AI1005:AI1009"/>
    <mergeCell ref="AJ1005:AJ1009"/>
  </mergeCells>
  <dataValidations count="5068">
    <dataValidation type="whole" allowBlank="1" showErrorMessage="1" errorTitle="Ошибка" error="Допускается ввод только неотрицательных целых чисел!" sqref="AI1014">
      <formula1>0</formula1>
      <formula2>9.99999999999999E+23</formula2>
    </dataValidation>
    <dataValidation type="whole" allowBlank="1" showErrorMessage="1" errorTitle="Ошибка" error="Допускается ввод только неотрицательных целых чисел!" sqref="AF1014">
      <formula1>0</formula1>
      <formula2>9.99999999999999E+23</formula2>
    </dataValidation>
    <dataValidation type="whole" allowBlank="1" showErrorMessage="1" errorTitle="Ошибка" error="Допускается ввод только неотрицательных целых чисел!" sqref="AI1013">
      <formula1>0</formula1>
      <formula2>9.99999999999999E+23</formula2>
    </dataValidation>
    <dataValidation type="whole" allowBlank="1" showErrorMessage="1" errorTitle="Ошибка" error="Допускается ввод только неотрицательных целых чисел!" sqref="AF1013">
      <formula1>0</formula1>
      <formula2>9.99999999999999E+23</formula2>
    </dataValidation>
    <dataValidation type="textLength" operator="lessThanOrEqual" allowBlank="1" showInputMessage="1" showErrorMessage="1" errorTitle="Ошибка" error="Допускается ввод не более 900 символов!" sqref="K10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3">
      <formula1>"a"</formula1>
    </dataValidation>
    <dataValidation type="whole" allowBlank="1" showErrorMessage="1" errorTitle="Ошибка" error="Допускается ввод только неотрицательных целых чисел!" sqref="AI1012">
      <formula1>0</formula1>
      <formula2>9.99999999999999E+23</formula2>
    </dataValidation>
    <dataValidation type="whole" allowBlank="1" showErrorMessage="1" errorTitle="Ошибка" error="Допускается ввод только неотрицательных целых чисел!" sqref="AF1012">
      <formula1>0</formula1>
      <formula2>9.99999999999999E+23</formula2>
    </dataValidation>
    <dataValidation type="decimal" allowBlank="1" showErrorMessage="1" errorTitle="Ошибка" error="Допускается ввод только неотрицательных чисел!" sqref="AE1012">
      <formula1>0</formula1>
      <formula2>9.99999999999999E+23</formula2>
    </dataValidation>
    <dataValidation type="decimal" allowBlank="1" showErrorMessage="1" errorTitle="Ошибка" error="Допускается ввод только неотрицательных чисел!" sqref="AC1012">
      <formula1>0</formula1>
      <formula2>9.99999999999999E+23</formula2>
    </dataValidation>
    <dataValidation type="textLength" operator="lessThanOrEqual" allowBlank="1" showInputMessage="1" showErrorMessage="1" errorTitle="Ошибка" error="Допускается ввод не более 900 символов!" sqref="K10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2">
      <formula1>"a"</formula1>
    </dataValidation>
    <dataValidation type="whole" allowBlank="1" showErrorMessage="1" errorTitle="Ошибка" error="Допускается ввод только неотрицательных целых чисел!" sqref="AI1011">
      <formula1>0</formula1>
      <formula2>9.99999999999999E+23</formula2>
    </dataValidation>
    <dataValidation type="whole" allowBlank="1" showErrorMessage="1" errorTitle="Ошибка" error="Допускается ввод только неотрицательных целых чисел!" sqref="AF1011">
      <formula1>0</formula1>
      <formula2>9.99999999999999E+23</formula2>
    </dataValidation>
    <dataValidation type="textLength" operator="lessThanOrEqual" allowBlank="1" showInputMessage="1" showErrorMessage="1" errorTitle="Ошибка" error="Допускается ввод не более 900 символов!" sqref="K10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1">
      <formula1>"a"</formula1>
    </dataValidation>
    <dataValidation type="whole" allowBlank="1" showErrorMessage="1" errorTitle="Ошибка" error="Допускается ввод только неотрицательных целых чисел!" sqref="AI1010">
      <formula1>0</formula1>
      <formula2>9.99999999999999E+23</formula2>
    </dataValidation>
    <dataValidation type="whole" allowBlank="1" showErrorMessage="1" errorTitle="Ошибка" error="Допускается ввод только неотрицательных целых чисел!" sqref="AF1010">
      <formula1>0</formula1>
      <formula2>9.99999999999999E+23</formula2>
    </dataValidation>
    <dataValidation type="textLength" operator="lessThanOrEqual" allowBlank="1" showInputMessage="1" showErrorMessage="1" errorTitle="Ошибка" error="Допускается ввод не более 900 символов!" sqref="M1010">
      <formula1>900</formula1>
    </dataValidation>
    <dataValidation type="textLength" operator="lessThanOrEqual" allowBlank="1" showInputMessage="1" showErrorMessage="1" errorTitle="Ошибка" error="Допускается ввод не более 900 символов!" sqref="K10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0">
      <formula1>"a"</formula1>
    </dataValidation>
    <dataValidation type="whole" allowBlank="1" showErrorMessage="1" errorTitle="Ошибка" error="Допускается ввод только неотрицательных целых чисел!" sqref="AI1009">
      <formula1>0</formula1>
      <formula2>9.99999999999999E+23</formula2>
    </dataValidation>
    <dataValidation type="whole" allowBlank="1" showErrorMessage="1" errorTitle="Ошибка" error="Допускается ввод только неотрицательных целых чисел!" sqref="AF1009">
      <formula1>0</formula1>
      <formula2>9.99999999999999E+23</formula2>
    </dataValidation>
    <dataValidation type="whole" allowBlank="1" showErrorMessage="1" errorTitle="Ошибка" error="Допускается ввод только неотрицательных целых чисел!" sqref="AI1008">
      <formula1>0</formula1>
      <formula2>9.99999999999999E+23</formula2>
    </dataValidation>
    <dataValidation type="whole" allowBlank="1" showErrorMessage="1" errorTitle="Ошибка" error="Допускается ввод только неотрицательных целых чисел!" sqref="AF1008">
      <formula1>0</formula1>
      <formula2>9.99999999999999E+23</formula2>
    </dataValidation>
    <dataValidation type="textLength" operator="lessThanOrEqual" allowBlank="1" showInputMessage="1" showErrorMessage="1" errorTitle="Ошибка" error="Допускается ввод не более 900 символов!" sqref="K10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8">
      <formula1>"a"</formula1>
    </dataValidation>
    <dataValidation type="whole" allowBlank="1" showErrorMessage="1" errorTitle="Ошибка" error="Допускается ввод только неотрицательных целых чисел!" sqref="AI1007">
      <formula1>0</formula1>
      <formula2>9.99999999999999E+23</formula2>
    </dataValidation>
    <dataValidation type="whole" allowBlank="1" showErrorMessage="1" errorTitle="Ошибка" error="Допускается ввод только неотрицательных целых чисел!" sqref="AF1007">
      <formula1>0</formula1>
      <formula2>9.99999999999999E+23</formula2>
    </dataValidation>
    <dataValidation type="decimal" allowBlank="1" showErrorMessage="1" errorTitle="Ошибка" error="Допускается ввод только неотрицательных чисел!" sqref="AE1007">
      <formula1>0</formula1>
      <formula2>9.99999999999999E+23</formula2>
    </dataValidation>
    <dataValidation type="decimal" allowBlank="1" showErrorMessage="1" errorTitle="Ошибка" error="Допускается ввод только неотрицательных чисел!" sqref="AC1007">
      <formula1>0</formula1>
      <formula2>9.99999999999999E+23</formula2>
    </dataValidation>
    <dataValidation type="textLength" operator="lessThanOrEqual" allowBlank="1" showInputMessage="1" showErrorMessage="1" errorTitle="Ошибка" error="Допускается ввод не более 900 символов!" sqref="K10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7">
      <formula1>"a"</formula1>
    </dataValidation>
    <dataValidation type="whole" allowBlank="1" showErrorMessage="1" errorTitle="Ошибка" error="Допускается ввод только неотрицательных целых чисел!" sqref="AI1006">
      <formula1>0</formula1>
      <formula2>9.99999999999999E+23</formula2>
    </dataValidation>
    <dataValidation type="whole" allowBlank="1" showErrorMessage="1" errorTitle="Ошибка" error="Допускается ввод только неотрицательных целых чисел!" sqref="AF1006">
      <formula1>0</formula1>
      <formula2>9.99999999999999E+23</formula2>
    </dataValidation>
    <dataValidation type="textLength" operator="lessThanOrEqual" allowBlank="1" showInputMessage="1" showErrorMessage="1" errorTitle="Ошибка" error="Допускается ввод не более 900 символов!" sqref="K10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6">
      <formula1>"a"</formula1>
    </dataValidation>
    <dataValidation type="whole" allowBlank="1" showErrorMessage="1" errorTitle="Ошибка" error="Допускается ввод только неотрицательных целых чисел!" sqref="AI1005">
      <formula1>0</formula1>
      <formula2>9.99999999999999E+23</formula2>
    </dataValidation>
    <dataValidation type="whole" allowBlank="1" showErrorMessage="1" errorTitle="Ошибка" error="Допускается ввод только неотрицательных целых чисел!" sqref="AF1005">
      <formula1>0</formula1>
      <formula2>9.99999999999999E+23</formula2>
    </dataValidation>
    <dataValidation type="textLength" operator="lessThanOrEqual" allowBlank="1" showInputMessage="1" showErrorMessage="1" errorTitle="Ошибка" error="Допускается ввод не более 900 символов!" sqref="M1005">
      <formula1>900</formula1>
    </dataValidation>
    <dataValidation type="textLength" operator="lessThanOrEqual" allowBlank="1" showInputMessage="1" showErrorMessage="1" errorTitle="Ошибка" error="Допускается ввод не более 900 символов!" sqref="K10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5">
      <formula1>"a"</formula1>
    </dataValidation>
    <dataValidation type="whole" allowBlank="1" showErrorMessage="1" errorTitle="Ошибка" error="Допускается ввод только неотрицательных целых чисел!" sqref="AI1004">
      <formula1>0</formula1>
      <formula2>9.99999999999999E+23</formula2>
    </dataValidation>
    <dataValidation type="whole" allowBlank="1" showErrorMessage="1" errorTitle="Ошибка" error="Допускается ввод только неотрицательных целых чисел!" sqref="AF1004">
      <formula1>0</formula1>
      <formula2>9.99999999999999E+23</formula2>
    </dataValidation>
    <dataValidation type="whole" allowBlank="1" showErrorMessage="1" errorTitle="Ошибка" error="Допускается ввод только неотрицательных целых чисел!" sqref="AI1003">
      <formula1>0</formula1>
      <formula2>9.99999999999999E+23</formula2>
    </dataValidation>
    <dataValidation type="whole" allowBlank="1" showErrorMessage="1" errorTitle="Ошибка" error="Допускается ввод только неотрицательных целых чисел!" sqref="AF1003">
      <formula1>0</formula1>
      <formula2>9.99999999999999E+23</formula2>
    </dataValidation>
    <dataValidation type="textLength" operator="lessThanOrEqual" allowBlank="1" showInputMessage="1" showErrorMessage="1" errorTitle="Ошибка" error="Допускается ввод не более 900 символов!" sqref="K10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3">
      <formula1>"a"</formula1>
    </dataValidation>
    <dataValidation type="whole" allowBlank="1" showErrorMessage="1" errorTitle="Ошибка" error="Допускается ввод только неотрицательных целых чисел!" sqref="AI1002">
      <formula1>0</formula1>
      <formula2>9.99999999999999E+23</formula2>
    </dataValidation>
    <dataValidation type="whole" allowBlank="1" showErrorMessage="1" errorTitle="Ошибка" error="Допускается ввод только неотрицательных целых чисел!" sqref="AF1002">
      <formula1>0</formula1>
      <formula2>9.99999999999999E+23</formula2>
    </dataValidation>
    <dataValidation type="decimal" allowBlank="1" showErrorMessage="1" errorTitle="Ошибка" error="Допускается ввод только неотрицательных чисел!" sqref="AE1002">
      <formula1>0</formula1>
      <formula2>9.99999999999999E+23</formula2>
    </dataValidation>
    <dataValidation type="decimal" allowBlank="1" showErrorMessage="1" errorTitle="Ошибка" error="Допускается ввод только неотрицательных чисел!" sqref="AC1002">
      <formula1>0</formula1>
      <formula2>9.99999999999999E+23</formula2>
    </dataValidation>
    <dataValidation type="textLength" operator="lessThanOrEqual" allowBlank="1" showInputMessage="1" showErrorMessage="1" errorTitle="Ошибка" error="Допускается ввод не более 900 символов!" sqref="K10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2">
      <formula1>"a"</formula1>
    </dataValidation>
    <dataValidation type="whole" allowBlank="1" showErrorMessage="1" errorTitle="Ошибка" error="Допускается ввод только неотрицательных целых чисел!" sqref="AI1001">
      <formula1>0</formula1>
      <formula2>9.99999999999999E+23</formula2>
    </dataValidation>
    <dataValidation type="whole" allowBlank="1" showErrorMessage="1" errorTitle="Ошибка" error="Допускается ввод только неотрицательных целых чисел!" sqref="AF1001">
      <formula1>0</formula1>
      <formula2>9.99999999999999E+23</formula2>
    </dataValidation>
    <dataValidation type="textLength" operator="lessThanOrEqual" allowBlank="1" showInputMessage="1" showErrorMessage="1" errorTitle="Ошибка" error="Допускается ввод не более 900 символов!" sqref="K10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1">
      <formula1>"a"</formula1>
    </dataValidation>
    <dataValidation type="whole" allowBlank="1" showErrorMessage="1" errorTitle="Ошибка" error="Допускается ввод только неотрицательных целых чисел!" sqref="AI1000">
      <formula1>0</formula1>
      <formula2>9.99999999999999E+23</formula2>
    </dataValidation>
    <dataValidation type="whole" allowBlank="1" showErrorMessage="1" errorTitle="Ошибка" error="Допускается ввод только неотрицательных целых чисел!" sqref="AF1000">
      <formula1>0</formula1>
      <formula2>9.99999999999999E+23</formula2>
    </dataValidation>
    <dataValidation type="textLength" operator="lessThanOrEqual" allowBlank="1" showInputMessage="1" showErrorMessage="1" errorTitle="Ошибка" error="Допускается ввод не более 900 символов!" sqref="M1000">
      <formula1>900</formula1>
    </dataValidation>
    <dataValidation type="textLength" operator="lessThanOrEqual" allowBlank="1" showInputMessage="1" showErrorMessage="1" errorTitle="Ошибка" error="Допускается ввод не более 900 символов!" sqref="K1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0">
      <formula1>"a"</formula1>
    </dataValidation>
    <dataValidation type="whole" allowBlank="1" showErrorMessage="1" errorTitle="Ошибка" error="Допускается ввод только неотрицательных целых чисел!" sqref="AI993">
      <formula1>0</formula1>
      <formula2>9.99999999999999E+23</formula2>
    </dataValidation>
    <dataValidation type="whole" allowBlank="1" showErrorMessage="1" errorTitle="Ошибка" error="Допускается ввод только неотрицательных целых чисел!" sqref="AF993">
      <formula1>0</formula1>
      <formula2>9.99999999999999E+23</formula2>
    </dataValidation>
    <dataValidation type="whole" allowBlank="1" showErrorMessage="1" errorTitle="Ошибка" error="Допускается ввод только неотрицательных целых чисел!" sqref="AI992">
      <formula1>0</formula1>
      <formula2>9.99999999999999E+23</formula2>
    </dataValidation>
    <dataValidation type="whole" allowBlank="1" showErrorMessage="1" errorTitle="Ошибка" error="Допускается ввод только неотрицательных целых чисел!" sqref="AF992">
      <formula1>0</formula1>
      <formula2>9.99999999999999E+23</formula2>
    </dataValidation>
    <dataValidation type="textLength" operator="lessThanOrEqual" allowBlank="1" showInputMessage="1" showErrorMessage="1" errorTitle="Ошибка" error="Допускается ввод не более 900 символов!" sqref="K9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2">
      <formula1>"a"</formula1>
    </dataValidation>
    <dataValidation type="whole" allowBlank="1" showErrorMessage="1" errorTitle="Ошибка" error="Допускается ввод только неотрицательных целых чисел!" sqref="AI991">
      <formula1>0</formula1>
      <formula2>9.99999999999999E+23</formula2>
    </dataValidation>
    <dataValidation type="whole" allowBlank="1" showErrorMessage="1" errorTitle="Ошибка" error="Допускается ввод только неотрицательных целых чисел!" sqref="AF991">
      <formula1>0</formula1>
      <formula2>9.99999999999999E+23</formula2>
    </dataValidation>
    <dataValidation type="decimal" allowBlank="1" showErrorMessage="1" errorTitle="Ошибка" error="Допускается ввод только неотрицательных чисел!" sqref="AE991">
      <formula1>0</formula1>
      <formula2>9.99999999999999E+23</formula2>
    </dataValidation>
    <dataValidation type="decimal" allowBlank="1" showErrorMessage="1" errorTitle="Ошибка" error="Допускается ввод только неотрицательных чисел!" sqref="AC991">
      <formula1>0</formula1>
      <formula2>9.99999999999999E+23</formula2>
    </dataValidation>
    <dataValidation type="textLength" operator="lessThanOrEqual" allowBlank="1" showInputMessage="1" showErrorMessage="1" errorTitle="Ошибка" error="Допускается ввод не более 900 символов!" sqref="K9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1">
      <formula1>"a"</formula1>
    </dataValidation>
    <dataValidation type="whole" allowBlank="1" showErrorMessage="1" errorTitle="Ошибка" error="Допускается ввод только неотрицательных целых чисел!" sqref="AI990">
      <formula1>0</formula1>
      <formula2>9.99999999999999E+23</formula2>
    </dataValidation>
    <dataValidation type="whole" allowBlank="1" showErrorMessage="1" errorTitle="Ошибка" error="Допускается ввод только неотрицательных целых чисел!" sqref="AF990">
      <formula1>0</formula1>
      <formula2>9.99999999999999E+23</formula2>
    </dataValidation>
    <dataValidation type="textLength" operator="lessThanOrEqual" allowBlank="1" showInputMessage="1" showErrorMessage="1" errorTitle="Ошибка" error="Допускается ввод не более 900 символов!" sqref="K9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0">
      <formula1>"a"</formula1>
    </dataValidation>
    <dataValidation type="whole" allowBlank="1" showErrorMessage="1" errorTitle="Ошибка" error="Допускается ввод только неотрицательных целых чисел!" sqref="AI989">
      <formula1>0</formula1>
      <formula2>9.99999999999999E+23</formula2>
    </dataValidation>
    <dataValidation type="whole" allowBlank="1" showErrorMessage="1" errorTitle="Ошибка" error="Допускается ввод только неотрицательных целых чисел!" sqref="AF989">
      <formula1>0</formula1>
      <formula2>9.99999999999999E+23</formula2>
    </dataValidation>
    <dataValidation type="textLength" operator="lessThanOrEqual" allowBlank="1" showInputMessage="1" showErrorMessage="1" errorTitle="Ошибка" error="Допускается ввод не более 900 символов!" sqref="M989">
      <formula1>900</formula1>
    </dataValidation>
    <dataValidation type="textLength" operator="lessThanOrEqual" allowBlank="1" showInputMessage="1" showErrorMessage="1" errorTitle="Ошибка" error="Допускается ввод не более 900 символов!" sqref="K9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9">
      <formula1>"a"</formula1>
    </dataValidation>
    <dataValidation type="whole" allowBlank="1" showErrorMessage="1" errorTitle="Ошибка" error="Допускается ввод только неотрицательных целых чисел!" sqref="AI988">
      <formula1>0</formula1>
      <formula2>9.99999999999999E+23</formula2>
    </dataValidation>
    <dataValidation type="whole" allowBlank="1" showErrorMessage="1" errorTitle="Ошибка" error="Допускается ввод только неотрицательных целых чисел!" sqref="AF988">
      <formula1>0</formula1>
      <formula2>9.99999999999999E+23</formula2>
    </dataValidation>
    <dataValidation type="whole" allowBlank="1" showErrorMessage="1" errorTitle="Ошибка" error="Допускается ввод только неотрицательных целых чисел!" sqref="AI987">
      <formula1>0</formula1>
      <formula2>9.99999999999999E+23</formula2>
    </dataValidation>
    <dataValidation type="whole" allowBlank="1" showErrorMessage="1" errorTitle="Ошибка" error="Допускается ввод только неотрицательных целых чисел!" sqref="AF987">
      <formula1>0</formula1>
      <formula2>9.99999999999999E+23</formula2>
    </dataValidation>
    <dataValidation type="textLength" operator="lessThanOrEqual" allowBlank="1" showInputMessage="1" showErrorMessage="1" errorTitle="Ошибка" error="Допускается ввод не более 900 символов!" sqref="K9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7">
      <formula1>"a"</formula1>
    </dataValidation>
    <dataValidation type="whole" allowBlank="1" showErrorMessage="1" errorTitle="Ошибка" error="Допускается ввод только неотрицательных целых чисел!" sqref="AI986">
      <formula1>0</formula1>
      <formula2>9.99999999999999E+23</formula2>
    </dataValidation>
    <dataValidation type="whole" allowBlank="1" showErrorMessage="1" errorTitle="Ошибка" error="Допускается ввод только неотрицательных целых чисел!" sqref="AF986">
      <formula1>0</formula1>
      <formula2>9.99999999999999E+23</formula2>
    </dataValidation>
    <dataValidation type="decimal" allowBlank="1" showErrorMessage="1" errorTitle="Ошибка" error="Допускается ввод только неотрицательных чисел!" sqref="AE986">
      <formula1>0</formula1>
      <formula2>9.99999999999999E+23</formula2>
    </dataValidation>
    <dataValidation type="decimal" allowBlank="1" showErrorMessage="1" errorTitle="Ошибка" error="Допускается ввод только неотрицательных чисел!" sqref="AC986">
      <formula1>0</formula1>
      <formula2>9.99999999999999E+23</formula2>
    </dataValidation>
    <dataValidation type="textLength" operator="lessThanOrEqual" allowBlank="1" showInputMessage="1" showErrorMessage="1" errorTitle="Ошибка" error="Допускается ввод не более 900 символов!" sqref="K9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6">
      <formula1>"a"</formula1>
    </dataValidation>
    <dataValidation type="whole" allowBlank="1" showErrorMessage="1" errorTitle="Ошибка" error="Допускается ввод только неотрицательных целых чисел!" sqref="AI985">
      <formula1>0</formula1>
      <formula2>9.99999999999999E+23</formula2>
    </dataValidation>
    <dataValidation type="whole" allowBlank="1" showErrorMessage="1" errorTitle="Ошибка" error="Допускается ввод только неотрицательных целых чисел!" sqref="AF985">
      <formula1>0</formula1>
      <formula2>9.99999999999999E+23</formula2>
    </dataValidation>
    <dataValidation type="textLength" operator="lessThanOrEqual" allowBlank="1" showInputMessage="1" showErrorMessage="1" errorTitle="Ошибка" error="Допускается ввод не более 900 символов!" sqref="K9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5">
      <formula1>"a"</formula1>
    </dataValidation>
    <dataValidation type="whole" allowBlank="1" showErrorMessage="1" errorTitle="Ошибка" error="Допускается ввод только неотрицательных целых чисел!" sqref="AI984">
      <formula1>0</formula1>
      <formula2>9.99999999999999E+23</formula2>
    </dataValidation>
    <dataValidation type="whole" allowBlank="1" showErrorMessage="1" errorTitle="Ошибка" error="Допускается ввод только неотрицательных целых чисел!" sqref="AF984">
      <formula1>0</formula1>
      <formula2>9.99999999999999E+23</formula2>
    </dataValidation>
    <dataValidation type="textLength" operator="lessThanOrEqual" allowBlank="1" showInputMessage="1" showErrorMessage="1" errorTitle="Ошибка" error="Допускается ввод не более 900 символов!" sqref="M984">
      <formula1>900</formula1>
    </dataValidation>
    <dataValidation type="textLength" operator="lessThanOrEqual" allowBlank="1" showInputMessage="1" showErrorMessage="1" errorTitle="Ошибка" error="Допускается ввод не более 900 символов!" sqref="K9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4">
      <formula1>"a"</formula1>
    </dataValidation>
    <dataValidation type="whole" allowBlank="1" showErrorMessage="1" errorTitle="Ошибка" error="Допускается ввод только неотрицательных целых чисел!" sqref="AI977">
      <formula1>0</formula1>
      <formula2>9.99999999999999E+23</formula2>
    </dataValidation>
    <dataValidation type="whole" allowBlank="1" showErrorMessage="1" errorTitle="Ошибка" error="Допускается ввод только неотрицательных целых чисел!" sqref="AF977">
      <formula1>0</formula1>
      <formula2>9.99999999999999E+23</formula2>
    </dataValidation>
    <dataValidation type="whole" allowBlank="1" showErrorMessage="1" errorTitle="Ошибка" error="Допускается ввод только неотрицательных целых чисел!" sqref="AI976">
      <formula1>0</formula1>
      <formula2>9.99999999999999E+23</formula2>
    </dataValidation>
    <dataValidation type="whole" allowBlank="1" showErrorMessage="1" errorTitle="Ошибка" error="Допускается ввод только неотрицательных целых чисел!" sqref="AF976">
      <formula1>0</formula1>
      <formula2>9.99999999999999E+23</formula2>
    </dataValidation>
    <dataValidation type="textLength" operator="lessThanOrEqual" allowBlank="1" showInputMessage="1" showErrorMessage="1" errorTitle="Ошибка" error="Допускается ввод не более 900 символов!" sqref="K9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6">
      <formula1>"a"</formula1>
    </dataValidation>
    <dataValidation type="whole" allowBlank="1" showErrorMessage="1" errorTitle="Ошибка" error="Допускается ввод только неотрицательных целых чисел!" sqref="AI975">
      <formula1>0</formula1>
      <formula2>9.99999999999999E+23</formula2>
    </dataValidation>
    <dataValidation type="whole" allowBlank="1" showErrorMessage="1" errorTitle="Ошибка" error="Допускается ввод только неотрицательных целых чисел!" sqref="AF975">
      <formula1>0</formula1>
      <formula2>9.99999999999999E+23</formula2>
    </dataValidation>
    <dataValidation type="decimal" allowBlank="1" showErrorMessage="1" errorTitle="Ошибка" error="Допускается ввод только неотрицательных чисел!" sqref="AE975">
      <formula1>0</formula1>
      <formula2>9.99999999999999E+23</formula2>
    </dataValidation>
    <dataValidation type="decimal" allowBlank="1" showErrorMessage="1" errorTitle="Ошибка" error="Допускается ввод только неотрицательных чисел!" sqref="AC975">
      <formula1>0</formula1>
      <formula2>9.99999999999999E+23</formula2>
    </dataValidation>
    <dataValidation type="textLength" operator="lessThanOrEqual" allowBlank="1" showInputMessage="1" showErrorMessage="1" errorTitle="Ошибка" error="Допускается ввод не более 900 символов!" sqref="K9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5">
      <formula1>"a"</formula1>
    </dataValidation>
    <dataValidation type="whole" allowBlank="1" showErrorMessage="1" errorTitle="Ошибка" error="Допускается ввод только неотрицательных целых чисел!" sqref="AI974">
      <formula1>0</formula1>
      <formula2>9.99999999999999E+23</formula2>
    </dataValidation>
    <dataValidation type="whole" allowBlank="1" showErrorMessage="1" errorTitle="Ошибка" error="Допускается ввод только неотрицательных целых чисел!" sqref="AF974">
      <formula1>0</formula1>
      <formula2>9.99999999999999E+23</formula2>
    </dataValidation>
    <dataValidation type="textLength" operator="lessThanOrEqual" allowBlank="1" showInputMessage="1" showErrorMessage="1" errorTitle="Ошибка" error="Допускается ввод не более 900 символов!" sqref="K9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4">
      <formula1>"a"</formula1>
    </dataValidation>
    <dataValidation type="whole" allowBlank="1" showErrorMessage="1" errorTitle="Ошибка" error="Допускается ввод только неотрицательных целых чисел!" sqref="AI973">
      <formula1>0</formula1>
      <formula2>9.99999999999999E+23</formula2>
    </dataValidation>
    <dataValidation type="whole" allowBlank="1" showErrorMessage="1" errorTitle="Ошибка" error="Допускается ввод только неотрицательных целых чисел!" sqref="AF973">
      <formula1>0</formula1>
      <formula2>9.99999999999999E+23</formula2>
    </dataValidation>
    <dataValidation type="textLength" operator="lessThanOrEqual" allowBlank="1" showInputMessage="1" showErrorMessage="1" errorTitle="Ошибка" error="Допускается ввод не более 900 символов!" sqref="M973">
      <formula1>900</formula1>
    </dataValidation>
    <dataValidation type="textLength" operator="lessThanOrEqual" allowBlank="1" showInputMessage="1" showErrorMessage="1" errorTitle="Ошибка" error="Допускается ввод не более 900 символов!" sqref="K9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3">
      <formula1>"a"</formula1>
    </dataValidation>
    <dataValidation type="whole" allowBlank="1" showErrorMessage="1" errorTitle="Ошибка" error="Допускается ввод только неотрицательных целых чисел!" sqref="AI972">
      <formula1>0</formula1>
      <formula2>9.99999999999999E+23</formula2>
    </dataValidation>
    <dataValidation type="whole" allowBlank="1" showErrorMessage="1" errorTitle="Ошибка" error="Допускается ввод только неотрицательных целых чисел!" sqref="AF972">
      <formula1>0</formula1>
      <formula2>9.99999999999999E+23</formula2>
    </dataValidation>
    <dataValidation type="whole" allowBlank="1" showErrorMessage="1" errorTitle="Ошибка" error="Допускается ввод только неотрицательных целых чисел!" sqref="AI971">
      <formula1>0</formula1>
      <formula2>9.99999999999999E+23</formula2>
    </dataValidation>
    <dataValidation type="whole" allowBlank="1" showErrorMessage="1" errorTitle="Ошибка" error="Допускается ввод только неотрицательных целых чисел!" sqref="AF971">
      <formula1>0</formula1>
      <formula2>9.99999999999999E+23</formula2>
    </dataValidation>
    <dataValidation type="textLength" operator="lessThanOrEqual" allowBlank="1" showInputMessage="1" showErrorMessage="1" errorTitle="Ошибка" error="Допускается ввод не более 900 символов!" sqref="K9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1">
      <formula1>"a"</formula1>
    </dataValidation>
    <dataValidation type="whole" allowBlank="1" showErrorMessage="1" errorTitle="Ошибка" error="Допускается ввод только неотрицательных целых чисел!" sqref="AI970">
      <formula1>0</formula1>
      <formula2>9.99999999999999E+23</formula2>
    </dataValidation>
    <dataValidation type="whole" allowBlank="1" showErrorMessage="1" errorTitle="Ошибка" error="Допускается ввод только неотрицательных целых чисел!" sqref="AF970">
      <formula1>0</formula1>
      <formula2>9.99999999999999E+23</formula2>
    </dataValidation>
    <dataValidation type="decimal" allowBlank="1" showErrorMessage="1" errorTitle="Ошибка" error="Допускается ввод только неотрицательных чисел!" sqref="AE970">
      <formula1>0</formula1>
      <formula2>9.99999999999999E+23</formula2>
    </dataValidation>
    <dataValidation type="decimal" allowBlank="1" showErrorMessage="1" errorTitle="Ошибка" error="Допускается ввод только неотрицательных чисел!" sqref="AC970">
      <formula1>0</formula1>
      <formula2>9.99999999999999E+23</formula2>
    </dataValidation>
    <dataValidation type="textLength" operator="lessThanOrEqual" allowBlank="1" showInputMessage="1" showErrorMessage="1" errorTitle="Ошибка" error="Допускается ввод не более 900 символов!" sqref="K9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0">
      <formula1>"a"</formula1>
    </dataValidation>
    <dataValidation type="whole" allowBlank="1" showErrorMessage="1" errorTitle="Ошибка" error="Допускается ввод только неотрицательных целых чисел!" sqref="AI969">
      <formula1>0</formula1>
      <formula2>9.99999999999999E+23</formula2>
    </dataValidation>
    <dataValidation type="whole" allowBlank="1" showErrorMessage="1" errorTitle="Ошибка" error="Допускается ввод только неотрицательных целых чисел!" sqref="AF969">
      <formula1>0</formula1>
      <formula2>9.99999999999999E+23</formula2>
    </dataValidation>
    <dataValidation type="textLength" operator="lessThanOrEqual" allowBlank="1" showInputMessage="1" showErrorMessage="1" errorTitle="Ошибка" error="Допускается ввод не более 900 символов!" sqref="K9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9">
      <formula1>"a"</formula1>
    </dataValidation>
    <dataValidation type="whole" allowBlank="1" showErrorMessage="1" errorTitle="Ошибка" error="Допускается ввод только неотрицательных целых чисел!" sqref="AI968">
      <formula1>0</formula1>
      <formula2>9.99999999999999E+23</formula2>
    </dataValidation>
    <dataValidation type="whole" allowBlank="1" showErrorMessage="1" errorTitle="Ошибка" error="Допускается ввод только неотрицательных целых чисел!" sqref="AF968">
      <formula1>0</formula1>
      <formula2>9.99999999999999E+23</formula2>
    </dataValidation>
    <dataValidation type="textLength" operator="lessThanOrEqual" allowBlank="1" showInputMessage="1" showErrorMessage="1" errorTitle="Ошибка" error="Допускается ввод не более 900 символов!" sqref="M968">
      <formula1>900</formula1>
    </dataValidation>
    <dataValidation type="textLength" operator="lessThanOrEqual" allowBlank="1" showInputMessage="1" showErrorMessage="1" errorTitle="Ошибка" error="Допускается ввод не более 900 символов!" sqref="K9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8">
      <formula1>"a"</formula1>
    </dataValidation>
    <dataValidation type="whole" allowBlank="1" showErrorMessage="1" errorTitle="Ошибка" error="Допускается ввод только неотрицательных целых чисел!" sqref="AI967">
      <formula1>0</formula1>
      <formula2>9.99999999999999E+23</formula2>
    </dataValidation>
    <dataValidation type="whole" allowBlank="1" showErrorMessage="1" errorTitle="Ошибка" error="Допускается ввод только неотрицательных целых чисел!" sqref="AF967">
      <formula1>0</formula1>
      <formula2>9.99999999999999E+23</formula2>
    </dataValidation>
    <dataValidation type="whole" allowBlank="1" showErrorMessage="1" errorTitle="Ошибка" error="Допускается ввод только неотрицательных целых чисел!" sqref="AI966">
      <formula1>0</formula1>
      <formula2>9.99999999999999E+23</formula2>
    </dataValidation>
    <dataValidation type="whole" allowBlank="1" showErrorMessage="1" errorTitle="Ошибка" error="Допускается ввод только неотрицательных целых чисел!" sqref="AF966">
      <formula1>0</formula1>
      <formula2>9.99999999999999E+23</formula2>
    </dataValidation>
    <dataValidation type="textLength" operator="lessThanOrEqual" allowBlank="1" showInputMessage="1" showErrorMessage="1" errorTitle="Ошибка" error="Допускается ввод не более 900 символов!" sqref="K9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6">
      <formula1>"a"</formula1>
    </dataValidation>
    <dataValidation type="whole" allowBlank="1" showErrorMessage="1" errorTitle="Ошибка" error="Допускается ввод только неотрицательных целых чисел!" sqref="AI965">
      <formula1>0</formula1>
      <formula2>9.99999999999999E+23</formula2>
    </dataValidation>
    <dataValidation type="whole" allowBlank="1" showErrorMessage="1" errorTitle="Ошибка" error="Допускается ввод только неотрицательных целых чисел!" sqref="AF965">
      <formula1>0</formula1>
      <formula2>9.99999999999999E+23</formula2>
    </dataValidation>
    <dataValidation type="decimal" allowBlank="1" showErrorMessage="1" errorTitle="Ошибка" error="Допускается ввод только неотрицательных чисел!" sqref="AE965">
      <formula1>0</formula1>
      <formula2>9.99999999999999E+23</formula2>
    </dataValidation>
    <dataValidation type="decimal" allowBlank="1" showErrorMessage="1" errorTitle="Ошибка" error="Допускается ввод только неотрицательных чисел!" sqref="AC965">
      <formula1>0</formula1>
      <formula2>9.99999999999999E+23</formula2>
    </dataValidation>
    <dataValidation type="textLength" operator="lessThanOrEqual" allowBlank="1" showInputMessage="1" showErrorMessage="1" errorTitle="Ошибка" error="Допускается ввод не более 900 символов!" sqref="K9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5">
      <formula1>"a"</formula1>
    </dataValidation>
    <dataValidation type="whole" allowBlank="1" showErrorMessage="1" errorTitle="Ошибка" error="Допускается ввод только неотрицательных целых чисел!" sqref="AI964">
      <formula1>0</formula1>
      <formula2>9.99999999999999E+23</formula2>
    </dataValidation>
    <dataValidation type="whole" allowBlank="1" showErrorMessage="1" errorTitle="Ошибка" error="Допускается ввод только неотрицательных целых чисел!" sqref="AF964">
      <formula1>0</formula1>
      <formula2>9.99999999999999E+23</formula2>
    </dataValidation>
    <dataValidation type="textLength" operator="lessThanOrEqual" allowBlank="1" showInputMessage="1" showErrorMessage="1" errorTitle="Ошибка" error="Допускается ввод не более 900 символов!" sqref="K9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4">
      <formula1>"a"</formula1>
    </dataValidation>
    <dataValidation type="whole" allowBlank="1" showErrorMessage="1" errorTitle="Ошибка" error="Допускается ввод только неотрицательных целых чисел!" sqref="AI963">
      <formula1>0</formula1>
      <formula2>9.99999999999999E+23</formula2>
    </dataValidation>
    <dataValidation type="whole" allowBlank="1" showErrorMessage="1" errorTitle="Ошибка" error="Допускается ввод только неотрицательных целых чисел!" sqref="AF963">
      <formula1>0</formula1>
      <formula2>9.99999999999999E+23</formula2>
    </dataValidation>
    <dataValidation type="textLength" operator="lessThanOrEqual" allowBlank="1" showInputMessage="1" showErrorMessage="1" errorTitle="Ошибка" error="Допускается ввод не более 900 символов!" sqref="M963">
      <formula1>900</formula1>
    </dataValidation>
    <dataValidation type="textLength" operator="lessThanOrEqual" allowBlank="1" showInputMessage="1" showErrorMessage="1" errorTitle="Ошибка" error="Допускается ввод не более 900 символов!" sqref="K9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3">
      <formula1>"a"</formula1>
    </dataValidation>
    <dataValidation type="whole" allowBlank="1" showErrorMessage="1" errorTitle="Ошибка" error="Допускается ввод только неотрицательных целых чисел!" sqref="AI954">
      <formula1>0</formula1>
      <formula2>9.99999999999999E+23</formula2>
    </dataValidation>
    <dataValidation type="whole" allowBlank="1" showErrorMessage="1" errorTitle="Ошибка" error="Допускается ввод только неотрицательных целых чисел!" sqref="AF954">
      <formula1>0</formula1>
      <formula2>9.99999999999999E+23</formula2>
    </dataValidation>
    <dataValidation type="decimal" allowBlank="1" showErrorMessage="1" errorTitle="Ошибка" error="Допускается ввод только неотрицательных чисел!" sqref="AE954">
      <formula1>0</formula1>
      <formula2>9.99999999999999E+23</formula2>
    </dataValidation>
    <dataValidation type="decimal" allowBlank="1" showErrorMessage="1" errorTitle="Ошибка" error="Допускается ввод только неотрицательных чисел!" sqref="AC954">
      <formula1>0</formula1>
      <formula2>9.99999999999999E+23</formula2>
    </dataValidation>
    <dataValidation type="textLength" operator="lessThanOrEqual" allowBlank="1" showInputMessage="1" showErrorMessage="1" errorTitle="Ошибка" error="Допускается ввод не более 900 символов!" sqref="K9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4">
      <formula1>"a"</formula1>
    </dataValidation>
    <dataValidation type="whole" allowBlank="1" showErrorMessage="1" errorTitle="Ошибка" error="Допускается ввод только неотрицательных целых чисел!" sqref="AI953">
      <formula1>0</formula1>
      <formula2>9.99999999999999E+23</formula2>
    </dataValidation>
    <dataValidation type="whole" allowBlank="1" showErrorMessage="1" errorTitle="Ошибка" error="Допускается ввод только неотрицательных целых чисел!" sqref="AF953">
      <formula1>0</formula1>
      <formula2>9.99999999999999E+23</formula2>
    </dataValidation>
    <dataValidation type="decimal" allowBlank="1" showErrorMessage="1" errorTitle="Ошибка" error="Допускается ввод только неотрицательных чисел!" sqref="AE953">
      <formula1>0</formula1>
      <formula2>9.99999999999999E+23</formula2>
    </dataValidation>
    <dataValidation type="decimal" allowBlank="1" showErrorMessage="1" errorTitle="Ошибка" error="Допускается ввод только неотрицательных чисел!" sqref="AC953">
      <formula1>0</formula1>
      <formula2>9.99999999999999E+23</formula2>
    </dataValidation>
    <dataValidation type="textLength" operator="lessThanOrEqual" allowBlank="1" showInputMessage="1" showErrorMessage="1" errorTitle="Ошибка" error="Допускается ввод не более 900 символов!" sqref="K9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3">
      <formula1>"a"</formula1>
    </dataValidation>
    <dataValidation type="whole" allowBlank="1" showErrorMessage="1" errorTitle="Ошибка" error="Допускается ввод только неотрицательных целых чисел!" sqref="AI947">
      <formula1>0</formula1>
      <formula2>9.99999999999999E+23</formula2>
    </dataValidation>
    <dataValidation type="whole" allowBlank="1" showErrorMessage="1" errorTitle="Ошибка" error="Допускается ввод только неотрицательных целых чисел!" sqref="AF947">
      <formula1>0</formula1>
      <formula2>9.99999999999999E+23</formula2>
    </dataValidation>
    <dataValidation type="decimal" allowBlank="1" showErrorMessage="1" errorTitle="Ошибка" error="Допускается ввод только неотрицательных чисел!" sqref="AE947">
      <formula1>0</formula1>
      <formula2>9.99999999999999E+23</formula2>
    </dataValidation>
    <dataValidation type="decimal" allowBlank="1" showErrorMessage="1" errorTitle="Ошибка" error="Допускается ввод только неотрицательных чисел!" sqref="AC947">
      <formula1>0</formula1>
      <formula2>9.99999999999999E+23</formula2>
    </dataValidation>
    <dataValidation type="textLength" operator="lessThanOrEqual" allowBlank="1" showInputMessage="1" showErrorMessage="1" errorTitle="Ошибка" error="Допускается ввод не более 900 символов!" sqref="K9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7">
      <formula1>"a"</formula1>
    </dataValidation>
    <dataValidation type="whole" allowBlank="1" showErrorMessage="1" errorTitle="Ошибка" error="Допускается ввод только неотрицательных целых чисел!" sqref="AI946">
      <formula1>0</formula1>
      <formula2>9.99999999999999E+23</formula2>
    </dataValidation>
    <dataValidation type="whole" allowBlank="1" showErrorMessage="1" errorTitle="Ошибка" error="Допускается ввод только неотрицательных целых чисел!" sqref="AF946">
      <formula1>0</formula1>
      <formula2>9.99999999999999E+23</formula2>
    </dataValidation>
    <dataValidation type="decimal" allowBlank="1" showErrorMessage="1" errorTitle="Ошибка" error="Допускается ввод только неотрицательных чисел!" sqref="AE946">
      <formula1>0</formula1>
      <formula2>9.99999999999999E+23</formula2>
    </dataValidation>
    <dataValidation type="decimal" allowBlank="1" showErrorMessage="1" errorTitle="Ошибка" error="Допускается ввод только неотрицательных чисел!" sqref="AC946">
      <formula1>0</formula1>
      <formula2>9.99999999999999E+23</formula2>
    </dataValidation>
    <dataValidation type="textLength" operator="lessThanOrEqual" allowBlank="1" showInputMessage="1" showErrorMessage="1" errorTitle="Ошибка" error="Допускается ввод не более 900 символов!" sqref="K9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6">
      <formula1>"a"</formula1>
    </dataValidation>
    <dataValidation type="whole" allowBlank="1" showErrorMessage="1" errorTitle="Ошибка" error="Допускается ввод только неотрицательных целых чисел!" sqref="AI940">
      <formula1>0</formula1>
      <formula2>9.99999999999999E+23</formula2>
    </dataValidation>
    <dataValidation type="whole" allowBlank="1" showErrorMessage="1" errorTitle="Ошибка" error="Допускается ввод только неотрицательных целых чисел!" sqref="AF940">
      <formula1>0</formula1>
      <formula2>9.99999999999999E+23</formula2>
    </dataValidation>
    <dataValidation type="decimal" allowBlank="1" showErrorMessage="1" errorTitle="Ошибка" error="Допускается ввод только неотрицательных чисел!" sqref="AE940">
      <formula1>0</formula1>
      <formula2>9.99999999999999E+23</formula2>
    </dataValidation>
    <dataValidation type="decimal" allowBlank="1" showErrorMessage="1" errorTitle="Ошибка" error="Допускается ввод только неотрицательных чисел!" sqref="AC940">
      <formula1>0</formula1>
      <formula2>9.99999999999999E+23</formula2>
    </dataValidation>
    <dataValidation type="textLength" operator="lessThanOrEqual" allowBlank="1" showInputMessage="1" showErrorMessage="1" errorTitle="Ошибка" error="Допускается ввод не более 900 символов!" sqref="K9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0">
      <formula1>"a"</formula1>
    </dataValidation>
    <dataValidation type="whole" allowBlank="1" showErrorMessage="1" errorTitle="Ошибка" error="Допускается ввод только неотрицательных целых чисел!" sqref="AI939">
      <formula1>0</formula1>
      <formula2>9.99999999999999E+23</formula2>
    </dataValidation>
    <dataValidation type="whole" allowBlank="1" showErrorMessage="1" errorTitle="Ошибка" error="Допускается ввод только неотрицательных целых чисел!" sqref="AF939">
      <formula1>0</formula1>
      <formula2>9.99999999999999E+23</formula2>
    </dataValidation>
    <dataValidation type="decimal" allowBlank="1" showErrorMessage="1" errorTitle="Ошибка" error="Допускается ввод только неотрицательных чисел!" sqref="AE939">
      <formula1>0</formula1>
      <formula2>9.99999999999999E+23</formula2>
    </dataValidation>
    <dataValidation type="decimal" allowBlank="1" showErrorMessage="1" errorTitle="Ошибка" error="Допускается ввод только неотрицательных чисел!" sqref="AC939">
      <formula1>0</formula1>
      <formula2>9.99999999999999E+23</formula2>
    </dataValidation>
    <dataValidation type="textLength" operator="lessThanOrEqual" allowBlank="1" showInputMessage="1" showErrorMessage="1" errorTitle="Ошибка" error="Допускается ввод не более 900 символов!" sqref="K9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9">
      <formula1>"a"</formula1>
    </dataValidation>
    <dataValidation type="whole" allowBlank="1" showErrorMessage="1" errorTitle="Ошибка" error="Допускается ввод только неотрицательных целых чисел!" sqref="AI933">
      <formula1>0</formula1>
      <formula2>9.99999999999999E+23</formula2>
    </dataValidation>
    <dataValidation type="whole" allowBlank="1" showErrorMessage="1" errorTitle="Ошибка" error="Допускается ввод только неотрицательных целых чисел!" sqref="AF933">
      <formula1>0</formula1>
      <formula2>9.99999999999999E+23</formula2>
    </dataValidation>
    <dataValidation type="decimal" allowBlank="1" showErrorMessage="1" errorTitle="Ошибка" error="Допускается ввод только неотрицательных чисел!" sqref="AE933">
      <formula1>0</formula1>
      <formula2>9.99999999999999E+23</formula2>
    </dataValidation>
    <dataValidation type="decimal" allowBlank="1" showErrorMessage="1" errorTitle="Ошибка" error="Допускается ввод только неотрицательных чисел!" sqref="AC933">
      <formula1>0</formula1>
      <formula2>9.99999999999999E+23</formula2>
    </dataValidation>
    <dataValidation type="textLength" operator="lessThanOrEqual" allowBlank="1" showInputMessage="1" showErrorMessage="1" errorTitle="Ошибка" error="Допускается ввод не более 900 символов!" sqref="K9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3">
      <formula1>"a"</formula1>
    </dataValidation>
    <dataValidation type="whole" allowBlank="1" showErrorMessage="1" errorTitle="Ошибка" error="Допускается ввод только неотрицательных целых чисел!" sqref="AI932">
      <formula1>0</formula1>
      <formula2>9.99999999999999E+23</formula2>
    </dataValidation>
    <dataValidation type="whole" allowBlank="1" showErrorMessage="1" errorTitle="Ошибка" error="Допускается ввод только неотрицательных целых чисел!" sqref="AF932">
      <formula1>0</formula1>
      <formula2>9.99999999999999E+23</formula2>
    </dataValidation>
    <dataValidation type="decimal" allowBlank="1" showErrorMessage="1" errorTitle="Ошибка" error="Допускается ввод только неотрицательных чисел!" sqref="AE932">
      <formula1>0</formula1>
      <formula2>9.99999999999999E+23</formula2>
    </dataValidation>
    <dataValidation type="decimal" allowBlank="1" showErrorMessage="1" errorTitle="Ошибка" error="Допускается ввод только неотрицательных чисел!" sqref="AC932">
      <formula1>0</formula1>
      <formula2>9.99999999999999E+23</formula2>
    </dataValidation>
    <dataValidation type="textLength" operator="lessThanOrEqual" allowBlank="1" showInputMessage="1" showErrorMessage="1" errorTitle="Ошибка" error="Допускается ввод не более 900 символов!" sqref="K9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2">
      <formula1>"a"</formula1>
    </dataValidation>
    <dataValidation type="whole" allowBlank="1" showErrorMessage="1" errorTitle="Ошибка" error="Допускается ввод только неотрицательных целых чисел!" sqref="AI926">
      <formula1>0</formula1>
      <formula2>9.99999999999999E+23</formula2>
    </dataValidation>
    <dataValidation type="whole" allowBlank="1" showErrorMessage="1" errorTitle="Ошибка" error="Допускается ввод только неотрицательных целых чисел!" sqref="AF926">
      <formula1>0</formula1>
      <formula2>9.99999999999999E+23</formula2>
    </dataValidation>
    <dataValidation type="decimal" allowBlank="1" showErrorMessage="1" errorTitle="Ошибка" error="Допускается ввод только неотрицательных чисел!" sqref="AE926">
      <formula1>0</formula1>
      <formula2>9.99999999999999E+23</formula2>
    </dataValidation>
    <dataValidation type="decimal" allowBlank="1" showErrorMessage="1" errorTitle="Ошибка" error="Допускается ввод только неотрицательных чисел!" sqref="AC926">
      <formula1>0</formula1>
      <formula2>9.99999999999999E+23</formula2>
    </dataValidation>
    <dataValidation type="textLength" operator="lessThanOrEqual" allowBlank="1" showInputMessage="1" showErrorMessage="1" errorTitle="Ошибка" error="Допускается ввод не более 900 символов!" sqref="K9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6">
      <formula1>"a"</formula1>
    </dataValidation>
    <dataValidation type="whole" allowBlank="1" showErrorMessage="1" errorTitle="Ошибка" error="Допускается ввод только неотрицательных целых чисел!" sqref="AI925">
      <formula1>0</formula1>
      <formula2>9.99999999999999E+23</formula2>
    </dataValidation>
    <dataValidation type="whole" allowBlank="1" showErrorMessage="1" errorTitle="Ошибка" error="Допускается ввод только неотрицательных целых чисел!" sqref="AF925">
      <formula1>0</formula1>
      <formula2>9.99999999999999E+23</formula2>
    </dataValidation>
    <dataValidation type="decimal" allowBlank="1" showErrorMessage="1" errorTitle="Ошибка" error="Допускается ввод только неотрицательных чисел!" sqref="AE925">
      <formula1>0</formula1>
      <formula2>9.99999999999999E+23</formula2>
    </dataValidation>
    <dataValidation type="decimal" allowBlank="1" showErrorMessage="1" errorTitle="Ошибка" error="Допускается ввод только неотрицательных чисел!" sqref="AC925">
      <formula1>0</formula1>
      <formula2>9.99999999999999E+23</formula2>
    </dataValidation>
    <dataValidation type="textLength" operator="lessThanOrEqual" allowBlank="1" showInputMessage="1" showErrorMessage="1" errorTitle="Ошибка" error="Допускается ввод не более 900 символов!" sqref="K9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5">
      <formula1>"a"</formula1>
    </dataValidation>
    <dataValidation type="whole" allowBlank="1" showErrorMessage="1" errorTitle="Ошибка" error="Допускается ввод только неотрицательных целых чисел!" sqref="AI919">
      <formula1>0</formula1>
      <formula2>9.99999999999999E+23</formula2>
    </dataValidation>
    <dataValidation type="whole" allowBlank="1" showErrorMessage="1" errorTitle="Ошибка" error="Допускается ввод только неотрицательных целых чисел!" sqref="AF919">
      <formula1>0</formula1>
      <formula2>9.99999999999999E+23</formula2>
    </dataValidation>
    <dataValidation type="decimal" allowBlank="1" showErrorMessage="1" errorTitle="Ошибка" error="Допускается ввод только неотрицательных чисел!" sqref="AE919">
      <formula1>0</formula1>
      <formula2>9.99999999999999E+23</formula2>
    </dataValidation>
    <dataValidation type="decimal" allowBlank="1" showErrorMessage="1" errorTitle="Ошибка" error="Допускается ввод только неотрицательных чисел!" sqref="AC919">
      <formula1>0</formula1>
      <formula2>9.99999999999999E+23</formula2>
    </dataValidation>
    <dataValidation type="textLength" operator="lessThanOrEqual" allowBlank="1" showInputMessage="1" showErrorMessage="1" errorTitle="Ошибка" error="Допускается ввод не более 900 символов!" sqref="K9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9">
      <formula1>"a"</formula1>
    </dataValidation>
    <dataValidation type="whole" allowBlank="1" showErrorMessage="1" errorTitle="Ошибка" error="Допускается ввод только неотрицательных целых чисел!" sqref="AI918">
      <formula1>0</formula1>
      <formula2>9.99999999999999E+23</formula2>
    </dataValidation>
    <dataValidation type="whole" allowBlank="1" showErrorMessage="1" errorTitle="Ошибка" error="Допускается ввод только неотрицательных целых чисел!" sqref="AF918">
      <formula1>0</formula1>
      <formula2>9.99999999999999E+23</formula2>
    </dataValidation>
    <dataValidation type="decimal" allowBlank="1" showErrorMessage="1" errorTitle="Ошибка" error="Допускается ввод только неотрицательных чисел!" sqref="AE918">
      <formula1>0</formula1>
      <formula2>9.99999999999999E+23</formula2>
    </dataValidation>
    <dataValidation type="decimal" allowBlank="1" showErrorMessage="1" errorTitle="Ошибка" error="Допускается ввод только неотрицательных чисел!" sqref="AC918">
      <formula1>0</formula1>
      <formula2>9.99999999999999E+23</formula2>
    </dataValidation>
    <dataValidation type="textLength" operator="lessThanOrEqual" allowBlank="1" showInputMessage="1" showErrorMessage="1" errorTitle="Ошибка" error="Допускается ввод не более 900 символов!" sqref="K9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8">
      <formula1>"a"</formula1>
    </dataValidation>
    <dataValidation type="whole" allowBlank="1" showErrorMessage="1" errorTitle="Ошибка" error="Допускается ввод только неотрицательных целых чисел!" sqref="AI912">
      <formula1>0</formula1>
      <formula2>9.99999999999999E+23</formula2>
    </dataValidation>
    <dataValidation type="whole" allowBlank="1" showErrorMessage="1" errorTitle="Ошибка" error="Допускается ввод только неотрицательных целых чисел!" sqref="AF912">
      <formula1>0</formula1>
      <formula2>9.99999999999999E+23</formula2>
    </dataValidation>
    <dataValidation type="decimal" allowBlank="1" showErrorMessage="1" errorTitle="Ошибка" error="Допускается ввод только неотрицательных чисел!" sqref="AE912">
      <formula1>0</formula1>
      <formula2>9.99999999999999E+23</formula2>
    </dataValidation>
    <dataValidation type="decimal" allowBlank="1" showErrorMessage="1" errorTitle="Ошибка" error="Допускается ввод только неотрицательных чисел!" sqref="AC912">
      <formula1>0</formula1>
      <formula2>9.99999999999999E+23</formula2>
    </dataValidation>
    <dataValidation type="textLength" operator="lessThanOrEqual" allowBlank="1" showInputMessage="1" showErrorMessage="1" errorTitle="Ошибка" error="Допускается ввод не более 900 символов!" sqref="K9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2">
      <formula1>"a"</formula1>
    </dataValidation>
    <dataValidation type="whole" allowBlank="1" showErrorMessage="1" errorTitle="Ошибка" error="Допускается ввод только неотрицательных целых чисел!" sqref="AI911">
      <formula1>0</formula1>
      <formula2>9.99999999999999E+23</formula2>
    </dataValidation>
    <dataValidation type="whole" allowBlank="1" showErrorMessage="1" errorTitle="Ошибка" error="Допускается ввод только неотрицательных целых чисел!" sqref="AF911">
      <formula1>0</formula1>
      <formula2>9.99999999999999E+23</formula2>
    </dataValidation>
    <dataValidation type="decimal" allowBlank="1" showErrorMessage="1" errorTitle="Ошибка" error="Допускается ввод только неотрицательных чисел!" sqref="AE911">
      <formula1>0</formula1>
      <formula2>9.99999999999999E+23</formula2>
    </dataValidation>
    <dataValidation type="decimal" allowBlank="1" showErrorMessage="1" errorTitle="Ошибка" error="Допускается ввод только неотрицательных чисел!" sqref="AC911">
      <formula1>0</formula1>
      <formula2>9.99999999999999E+23</formula2>
    </dataValidation>
    <dataValidation type="textLength" operator="lessThanOrEqual" allowBlank="1" showInputMessage="1" showErrorMessage="1" errorTitle="Ошибка" error="Допускается ввод не более 900 символов!" sqref="K9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1">
      <formula1>"a"</formula1>
    </dataValidation>
    <dataValidation type="whole" allowBlank="1" showErrorMessage="1" errorTitle="Ошибка" error="Допускается ввод только неотрицательных целых чисел!" sqref="AI956">
      <formula1>0</formula1>
      <formula2>9.99999999999999E+23</formula2>
    </dataValidation>
    <dataValidation type="whole" allowBlank="1" showErrorMessage="1" errorTitle="Ошибка" error="Допускается ввод только неотрицательных целых чисел!" sqref="AF956">
      <formula1>0</formula1>
      <formula2>9.99999999999999E+23</formula2>
    </dataValidation>
    <dataValidation type="whole" allowBlank="1" showErrorMessage="1" errorTitle="Ошибка" error="Допускается ввод только неотрицательных целых чисел!" sqref="AI955">
      <formula1>0</formula1>
      <formula2>9.99999999999999E+23</formula2>
    </dataValidation>
    <dataValidation type="whole" allowBlank="1" showErrorMessage="1" errorTitle="Ошибка" error="Допускается ввод только неотрицательных целых чисел!" sqref="AF955">
      <formula1>0</formula1>
      <formula2>9.99999999999999E+23</formula2>
    </dataValidation>
    <dataValidation type="textLength" operator="lessThanOrEqual" allowBlank="1" showInputMessage="1" showErrorMessage="1" errorTitle="Ошибка" error="Допускается ввод не более 900 символов!" sqref="K9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5">
      <formula1>"a"</formula1>
    </dataValidation>
    <dataValidation type="whole" allowBlank="1" showErrorMessage="1" errorTitle="Ошибка" error="Допускается ввод только неотрицательных целых чисел!" sqref="AI952">
      <formula1>0</formula1>
      <formula2>9.99999999999999E+23</formula2>
    </dataValidation>
    <dataValidation type="whole" allowBlank="1" showErrorMessage="1" errorTitle="Ошибка" error="Допускается ввод только неотрицательных целых чисел!" sqref="AF952">
      <formula1>0</formula1>
      <formula2>9.99999999999999E+23</formula2>
    </dataValidation>
    <dataValidation type="decimal" allowBlank="1" showErrorMessage="1" errorTitle="Ошибка" error="Допускается ввод только неотрицательных чисел!" sqref="AE952">
      <formula1>0</formula1>
      <formula2>9.99999999999999E+23</formula2>
    </dataValidation>
    <dataValidation type="decimal" allowBlank="1" showErrorMessage="1" errorTitle="Ошибка" error="Допускается ввод только неотрицательных чисел!" sqref="AC952">
      <formula1>0</formula1>
      <formula2>9.99999999999999E+23</formula2>
    </dataValidation>
    <dataValidation type="textLength" operator="lessThanOrEqual" allowBlank="1" showInputMessage="1" showErrorMessage="1" errorTitle="Ошибка" error="Допускается ввод не более 900 символов!" sqref="K9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2">
      <formula1>"a"</formula1>
    </dataValidation>
    <dataValidation type="whole" allowBlank="1" showErrorMessage="1" errorTitle="Ошибка" error="Допускается ввод только неотрицательных целых чисел!" sqref="AI951">
      <formula1>0</formula1>
      <formula2>9.99999999999999E+23</formula2>
    </dataValidation>
    <dataValidation type="whole" allowBlank="1" showErrorMessage="1" errorTitle="Ошибка" error="Допускается ввод только неотрицательных целых чисел!" sqref="AF951">
      <formula1>0</formula1>
      <formula2>9.99999999999999E+23</formula2>
    </dataValidation>
    <dataValidation type="textLength" operator="lessThanOrEqual" allowBlank="1" showInputMessage="1" showErrorMessage="1" errorTitle="Ошибка" error="Допускается ввод не более 900 символов!" sqref="K9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1">
      <formula1>"a"</formula1>
    </dataValidation>
    <dataValidation type="whole" allowBlank="1" showErrorMessage="1" errorTitle="Ошибка" error="Допускается ввод только неотрицательных целых чисел!" sqref="AI950">
      <formula1>0</formula1>
      <formula2>9.99999999999999E+23</formula2>
    </dataValidation>
    <dataValidation type="whole" allowBlank="1" showErrorMessage="1" errorTitle="Ошибка" error="Допускается ввод только неотрицательных целых чисел!" sqref="AF950">
      <formula1>0</formula1>
      <formula2>9.99999999999999E+23</formula2>
    </dataValidation>
    <dataValidation type="textLength" operator="lessThanOrEqual" allowBlank="1" showInputMessage="1" showErrorMessage="1" errorTitle="Ошибка" error="Допускается ввод не более 900 символов!" sqref="M950">
      <formula1>900</formula1>
    </dataValidation>
    <dataValidation type="textLength" operator="lessThanOrEqual" allowBlank="1" showInputMessage="1" showErrorMessage="1" errorTitle="Ошибка" error="Допускается ввод не более 900 символов!" sqref="K9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0">
      <formula1>"a"</formula1>
    </dataValidation>
    <dataValidation type="whole" allowBlank="1" showErrorMessage="1" errorTitle="Ошибка" error="Допускается ввод только неотрицательных целых чисел!" sqref="AI949">
      <formula1>0</formula1>
      <formula2>9.99999999999999E+23</formula2>
    </dataValidation>
    <dataValidation type="whole" allowBlank="1" showErrorMessage="1" errorTitle="Ошибка" error="Допускается ввод только неотрицательных целых чисел!" sqref="AF949">
      <formula1>0</formula1>
      <formula2>9.99999999999999E+23</formula2>
    </dataValidation>
    <dataValidation type="whole" allowBlank="1" showErrorMessage="1" errorTitle="Ошибка" error="Допускается ввод только неотрицательных целых чисел!" sqref="AI948">
      <formula1>0</formula1>
      <formula2>9.99999999999999E+23</formula2>
    </dataValidation>
    <dataValidation type="whole" allowBlank="1" showErrorMessage="1" errorTitle="Ошибка" error="Допускается ввод только неотрицательных целых чисел!" sqref="AF948">
      <formula1>0</formula1>
      <formula2>9.99999999999999E+23</formula2>
    </dataValidation>
    <dataValidation type="textLength" operator="lessThanOrEqual" allowBlank="1" showInputMessage="1" showErrorMessage="1" errorTitle="Ошибка" error="Допускается ввод не более 900 символов!" sqref="K9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8">
      <formula1>"a"</formula1>
    </dataValidation>
    <dataValidation type="whole" allowBlank="1" showErrorMessage="1" errorTitle="Ошибка" error="Допускается ввод только неотрицательных целых чисел!" sqref="AI945">
      <formula1>0</formula1>
      <formula2>9.99999999999999E+23</formula2>
    </dataValidation>
    <dataValidation type="whole" allowBlank="1" showErrorMessage="1" errorTitle="Ошибка" error="Допускается ввод только неотрицательных целых чисел!" sqref="AF945">
      <formula1>0</formula1>
      <formula2>9.99999999999999E+23</formula2>
    </dataValidation>
    <dataValidation type="decimal" allowBlank="1" showErrorMessage="1" errorTitle="Ошибка" error="Допускается ввод только неотрицательных чисел!" sqref="AE945">
      <formula1>0</formula1>
      <formula2>9.99999999999999E+23</formula2>
    </dataValidation>
    <dataValidation type="decimal" allowBlank="1" showErrorMessage="1" errorTitle="Ошибка" error="Допускается ввод только неотрицательных чисел!" sqref="AC945">
      <formula1>0</formula1>
      <formula2>9.99999999999999E+23</formula2>
    </dataValidation>
    <dataValidation type="textLength" operator="lessThanOrEqual" allowBlank="1" showInputMessage="1" showErrorMessage="1" errorTitle="Ошибка" error="Допускается ввод не более 900 символов!" sqref="K9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5">
      <formula1>"a"</formula1>
    </dataValidation>
    <dataValidation type="whole" allowBlank="1" showErrorMessage="1" errorTitle="Ошибка" error="Допускается ввод только неотрицательных целых чисел!" sqref="AI944">
      <formula1>0</formula1>
      <formula2>9.99999999999999E+23</formula2>
    </dataValidation>
    <dataValidation type="whole" allowBlank="1" showErrorMessage="1" errorTitle="Ошибка" error="Допускается ввод только неотрицательных целых чисел!" sqref="AF944">
      <formula1>0</formula1>
      <formula2>9.99999999999999E+23</formula2>
    </dataValidation>
    <dataValidation type="textLength" operator="lessThanOrEqual" allowBlank="1" showInputMessage="1" showErrorMessage="1" errorTitle="Ошибка" error="Допускается ввод не более 900 символов!" sqref="K9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4">
      <formula1>"a"</formula1>
    </dataValidation>
    <dataValidation type="whole" allowBlank="1" showErrorMessage="1" errorTitle="Ошибка" error="Допускается ввод только неотрицательных целых чисел!" sqref="AI943">
      <formula1>0</formula1>
      <formula2>9.99999999999999E+23</formula2>
    </dataValidation>
    <dataValidation type="whole" allowBlank="1" showErrorMessage="1" errorTitle="Ошибка" error="Допускается ввод только неотрицательных целых чисел!" sqref="AF943">
      <formula1>0</formula1>
      <formula2>9.99999999999999E+23</formula2>
    </dataValidation>
    <dataValidation type="textLength" operator="lessThanOrEqual" allowBlank="1" showInputMessage="1" showErrorMessage="1" errorTitle="Ошибка" error="Допускается ввод не более 900 символов!" sqref="M943">
      <formula1>900</formula1>
    </dataValidation>
    <dataValidation type="textLength" operator="lessThanOrEqual" allowBlank="1" showInputMessage="1" showErrorMessage="1" errorTitle="Ошибка" error="Допускается ввод не более 900 символов!" sqref="K9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3">
      <formula1>"a"</formula1>
    </dataValidation>
    <dataValidation type="whole" allowBlank="1" showErrorMessage="1" errorTitle="Ошибка" error="Допускается ввод только неотрицательных целых чисел!" sqref="AI942">
      <formula1>0</formula1>
      <formula2>9.99999999999999E+23</formula2>
    </dataValidation>
    <dataValidation type="whole" allowBlank="1" showErrorMessage="1" errorTitle="Ошибка" error="Допускается ввод только неотрицательных целых чисел!" sqref="AF942">
      <formula1>0</formula1>
      <formula2>9.99999999999999E+23</formula2>
    </dataValidation>
    <dataValidation type="whole" allowBlank="1" showErrorMessage="1" errorTitle="Ошибка" error="Допускается ввод только неотрицательных целых чисел!" sqref="AI941">
      <formula1>0</formula1>
      <formula2>9.99999999999999E+23</formula2>
    </dataValidation>
    <dataValidation type="whole" allowBlank="1" showErrorMessage="1" errorTitle="Ошибка" error="Допускается ввод только неотрицательных целых чисел!" sqref="AF941">
      <formula1>0</formula1>
      <formula2>9.99999999999999E+23</formula2>
    </dataValidation>
    <dataValidation type="textLength" operator="lessThanOrEqual" allowBlank="1" showInputMessage="1" showErrorMessage="1" errorTitle="Ошибка" error="Допускается ввод не более 900 символов!" sqref="K9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1">
      <formula1>"a"</formula1>
    </dataValidation>
    <dataValidation type="whole" allowBlank="1" showErrorMessage="1" errorTitle="Ошибка" error="Допускается ввод только неотрицательных целых чисел!" sqref="AI938">
      <formula1>0</formula1>
      <formula2>9.99999999999999E+23</formula2>
    </dataValidation>
    <dataValidation type="whole" allowBlank="1" showErrorMessage="1" errorTitle="Ошибка" error="Допускается ввод только неотрицательных целых чисел!" sqref="AF938">
      <formula1>0</formula1>
      <formula2>9.99999999999999E+23</formula2>
    </dataValidation>
    <dataValidation type="decimal" allowBlank="1" showErrorMessage="1" errorTitle="Ошибка" error="Допускается ввод только неотрицательных чисел!" sqref="AE938">
      <formula1>0</formula1>
      <formula2>9.99999999999999E+23</formula2>
    </dataValidation>
    <dataValidation type="decimal" allowBlank="1" showErrorMessage="1" errorTitle="Ошибка" error="Допускается ввод только неотрицательных чисел!" sqref="AC938">
      <formula1>0</formula1>
      <formula2>9.99999999999999E+23</formula2>
    </dataValidation>
    <dataValidation type="textLength" operator="lessThanOrEqual" allowBlank="1" showInputMessage="1" showErrorMessage="1" errorTitle="Ошибка" error="Допускается ввод не более 900 символов!" sqref="K9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8">
      <formula1>"a"</formula1>
    </dataValidation>
    <dataValidation type="whole" allowBlank="1" showErrorMessage="1" errorTitle="Ошибка" error="Допускается ввод только неотрицательных целых чисел!" sqref="AI937">
      <formula1>0</formula1>
      <formula2>9.99999999999999E+23</formula2>
    </dataValidation>
    <dataValidation type="whole" allowBlank="1" showErrorMessage="1" errorTitle="Ошибка" error="Допускается ввод только неотрицательных целых чисел!" sqref="AF937">
      <formula1>0</formula1>
      <formula2>9.99999999999999E+23</formula2>
    </dataValidation>
    <dataValidation type="textLength" operator="lessThanOrEqual" allowBlank="1" showInputMessage="1" showErrorMessage="1" errorTitle="Ошибка" error="Допускается ввод не более 900 символов!" sqref="K9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7">
      <formula1>"a"</formula1>
    </dataValidation>
    <dataValidation type="whole" allowBlank="1" showErrorMessage="1" errorTitle="Ошибка" error="Допускается ввод только неотрицательных целых чисел!" sqref="AI936">
      <formula1>0</formula1>
      <formula2>9.99999999999999E+23</formula2>
    </dataValidation>
    <dataValidation type="whole" allowBlank="1" showErrorMessage="1" errorTitle="Ошибка" error="Допускается ввод только неотрицательных целых чисел!" sqref="AF936">
      <formula1>0</formula1>
      <formula2>9.99999999999999E+23</formula2>
    </dataValidation>
    <dataValidation type="textLength" operator="lessThanOrEqual" allowBlank="1" showInputMessage="1" showErrorMessage="1" errorTitle="Ошибка" error="Допускается ввод не более 900 символов!" sqref="M936">
      <formula1>900</formula1>
    </dataValidation>
    <dataValidation type="textLength" operator="lessThanOrEqual" allowBlank="1" showInputMessage="1" showErrorMessage="1" errorTitle="Ошибка" error="Допускается ввод не более 900 символов!" sqref="K9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6">
      <formula1>"a"</formula1>
    </dataValidation>
    <dataValidation type="whole" allowBlank="1" showErrorMessage="1" errorTitle="Ошибка" error="Допускается ввод только неотрицательных целых чисел!" sqref="AI935">
      <formula1>0</formula1>
      <formula2>9.99999999999999E+23</formula2>
    </dataValidation>
    <dataValidation type="whole" allowBlank="1" showErrorMessage="1" errorTitle="Ошибка" error="Допускается ввод только неотрицательных целых чисел!" sqref="AF935">
      <formula1>0</formula1>
      <formula2>9.99999999999999E+23</formula2>
    </dataValidation>
    <dataValidation type="whole" allowBlank="1" showErrorMessage="1" errorTitle="Ошибка" error="Допускается ввод только неотрицательных целых чисел!" sqref="AI934">
      <formula1>0</formula1>
      <formula2>9.99999999999999E+23</formula2>
    </dataValidation>
    <dataValidation type="whole" allowBlank="1" showErrorMessage="1" errorTitle="Ошибка" error="Допускается ввод только неотрицательных целых чисел!" sqref="AF934">
      <formula1>0</formula1>
      <formula2>9.99999999999999E+23</formula2>
    </dataValidation>
    <dataValidation type="textLength" operator="lessThanOrEqual" allowBlank="1" showInputMessage="1" showErrorMessage="1" errorTitle="Ошибка" error="Допускается ввод не более 900 символов!" sqref="K9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4">
      <formula1>"a"</formula1>
    </dataValidation>
    <dataValidation type="whole" allowBlank="1" showErrorMessage="1" errorTitle="Ошибка" error="Допускается ввод только неотрицательных целых чисел!" sqref="AI931">
      <formula1>0</formula1>
      <formula2>9.99999999999999E+23</formula2>
    </dataValidation>
    <dataValidation type="whole" allowBlank="1" showErrorMessage="1" errorTitle="Ошибка" error="Допускается ввод только неотрицательных целых чисел!" sqref="AF931">
      <formula1>0</formula1>
      <formula2>9.99999999999999E+23</formula2>
    </dataValidation>
    <dataValidation type="decimal" allowBlank="1" showErrorMessage="1" errorTitle="Ошибка" error="Допускается ввод только неотрицательных чисел!" sqref="AE931">
      <formula1>0</formula1>
      <formula2>9.99999999999999E+23</formula2>
    </dataValidation>
    <dataValidation type="decimal" allowBlank="1" showErrorMessage="1" errorTitle="Ошибка" error="Допускается ввод только неотрицательных чисел!" sqref="AC931">
      <formula1>0</formula1>
      <formula2>9.99999999999999E+23</formula2>
    </dataValidation>
    <dataValidation type="textLength" operator="lessThanOrEqual" allowBlank="1" showInputMessage="1" showErrorMessage="1" errorTitle="Ошибка" error="Допускается ввод не более 900 символов!" sqref="K9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1">
      <formula1>"a"</formula1>
    </dataValidation>
    <dataValidation type="whole" allowBlank="1" showErrorMessage="1" errorTitle="Ошибка" error="Допускается ввод только неотрицательных целых чисел!" sqref="AI930">
      <formula1>0</formula1>
      <formula2>9.99999999999999E+23</formula2>
    </dataValidation>
    <dataValidation type="whole" allowBlank="1" showErrorMessage="1" errorTitle="Ошибка" error="Допускается ввод только неотрицательных целых чисел!" sqref="AF930">
      <formula1>0</formula1>
      <formula2>9.99999999999999E+23</formula2>
    </dataValidation>
    <dataValidation type="textLength" operator="lessThanOrEqual" allowBlank="1" showInputMessage="1" showErrorMessage="1" errorTitle="Ошибка" error="Допускается ввод не более 900 символов!" sqref="K9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0">
      <formula1>"a"</formula1>
    </dataValidation>
    <dataValidation type="whole" allowBlank="1" showErrorMessage="1" errorTitle="Ошибка" error="Допускается ввод только неотрицательных целых чисел!" sqref="AI929">
      <formula1>0</formula1>
      <formula2>9.99999999999999E+23</formula2>
    </dataValidation>
    <dataValidation type="whole" allowBlank="1" showErrorMessage="1" errorTitle="Ошибка" error="Допускается ввод только неотрицательных целых чисел!" sqref="AF929">
      <formula1>0</formula1>
      <formula2>9.99999999999999E+23</formula2>
    </dataValidation>
    <dataValidation type="textLength" operator="lessThanOrEqual" allowBlank="1" showInputMessage="1" showErrorMessage="1" errorTitle="Ошибка" error="Допускается ввод не более 900 символов!" sqref="M929">
      <formula1>900</formula1>
    </dataValidation>
    <dataValidation type="textLength" operator="lessThanOrEqual" allowBlank="1" showInputMessage="1" showErrorMessage="1" errorTitle="Ошибка" error="Допускается ввод не более 900 символов!" sqref="K9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9">
      <formula1>"a"</formula1>
    </dataValidation>
    <dataValidation type="whole" allowBlank="1" showErrorMessage="1" errorTitle="Ошибка" error="Допускается ввод только неотрицательных целых чисел!" sqref="AI928">
      <formula1>0</formula1>
      <formula2>9.99999999999999E+23</formula2>
    </dataValidation>
    <dataValidation type="whole" allowBlank="1" showErrorMessage="1" errorTitle="Ошибка" error="Допускается ввод только неотрицательных целых чисел!" sqref="AF928">
      <formula1>0</formula1>
      <formula2>9.99999999999999E+23</formula2>
    </dataValidation>
    <dataValidation type="whole" allowBlank="1" showErrorMessage="1" errorTitle="Ошибка" error="Допускается ввод только неотрицательных целых чисел!" sqref="AI927">
      <formula1>0</formula1>
      <formula2>9.99999999999999E+23</formula2>
    </dataValidation>
    <dataValidation type="whole" allowBlank="1" showErrorMessage="1" errorTitle="Ошибка" error="Допускается ввод только неотрицательных целых чисел!" sqref="AF927">
      <formula1>0</formula1>
      <formula2>9.99999999999999E+23</formula2>
    </dataValidation>
    <dataValidation type="textLength" operator="lessThanOrEqual" allowBlank="1" showInputMessage="1" showErrorMessage="1" errorTitle="Ошибка" error="Допускается ввод не более 900 символов!" sqref="K9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7">
      <formula1>"a"</formula1>
    </dataValidation>
    <dataValidation type="whole" allowBlank="1" showErrorMessage="1" errorTitle="Ошибка" error="Допускается ввод только неотрицательных целых чисел!" sqref="AI924">
      <formula1>0</formula1>
      <formula2>9.99999999999999E+23</formula2>
    </dataValidation>
    <dataValidation type="whole" allowBlank="1" showErrorMessage="1" errorTitle="Ошибка" error="Допускается ввод только неотрицательных целых чисел!" sqref="AF924">
      <formula1>0</formula1>
      <formula2>9.99999999999999E+23</formula2>
    </dataValidation>
    <dataValidation type="decimal" allowBlank="1" showErrorMessage="1" errorTitle="Ошибка" error="Допускается ввод только неотрицательных чисел!" sqref="AE924">
      <formula1>0</formula1>
      <formula2>9.99999999999999E+23</formula2>
    </dataValidation>
    <dataValidation type="decimal" allowBlank="1" showErrorMessage="1" errorTitle="Ошибка" error="Допускается ввод только неотрицательных чисел!" sqref="AC924">
      <formula1>0</formula1>
      <formula2>9.99999999999999E+23</formula2>
    </dataValidation>
    <dataValidation type="textLength" operator="lessThanOrEqual" allowBlank="1" showInputMessage="1" showErrorMessage="1" errorTitle="Ошибка" error="Допускается ввод не более 900 символов!" sqref="K9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4">
      <formula1>"a"</formula1>
    </dataValidation>
    <dataValidation type="whole" allowBlank="1" showErrorMessage="1" errorTitle="Ошибка" error="Допускается ввод только неотрицательных целых чисел!" sqref="AI923">
      <formula1>0</formula1>
      <formula2>9.99999999999999E+23</formula2>
    </dataValidation>
    <dataValidation type="whole" allowBlank="1" showErrorMessage="1" errorTitle="Ошибка" error="Допускается ввод только неотрицательных целых чисел!" sqref="AF923">
      <formula1>0</formula1>
      <formula2>9.99999999999999E+23</formula2>
    </dataValidation>
    <dataValidation type="textLength" operator="lessThanOrEqual" allowBlank="1" showInputMessage="1" showErrorMessage="1" errorTitle="Ошибка" error="Допускается ввод не более 900 символов!" sqref="K9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3">
      <formula1>"a"</formula1>
    </dataValidation>
    <dataValidation type="whole" allowBlank="1" showErrorMessage="1" errorTitle="Ошибка" error="Допускается ввод только неотрицательных целых чисел!" sqref="AI922">
      <formula1>0</formula1>
      <formula2>9.99999999999999E+23</formula2>
    </dataValidation>
    <dataValidation type="whole" allowBlank="1" showErrorMessage="1" errorTitle="Ошибка" error="Допускается ввод только неотрицательных целых чисел!" sqref="AF922">
      <formula1>0</formula1>
      <formula2>9.99999999999999E+23</formula2>
    </dataValidation>
    <dataValidation type="textLength" operator="lessThanOrEqual" allowBlank="1" showInputMessage="1" showErrorMessage="1" errorTitle="Ошибка" error="Допускается ввод не более 900 символов!" sqref="M922">
      <formula1>900</formula1>
    </dataValidation>
    <dataValidation type="textLength" operator="lessThanOrEqual" allowBlank="1" showInputMessage="1" showErrorMessage="1" errorTitle="Ошибка" error="Допускается ввод не более 900 символов!" sqref="K9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2">
      <formula1>"a"</formula1>
    </dataValidation>
    <dataValidation type="whole" allowBlank="1" showErrorMessage="1" errorTitle="Ошибка" error="Допускается ввод только неотрицательных целых чисел!" sqref="AI921">
      <formula1>0</formula1>
      <formula2>9.99999999999999E+23</formula2>
    </dataValidation>
    <dataValidation type="whole" allowBlank="1" showErrorMessage="1" errorTitle="Ошибка" error="Допускается ввод только неотрицательных целых чисел!" sqref="AF921">
      <formula1>0</formula1>
      <formula2>9.99999999999999E+23</formula2>
    </dataValidation>
    <dataValidation type="whole" allowBlank="1" showErrorMessage="1" errorTitle="Ошибка" error="Допускается ввод только неотрицательных целых чисел!" sqref="AI920">
      <formula1>0</formula1>
      <formula2>9.99999999999999E+23</formula2>
    </dataValidation>
    <dataValidation type="whole" allowBlank="1" showErrorMessage="1" errorTitle="Ошибка" error="Допускается ввод только неотрицательных целых чисел!" sqref="AF920">
      <formula1>0</formula1>
      <formula2>9.99999999999999E+23</formula2>
    </dataValidation>
    <dataValidation type="textLength" operator="lessThanOrEqual" allowBlank="1" showInputMessage="1" showErrorMessage="1" errorTitle="Ошибка" error="Допускается ввод не более 900 символов!" sqref="K9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0">
      <formula1>"a"</formula1>
    </dataValidation>
    <dataValidation type="whole" allowBlank="1" showErrorMessage="1" errorTitle="Ошибка" error="Допускается ввод только неотрицательных целых чисел!" sqref="AI917">
      <formula1>0</formula1>
      <formula2>9.99999999999999E+23</formula2>
    </dataValidation>
    <dataValidation type="whole" allowBlank="1" showErrorMessage="1" errorTitle="Ошибка" error="Допускается ввод только неотрицательных целых чисел!" sqref="AF917">
      <formula1>0</formula1>
      <formula2>9.99999999999999E+23</formula2>
    </dataValidation>
    <dataValidation type="decimal" allowBlank="1" showErrorMessage="1" errorTitle="Ошибка" error="Допускается ввод только неотрицательных чисел!" sqref="AE917">
      <formula1>0</formula1>
      <formula2>9.99999999999999E+23</formula2>
    </dataValidation>
    <dataValidation type="decimal" allowBlank="1" showErrorMessage="1" errorTitle="Ошибка" error="Допускается ввод только неотрицательных чисел!" sqref="AC917">
      <formula1>0</formula1>
      <formula2>9.99999999999999E+23</formula2>
    </dataValidation>
    <dataValidation type="textLength" operator="lessThanOrEqual" allowBlank="1" showInputMessage="1" showErrorMessage="1" errorTitle="Ошибка" error="Допускается ввод не более 900 символов!" sqref="K9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7">
      <formula1>"a"</formula1>
    </dataValidation>
    <dataValidation type="whole" allowBlank="1" showErrorMessage="1" errorTitle="Ошибка" error="Допускается ввод только неотрицательных целых чисел!" sqref="AI916">
      <formula1>0</formula1>
      <formula2>9.99999999999999E+23</formula2>
    </dataValidation>
    <dataValidation type="whole" allowBlank="1" showErrorMessage="1" errorTitle="Ошибка" error="Допускается ввод только неотрицательных целых чисел!" sqref="AF916">
      <formula1>0</formula1>
      <formula2>9.99999999999999E+23</formula2>
    </dataValidation>
    <dataValidation type="textLength" operator="lessThanOrEqual" allowBlank="1" showInputMessage="1" showErrorMessage="1" errorTitle="Ошибка" error="Допускается ввод не более 900 символов!" sqref="K9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6">
      <formula1>"a"</formula1>
    </dataValidation>
    <dataValidation type="whole" allowBlank="1" showErrorMessage="1" errorTitle="Ошибка" error="Допускается ввод только неотрицательных целых чисел!" sqref="AI915">
      <formula1>0</formula1>
      <formula2>9.99999999999999E+23</formula2>
    </dataValidation>
    <dataValidation type="whole" allowBlank="1" showErrorMessage="1" errorTitle="Ошибка" error="Допускается ввод только неотрицательных целых чисел!" sqref="AF915">
      <formula1>0</formula1>
      <formula2>9.99999999999999E+23</formula2>
    </dataValidation>
    <dataValidation type="textLength" operator="lessThanOrEqual" allowBlank="1" showInputMessage="1" showErrorMessage="1" errorTitle="Ошибка" error="Допускается ввод не более 900 символов!" sqref="M915">
      <formula1>900</formula1>
    </dataValidation>
    <dataValidation type="textLength" operator="lessThanOrEqual" allowBlank="1" showInputMessage="1" showErrorMessage="1" errorTitle="Ошибка" error="Допускается ввод не более 900 символов!" sqref="K9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5">
      <formula1>"a"</formula1>
    </dataValidation>
    <dataValidation type="whole" allowBlank="1" showErrorMessage="1" errorTitle="Ошибка" error="Допускается ввод только неотрицательных целых чисел!" sqref="AI914">
      <formula1>0</formula1>
      <formula2>9.99999999999999E+23</formula2>
    </dataValidation>
    <dataValidation type="whole" allowBlank="1" showErrorMessage="1" errorTitle="Ошибка" error="Допускается ввод только неотрицательных целых чисел!" sqref="AF914">
      <formula1>0</formula1>
      <formula2>9.99999999999999E+23</formula2>
    </dataValidation>
    <dataValidation type="whole" allowBlank="1" showErrorMessage="1" errorTitle="Ошибка" error="Допускается ввод только неотрицательных целых чисел!" sqref="AI913">
      <formula1>0</formula1>
      <formula2>9.99999999999999E+23</formula2>
    </dataValidation>
    <dataValidation type="whole" allowBlank="1" showErrorMessage="1" errorTitle="Ошибка" error="Допускается ввод только неотрицательных целых чисел!" sqref="AF913">
      <formula1>0</formula1>
      <formula2>9.99999999999999E+23</formula2>
    </dataValidation>
    <dataValidation type="textLength" operator="lessThanOrEqual" allowBlank="1" showInputMessage="1" showErrorMessage="1" errorTitle="Ошибка" error="Допускается ввод не более 900 символов!" sqref="K9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3">
      <formula1>"a"</formula1>
    </dataValidation>
    <dataValidation type="whole" allowBlank="1" showErrorMessage="1" errorTitle="Ошибка" error="Допускается ввод только неотрицательных целых чисел!" sqref="AI910">
      <formula1>0</formula1>
      <formula2>9.99999999999999E+23</formula2>
    </dataValidation>
    <dataValidation type="whole" allowBlank="1" showErrorMessage="1" errorTitle="Ошибка" error="Допускается ввод только неотрицательных целых чисел!" sqref="AF910">
      <formula1>0</formula1>
      <formula2>9.99999999999999E+23</formula2>
    </dataValidation>
    <dataValidation type="decimal" allowBlank="1" showErrorMessage="1" errorTitle="Ошибка" error="Допускается ввод только неотрицательных чисел!" sqref="AE910">
      <formula1>0</formula1>
      <formula2>9.99999999999999E+23</formula2>
    </dataValidation>
    <dataValidation type="decimal" allowBlank="1" showErrorMessage="1" errorTitle="Ошибка" error="Допускается ввод только неотрицательных чисел!" sqref="AC910">
      <formula1>0</formula1>
      <formula2>9.99999999999999E+23</formula2>
    </dataValidation>
    <dataValidation type="textLength" operator="lessThanOrEqual" allowBlank="1" showInputMessage="1" showErrorMessage="1" errorTitle="Ошибка" error="Допускается ввод не более 900 символов!" sqref="K9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0">
      <formula1>"a"</formula1>
    </dataValidation>
    <dataValidation type="whole" allowBlank="1" showErrorMessage="1" errorTitle="Ошибка" error="Допускается ввод только неотрицательных целых чисел!" sqref="AI909">
      <formula1>0</formula1>
      <formula2>9.99999999999999E+23</formula2>
    </dataValidation>
    <dataValidation type="whole" allowBlank="1" showErrorMessage="1" errorTitle="Ошибка" error="Допускается ввод только неотрицательных целых чисел!" sqref="AF909">
      <formula1>0</formula1>
      <formula2>9.99999999999999E+23</formula2>
    </dataValidation>
    <dataValidation type="textLength" operator="lessThanOrEqual" allowBlank="1" showInputMessage="1" showErrorMessage="1" errorTitle="Ошибка" error="Допускается ввод не более 900 символов!" sqref="K9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9">
      <formula1>"a"</formula1>
    </dataValidation>
    <dataValidation type="whole" allowBlank="1" showErrorMessage="1" errorTitle="Ошибка" error="Допускается ввод только неотрицательных целых чисел!" sqref="AI908">
      <formula1>0</formula1>
      <formula2>9.99999999999999E+23</formula2>
    </dataValidation>
    <dataValidation type="whole" allowBlank="1" showErrorMessage="1" errorTitle="Ошибка" error="Допускается ввод только неотрицательных целых чисел!" sqref="AF908">
      <formula1>0</formula1>
      <formula2>9.99999999999999E+23</formula2>
    </dataValidation>
    <dataValidation type="textLength" operator="lessThanOrEqual" allowBlank="1" showInputMessage="1" showErrorMessage="1" errorTitle="Ошибка" error="Допускается ввод не более 900 символов!" sqref="M908">
      <formula1>900</formula1>
    </dataValidation>
    <dataValidation type="textLength" operator="lessThanOrEqual" allowBlank="1" showInputMessage="1" showErrorMessage="1" errorTitle="Ошибка" error="Допускается ввод не более 900 символов!" sqref="K9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8">
      <formula1>"a"</formula1>
    </dataValidation>
    <dataValidation type="whole" allowBlank="1" showErrorMessage="1" errorTitle="Ошибка" error="Допускается ввод только неотрицательных целых чисел!" sqref="AI899">
      <formula1>0</formula1>
      <formula2>9.99999999999999E+23</formula2>
    </dataValidation>
    <dataValidation type="whole" allowBlank="1" showErrorMessage="1" errorTitle="Ошибка" error="Допускается ввод только неотрицательных целых чисел!" sqref="AF899">
      <formula1>0</formula1>
      <formula2>9.99999999999999E+23</formula2>
    </dataValidation>
    <dataValidation type="decimal" allowBlank="1" showErrorMessage="1" errorTitle="Ошибка" error="Допускается ввод только неотрицательных чисел!" sqref="AE899">
      <formula1>0</formula1>
      <formula2>9.99999999999999E+23</formula2>
    </dataValidation>
    <dataValidation type="decimal" allowBlank="1" showErrorMessage="1" errorTitle="Ошибка" error="Допускается ввод только неотрицательных чисел!" sqref="AC899">
      <formula1>0</formula1>
      <formula2>9.99999999999999E+23</formula2>
    </dataValidation>
    <dataValidation type="textLength" operator="lessThanOrEqual" allowBlank="1" showInputMessage="1" showErrorMessage="1" errorTitle="Ошибка" error="Допускается ввод не более 900 символов!" sqref="K8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9">
      <formula1>"a"</formula1>
    </dataValidation>
    <dataValidation type="whole" allowBlank="1" showErrorMessage="1" errorTitle="Ошибка" error="Допускается ввод только неотрицательных целых чисел!" sqref="AI893">
      <formula1>0</formula1>
      <formula2>9.99999999999999E+23</formula2>
    </dataValidation>
    <dataValidation type="whole" allowBlank="1" showErrorMessage="1" errorTitle="Ошибка" error="Допускается ввод только неотрицательных целых чисел!" sqref="AF893">
      <formula1>0</formula1>
      <formula2>9.99999999999999E+23</formula2>
    </dataValidation>
    <dataValidation type="decimal" allowBlank="1" showErrorMessage="1" errorTitle="Ошибка" error="Допускается ввод только неотрицательных чисел!" sqref="AE893">
      <formula1>0</formula1>
      <formula2>9.99999999999999E+23</formula2>
    </dataValidation>
    <dataValidation type="decimal" allowBlank="1" showErrorMessage="1" errorTitle="Ошибка" error="Допускается ввод только неотрицательных чисел!" sqref="AC893">
      <formula1>0</formula1>
      <formula2>9.99999999999999E+23</formula2>
    </dataValidation>
    <dataValidation type="textLength" operator="lessThanOrEqual" allowBlank="1" showInputMessage="1" showErrorMessage="1" errorTitle="Ошибка" error="Допускается ввод не более 900 символов!" sqref="K8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3">
      <formula1>"a"</formula1>
    </dataValidation>
    <dataValidation type="whole" allowBlank="1" showErrorMessage="1" errorTitle="Ошибка" error="Допускается ввод только неотрицательных целых чисел!" sqref="AI887">
      <formula1>0</formula1>
      <formula2>9.99999999999999E+23</formula2>
    </dataValidation>
    <dataValidation type="whole" allowBlank="1" showErrorMessage="1" errorTitle="Ошибка" error="Допускается ввод только неотрицательных целых чисел!" sqref="AF887">
      <formula1>0</formula1>
      <formula2>9.99999999999999E+23</formula2>
    </dataValidation>
    <dataValidation type="decimal" allowBlank="1" showErrorMessage="1" errorTitle="Ошибка" error="Допускается ввод только неотрицательных чисел!" sqref="AE887">
      <formula1>0</formula1>
      <formula2>9.99999999999999E+23</formula2>
    </dataValidation>
    <dataValidation type="decimal" allowBlank="1" showErrorMessage="1" errorTitle="Ошибка" error="Допускается ввод только неотрицательных чисел!" sqref="AC887">
      <formula1>0</formula1>
      <formula2>9.99999999999999E+23</formula2>
    </dataValidation>
    <dataValidation type="textLength" operator="lessThanOrEqual" allowBlank="1" showInputMessage="1" showErrorMessage="1" errorTitle="Ошибка" error="Допускается ввод не более 900 символов!" sqref="K8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7">
      <formula1>"a"</formula1>
    </dataValidation>
    <dataValidation type="whole" allowBlank="1" showErrorMessage="1" errorTitle="Ошибка" error="Допускается ввод только неотрицательных целых чисел!" sqref="AI881">
      <formula1>0</formula1>
      <formula2>9.99999999999999E+23</formula2>
    </dataValidation>
    <dataValidation type="whole" allowBlank="1" showErrorMessage="1" errorTitle="Ошибка" error="Допускается ввод только неотрицательных целых чисел!" sqref="AF881">
      <formula1>0</formula1>
      <formula2>9.99999999999999E+23</formula2>
    </dataValidation>
    <dataValidation type="decimal" allowBlank="1" showErrorMessage="1" errorTitle="Ошибка" error="Допускается ввод только неотрицательных чисел!" sqref="AE881">
      <formula1>0</formula1>
      <formula2>9.99999999999999E+23</formula2>
    </dataValidation>
    <dataValidation type="decimal" allowBlank="1" showErrorMessage="1" errorTitle="Ошибка" error="Допускается ввод только неотрицательных чисел!" sqref="AC881">
      <formula1>0</formula1>
      <formula2>9.99999999999999E+23</formula2>
    </dataValidation>
    <dataValidation type="textLength" operator="lessThanOrEqual" allowBlank="1" showInputMessage="1" showErrorMessage="1" errorTitle="Ошибка" error="Допускается ввод не более 900 символов!" sqref="K8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1">
      <formula1>"a"</formula1>
    </dataValidation>
    <dataValidation type="whole" allowBlank="1" showErrorMessage="1" errorTitle="Ошибка" error="Допускается ввод только неотрицательных целых чисел!" sqref="AI875">
      <formula1>0</formula1>
      <formula2>9.99999999999999E+23</formula2>
    </dataValidation>
    <dataValidation type="whole" allowBlank="1" showErrorMessage="1" errorTitle="Ошибка" error="Допускается ввод только неотрицательных целых чисел!" sqref="AF875">
      <formula1>0</formula1>
      <formula2>9.99999999999999E+23</formula2>
    </dataValidation>
    <dataValidation type="decimal" allowBlank="1" showErrorMessage="1" errorTitle="Ошибка" error="Допускается ввод только неотрицательных чисел!" sqref="AE875">
      <formula1>0</formula1>
      <formula2>9.99999999999999E+23</formula2>
    </dataValidation>
    <dataValidation type="decimal" allowBlank="1" showErrorMessage="1" errorTitle="Ошибка" error="Допускается ввод только неотрицательных чисел!" sqref="AC875">
      <formula1>0</formula1>
      <formula2>9.99999999999999E+23</formula2>
    </dataValidation>
    <dataValidation type="textLength" operator="lessThanOrEqual" allowBlank="1" showInputMessage="1" showErrorMessage="1" errorTitle="Ошибка" error="Допускается ввод не более 900 символов!" sqref="K8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5">
      <formula1>"a"</formula1>
    </dataValidation>
    <dataValidation type="whole" allowBlank="1" showErrorMessage="1" errorTitle="Ошибка" error="Допускается ввод только неотрицательных целых чисел!" sqref="AI869">
      <formula1>0</formula1>
      <formula2>9.99999999999999E+23</formula2>
    </dataValidation>
    <dataValidation type="whole" allowBlank="1" showErrorMessage="1" errorTitle="Ошибка" error="Допускается ввод только неотрицательных целых чисел!" sqref="AF869">
      <formula1>0</formula1>
      <formula2>9.99999999999999E+23</formula2>
    </dataValidation>
    <dataValidation type="decimal" allowBlank="1" showErrorMessage="1" errorTitle="Ошибка" error="Допускается ввод только неотрицательных чисел!" sqref="AE869">
      <formula1>0</formula1>
      <formula2>9.99999999999999E+23</formula2>
    </dataValidation>
    <dataValidation type="decimal" allowBlank="1" showErrorMessage="1" errorTitle="Ошибка" error="Допускается ввод только неотрицательных чисел!" sqref="AC869">
      <formula1>0</formula1>
      <formula2>9.99999999999999E+23</formula2>
    </dataValidation>
    <dataValidation type="textLength" operator="lessThanOrEqual" allowBlank="1" showInputMessage="1" showErrorMessage="1" errorTitle="Ошибка" error="Допускается ввод не более 900 символов!" sqref="K8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9">
      <formula1>"a"</formula1>
    </dataValidation>
    <dataValidation type="whole" allowBlank="1" showErrorMessage="1" errorTitle="Ошибка" error="Допускается ввод только неотрицательных целых чисел!" sqref="AI863">
      <formula1>0</formula1>
      <formula2>9.99999999999999E+23</formula2>
    </dataValidation>
    <dataValidation type="whole" allowBlank="1" showErrorMessage="1" errorTitle="Ошибка" error="Допускается ввод только неотрицательных целых чисел!" sqref="AF863">
      <formula1>0</formula1>
      <formula2>9.99999999999999E+23</formula2>
    </dataValidation>
    <dataValidation type="decimal" allowBlank="1" showErrorMessage="1" errorTitle="Ошибка" error="Допускается ввод только неотрицательных чисел!" sqref="AE863">
      <formula1>0</formula1>
      <formula2>9.99999999999999E+23</formula2>
    </dataValidation>
    <dataValidation type="decimal" allowBlank="1" showErrorMessage="1" errorTitle="Ошибка" error="Допускается ввод только неотрицательных чисел!" sqref="AC863">
      <formula1>0</formula1>
      <formula2>9.99999999999999E+23</formula2>
    </dataValidation>
    <dataValidation type="textLength" operator="lessThanOrEqual" allowBlank="1" showInputMessage="1" showErrorMessage="1" errorTitle="Ошибка" error="Допускается ввод не более 900 символов!" sqref="K8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3">
      <formula1>"a"</formula1>
    </dataValidation>
    <dataValidation type="whole" allowBlank="1" showErrorMessage="1" errorTitle="Ошибка" error="Допускается ввод только неотрицательных целых чисел!" sqref="AI901">
      <formula1>0</formula1>
      <formula2>9.99999999999999E+23</formula2>
    </dataValidation>
    <dataValidation type="whole" allowBlank="1" showErrorMessage="1" errorTitle="Ошибка" error="Допускается ввод только неотрицательных целых чисел!" sqref="AF901">
      <formula1>0</formula1>
      <formula2>9.99999999999999E+23</formula2>
    </dataValidation>
    <dataValidation type="whole" allowBlank="1" showErrorMessage="1" errorTitle="Ошибка" error="Допускается ввод только неотрицательных целых чисел!" sqref="AI900">
      <formula1>0</formula1>
      <formula2>9.99999999999999E+23</formula2>
    </dataValidation>
    <dataValidation type="whole" allowBlank="1" showErrorMessage="1" errorTitle="Ошибка" error="Допускается ввод только неотрицательных целых чисел!" sqref="AF900">
      <formula1>0</formula1>
      <formula2>9.99999999999999E+23</formula2>
    </dataValidation>
    <dataValidation type="textLength" operator="lessThanOrEqual" allowBlank="1" showInputMessage="1" showErrorMessage="1" errorTitle="Ошибка" error="Допускается ввод не более 900 символов!" sqref="K9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0">
      <formula1>"a"</formula1>
    </dataValidation>
    <dataValidation type="whole" allowBlank="1" showErrorMessage="1" errorTitle="Ошибка" error="Допускается ввод только неотрицательных целых чисел!" sqref="AI898">
      <formula1>0</formula1>
      <formula2>9.99999999999999E+23</formula2>
    </dataValidation>
    <dataValidation type="whole" allowBlank="1" showErrorMessage="1" errorTitle="Ошибка" error="Допускается ввод только неотрицательных целых чисел!" sqref="AF898">
      <formula1>0</formula1>
      <formula2>9.99999999999999E+23</formula2>
    </dataValidation>
    <dataValidation type="decimal" allowBlank="1" showErrorMessage="1" errorTitle="Ошибка" error="Допускается ввод только неотрицательных чисел!" sqref="AE898">
      <formula1>0</formula1>
      <formula2>9.99999999999999E+23</formula2>
    </dataValidation>
    <dataValidation type="decimal" allowBlank="1" showErrorMessage="1" errorTitle="Ошибка" error="Допускается ввод только неотрицательных чисел!" sqref="AC898">
      <formula1>0</formula1>
      <formula2>9.99999999999999E+23</formula2>
    </dataValidation>
    <dataValidation type="textLength" operator="lessThanOrEqual" allowBlank="1" showInputMessage="1" showErrorMessage="1" errorTitle="Ошибка" error="Допускается ввод не более 900 символов!" sqref="K8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8">
      <formula1>"a"</formula1>
    </dataValidation>
    <dataValidation type="whole" allowBlank="1" showErrorMessage="1" errorTitle="Ошибка" error="Допускается ввод только неотрицательных целых чисел!" sqref="AI897">
      <formula1>0</formula1>
      <formula2>9.99999999999999E+23</formula2>
    </dataValidation>
    <dataValidation type="whole" allowBlank="1" showErrorMessage="1" errorTitle="Ошибка" error="Допускается ввод только неотрицательных целых чисел!" sqref="AF897">
      <formula1>0</formula1>
      <formula2>9.99999999999999E+23</formula2>
    </dataValidation>
    <dataValidation type="textLength" operator="lessThanOrEqual" allowBlank="1" showInputMessage="1" showErrorMessage="1" errorTitle="Ошибка" error="Допускается ввод не более 900 символов!" sqref="K8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7">
      <formula1>"a"</formula1>
    </dataValidation>
    <dataValidation type="whole" allowBlank="1" showErrorMessage="1" errorTitle="Ошибка" error="Допускается ввод только неотрицательных целых чисел!" sqref="AI896">
      <formula1>0</formula1>
      <formula2>9.99999999999999E+23</formula2>
    </dataValidation>
    <dataValidation type="whole" allowBlank="1" showErrorMessage="1" errorTitle="Ошибка" error="Допускается ввод только неотрицательных целых чисел!" sqref="AF896">
      <formula1>0</formula1>
      <formula2>9.99999999999999E+23</formula2>
    </dataValidation>
    <dataValidation type="textLength" operator="lessThanOrEqual" allowBlank="1" showInputMessage="1" showErrorMessage="1" errorTitle="Ошибка" error="Допускается ввод не более 900 символов!" sqref="M896">
      <formula1>900</formula1>
    </dataValidation>
    <dataValidation type="textLength" operator="lessThanOrEqual" allowBlank="1" showInputMessage="1" showErrorMessage="1" errorTitle="Ошибка" error="Допускается ввод не более 900 символов!" sqref="K8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6">
      <formula1>"a"</formula1>
    </dataValidation>
    <dataValidation type="whole" allowBlank="1" showErrorMessage="1" errorTitle="Ошибка" error="Допускается ввод только неотрицательных целых чисел!" sqref="AI895">
      <formula1>0</formula1>
      <formula2>9.99999999999999E+23</formula2>
    </dataValidation>
    <dataValidation type="whole" allowBlank="1" showErrorMessage="1" errorTitle="Ошибка" error="Допускается ввод только неотрицательных целых чисел!" sqref="AF895">
      <formula1>0</formula1>
      <formula2>9.99999999999999E+23</formula2>
    </dataValidation>
    <dataValidation type="whole" allowBlank="1" showErrorMessage="1" errorTitle="Ошибка" error="Допускается ввод только неотрицательных целых чисел!" sqref="AI894">
      <formula1>0</formula1>
      <formula2>9.99999999999999E+23</formula2>
    </dataValidation>
    <dataValidation type="whole" allowBlank="1" showErrorMessage="1" errorTitle="Ошибка" error="Допускается ввод только неотрицательных целых чисел!" sqref="AF894">
      <formula1>0</formula1>
      <formula2>9.99999999999999E+23</formula2>
    </dataValidation>
    <dataValidation type="textLength" operator="lessThanOrEqual" allowBlank="1" showInputMessage="1" showErrorMessage="1" errorTitle="Ошибка" error="Допускается ввод не более 900 символов!" sqref="K8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4">
      <formula1>"a"</formula1>
    </dataValidation>
    <dataValidation type="whole" allowBlank="1" showErrorMessage="1" errorTitle="Ошибка" error="Допускается ввод только неотрицательных целых чисел!" sqref="AI892">
      <formula1>0</formula1>
      <formula2>9.99999999999999E+23</formula2>
    </dataValidation>
    <dataValidation type="whole" allowBlank="1" showErrorMessage="1" errorTitle="Ошибка" error="Допускается ввод только неотрицательных целых чисел!" sqref="AF892">
      <formula1>0</formula1>
      <formula2>9.99999999999999E+23</formula2>
    </dataValidation>
    <dataValidation type="decimal" allowBlank="1" showErrorMessage="1" errorTitle="Ошибка" error="Допускается ввод только неотрицательных чисел!" sqref="AE892">
      <formula1>0</formula1>
      <formula2>9.99999999999999E+23</formula2>
    </dataValidation>
    <dataValidation type="decimal" allowBlank="1" showErrorMessage="1" errorTitle="Ошибка" error="Допускается ввод только неотрицательных чисел!" sqref="AC892">
      <formula1>0</formula1>
      <formula2>9.99999999999999E+23</formula2>
    </dataValidation>
    <dataValidation type="textLength" operator="lessThanOrEqual" allowBlank="1" showInputMessage="1" showErrorMessage="1" errorTitle="Ошибка" error="Допускается ввод не более 900 символов!" sqref="K8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2">
      <formula1>"a"</formula1>
    </dataValidation>
    <dataValidation type="whole" allowBlank="1" showErrorMessage="1" errorTitle="Ошибка" error="Допускается ввод только неотрицательных целых чисел!" sqref="AI891">
      <formula1>0</formula1>
      <formula2>9.99999999999999E+23</formula2>
    </dataValidation>
    <dataValidation type="whole" allowBlank="1" showErrorMessage="1" errorTitle="Ошибка" error="Допускается ввод только неотрицательных целых чисел!" sqref="AF891">
      <formula1>0</formula1>
      <formula2>9.99999999999999E+23</formula2>
    </dataValidation>
    <dataValidation type="textLength" operator="lessThanOrEqual" allowBlank="1" showInputMessage="1" showErrorMessage="1" errorTitle="Ошибка" error="Допускается ввод не более 900 символов!" sqref="K8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1">
      <formula1>"a"</formula1>
    </dataValidation>
    <dataValidation type="whole" allowBlank="1" showErrorMessage="1" errorTitle="Ошибка" error="Допускается ввод только неотрицательных целых чисел!" sqref="AI890">
      <formula1>0</formula1>
      <formula2>9.99999999999999E+23</formula2>
    </dataValidation>
    <dataValidation type="whole" allowBlank="1" showErrorMessage="1" errorTitle="Ошибка" error="Допускается ввод только неотрицательных целых чисел!" sqref="AF890">
      <formula1>0</formula1>
      <formula2>9.99999999999999E+23</formula2>
    </dataValidation>
    <dataValidation type="textLength" operator="lessThanOrEqual" allowBlank="1" showInputMessage="1" showErrorMessage="1" errorTitle="Ошибка" error="Допускается ввод не более 900 символов!" sqref="M890">
      <formula1>900</formula1>
    </dataValidation>
    <dataValidation type="textLength" operator="lessThanOrEqual" allowBlank="1" showInputMessage="1" showErrorMessage="1" errorTitle="Ошибка" error="Допускается ввод не более 900 символов!" sqref="K8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0">
      <formula1>"a"</formula1>
    </dataValidation>
    <dataValidation type="whole" allowBlank="1" showErrorMessage="1" errorTitle="Ошибка" error="Допускается ввод только неотрицательных целых чисел!" sqref="AI889">
      <formula1>0</formula1>
      <formula2>9.99999999999999E+23</formula2>
    </dataValidation>
    <dataValidation type="whole" allowBlank="1" showErrorMessage="1" errorTitle="Ошибка" error="Допускается ввод только неотрицательных целых чисел!" sqref="AF889">
      <formula1>0</formula1>
      <formula2>9.99999999999999E+23</formula2>
    </dataValidation>
    <dataValidation type="whole" allowBlank="1" showErrorMessage="1" errorTitle="Ошибка" error="Допускается ввод только неотрицательных целых чисел!" sqref="AI888">
      <formula1>0</formula1>
      <formula2>9.99999999999999E+23</formula2>
    </dataValidation>
    <dataValidation type="whole" allowBlank="1" showErrorMessage="1" errorTitle="Ошибка" error="Допускается ввод только неотрицательных целых чисел!" sqref="AF888">
      <formula1>0</formula1>
      <formula2>9.99999999999999E+23</formula2>
    </dataValidation>
    <dataValidation type="textLength" operator="lessThanOrEqual" allowBlank="1" showInputMessage="1" showErrorMessage="1" errorTitle="Ошибка" error="Допускается ввод не более 900 символов!" sqref="K8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8">
      <formula1>"a"</formula1>
    </dataValidation>
    <dataValidation type="whole" allowBlank="1" showErrorMessage="1" errorTitle="Ошибка" error="Допускается ввод только неотрицательных целых чисел!" sqref="AI886">
      <formula1>0</formula1>
      <formula2>9.99999999999999E+23</formula2>
    </dataValidation>
    <dataValidation type="whole" allowBlank="1" showErrorMessage="1" errorTitle="Ошибка" error="Допускается ввод только неотрицательных целых чисел!" sqref="AF886">
      <formula1>0</formula1>
      <formula2>9.99999999999999E+23</formula2>
    </dataValidation>
    <dataValidation type="decimal" allowBlank="1" showErrorMessage="1" errorTitle="Ошибка" error="Допускается ввод только неотрицательных чисел!" sqref="AE886">
      <formula1>0</formula1>
      <formula2>9.99999999999999E+23</formula2>
    </dataValidation>
    <dataValidation type="decimal" allowBlank="1" showErrorMessage="1" errorTitle="Ошибка" error="Допускается ввод только неотрицательных чисел!" sqref="AC886">
      <formula1>0</formula1>
      <formula2>9.99999999999999E+23</formula2>
    </dataValidation>
    <dataValidation type="textLength" operator="lessThanOrEqual" allowBlank="1" showInputMessage="1" showErrorMessage="1" errorTitle="Ошибка" error="Допускается ввод не более 900 символов!" sqref="K8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6">
      <formula1>"a"</formula1>
    </dataValidation>
    <dataValidation type="whole" allowBlank="1" showErrorMessage="1" errorTitle="Ошибка" error="Допускается ввод только неотрицательных целых чисел!" sqref="AI885">
      <formula1>0</formula1>
      <formula2>9.99999999999999E+23</formula2>
    </dataValidation>
    <dataValidation type="whole" allowBlank="1" showErrorMessage="1" errorTitle="Ошибка" error="Допускается ввод только неотрицательных целых чисел!" sqref="AF885">
      <formula1>0</formula1>
      <formula2>9.99999999999999E+23</formula2>
    </dataValidation>
    <dataValidation type="textLength" operator="lessThanOrEqual" allowBlank="1" showInputMessage="1" showErrorMessage="1" errorTitle="Ошибка" error="Допускается ввод не более 900 символов!" sqref="K8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5">
      <formula1>"a"</formula1>
    </dataValidation>
    <dataValidation type="whole" allowBlank="1" showErrorMessage="1" errorTitle="Ошибка" error="Допускается ввод только неотрицательных целых чисел!" sqref="AI884">
      <formula1>0</formula1>
      <formula2>9.99999999999999E+23</formula2>
    </dataValidation>
    <dataValidation type="whole" allowBlank="1" showErrorMessage="1" errorTitle="Ошибка" error="Допускается ввод только неотрицательных целых чисел!" sqref="AF884">
      <formula1>0</formula1>
      <formula2>9.99999999999999E+23</formula2>
    </dataValidation>
    <dataValidation type="textLength" operator="lessThanOrEqual" allowBlank="1" showInputMessage="1" showErrorMessage="1" errorTitle="Ошибка" error="Допускается ввод не более 900 символов!" sqref="M884">
      <formula1>900</formula1>
    </dataValidation>
    <dataValidation type="textLength" operator="lessThanOrEqual" allowBlank="1" showInputMessage="1" showErrorMessage="1" errorTitle="Ошибка" error="Допускается ввод не более 900 символов!" sqref="K8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4">
      <formula1>"a"</formula1>
    </dataValidation>
    <dataValidation type="whole" allowBlank="1" showErrorMessage="1" errorTitle="Ошибка" error="Допускается ввод только неотрицательных целых чисел!" sqref="AI883">
      <formula1>0</formula1>
      <formula2>9.99999999999999E+23</formula2>
    </dataValidation>
    <dataValidation type="whole" allowBlank="1" showErrorMessage="1" errorTitle="Ошибка" error="Допускается ввод только неотрицательных целых чисел!" sqref="AF883">
      <formula1>0</formula1>
      <formula2>9.99999999999999E+23</formula2>
    </dataValidation>
    <dataValidation type="whole" allowBlank="1" showErrorMessage="1" errorTitle="Ошибка" error="Допускается ввод только неотрицательных целых чисел!" sqref="AI882">
      <formula1>0</formula1>
      <formula2>9.99999999999999E+23</formula2>
    </dataValidation>
    <dataValidation type="whole" allowBlank="1" showErrorMessage="1" errorTitle="Ошибка" error="Допускается ввод только неотрицательных целых чисел!" sqref="AF882">
      <formula1>0</formula1>
      <formula2>9.99999999999999E+23</formula2>
    </dataValidation>
    <dataValidation type="textLength" operator="lessThanOrEqual" allowBlank="1" showInputMessage="1" showErrorMessage="1" errorTitle="Ошибка" error="Допускается ввод не более 900 символов!" sqref="K8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2">
      <formula1>"a"</formula1>
    </dataValidation>
    <dataValidation type="whole" allowBlank="1" showErrorMessage="1" errorTitle="Ошибка" error="Допускается ввод только неотрицательных целых чисел!" sqref="AI880">
      <formula1>0</formula1>
      <formula2>9.99999999999999E+23</formula2>
    </dataValidation>
    <dataValidation type="whole" allowBlank="1" showErrorMessage="1" errorTitle="Ошибка" error="Допускается ввод только неотрицательных целых чисел!" sqref="AF880">
      <formula1>0</formula1>
      <formula2>9.99999999999999E+23</formula2>
    </dataValidation>
    <dataValidation type="decimal" allowBlank="1" showErrorMessage="1" errorTitle="Ошибка" error="Допускается ввод только неотрицательных чисел!" sqref="AE880">
      <formula1>0</formula1>
      <formula2>9.99999999999999E+23</formula2>
    </dataValidation>
    <dataValidation type="decimal" allowBlank="1" showErrorMessage="1" errorTitle="Ошибка" error="Допускается ввод только неотрицательных чисел!" sqref="AC880">
      <formula1>0</formula1>
      <formula2>9.99999999999999E+23</formula2>
    </dataValidation>
    <dataValidation type="textLength" operator="lessThanOrEqual" allowBlank="1" showInputMessage="1" showErrorMessage="1" errorTitle="Ошибка" error="Допускается ввод не более 900 символов!" sqref="K8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0">
      <formula1>"a"</formula1>
    </dataValidation>
    <dataValidation type="whole" allowBlank="1" showErrorMessage="1" errorTitle="Ошибка" error="Допускается ввод только неотрицательных целых чисел!" sqref="AI879">
      <formula1>0</formula1>
      <formula2>9.99999999999999E+23</formula2>
    </dataValidation>
    <dataValidation type="whole" allowBlank="1" showErrorMessage="1" errorTitle="Ошибка" error="Допускается ввод только неотрицательных целых чисел!" sqref="AF879">
      <formula1>0</formula1>
      <formula2>9.99999999999999E+23</formula2>
    </dataValidation>
    <dataValidation type="textLength" operator="lessThanOrEqual" allowBlank="1" showInputMessage="1" showErrorMessage="1" errorTitle="Ошибка" error="Допускается ввод не более 900 символов!" sqref="K8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9">
      <formula1>"a"</formula1>
    </dataValidation>
    <dataValidation type="whole" allowBlank="1" showErrorMessage="1" errorTitle="Ошибка" error="Допускается ввод только неотрицательных целых чисел!" sqref="AI878">
      <formula1>0</formula1>
      <formula2>9.99999999999999E+23</formula2>
    </dataValidation>
    <dataValidation type="whole" allowBlank="1" showErrorMessage="1" errorTitle="Ошибка" error="Допускается ввод только неотрицательных целых чисел!" sqref="AF878">
      <formula1>0</formula1>
      <formula2>9.99999999999999E+23</formula2>
    </dataValidation>
    <dataValidation type="textLength" operator="lessThanOrEqual" allowBlank="1" showInputMessage="1" showErrorMessage="1" errorTitle="Ошибка" error="Допускается ввод не более 900 символов!" sqref="M878">
      <formula1>900</formula1>
    </dataValidation>
    <dataValidation type="textLength" operator="lessThanOrEqual" allowBlank="1" showInputMessage="1" showErrorMessage="1" errorTitle="Ошибка" error="Допускается ввод не более 900 символов!" sqref="K8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8">
      <formula1>"a"</formula1>
    </dataValidation>
    <dataValidation type="whole" allowBlank="1" showErrorMessage="1" errorTitle="Ошибка" error="Допускается ввод только неотрицательных целых чисел!" sqref="AI877">
      <formula1>0</formula1>
      <formula2>9.99999999999999E+23</formula2>
    </dataValidation>
    <dataValidation type="whole" allowBlank="1" showErrorMessage="1" errorTitle="Ошибка" error="Допускается ввод только неотрицательных целых чисел!" sqref="AF877">
      <formula1>0</formula1>
      <formula2>9.99999999999999E+23</formula2>
    </dataValidation>
    <dataValidation type="whole" allowBlank="1" showErrorMessage="1" errorTitle="Ошибка" error="Допускается ввод только неотрицательных целых чисел!" sqref="AI876">
      <formula1>0</formula1>
      <formula2>9.99999999999999E+23</formula2>
    </dataValidation>
    <dataValidation type="whole" allowBlank="1" showErrorMessage="1" errorTitle="Ошибка" error="Допускается ввод только неотрицательных целых чисел!" sqref="AF876">
      <formula1>0</formula1>
      <formula2>9.99999999999999E+23</formula2>
    </dataValidation>
    <dataValidation type="textLength" operator="lessThanOrEqual" allowBlank="1" showInputMessage="1" showErrorMessage="1" errorTitle="Ошибка" error="Допускается ввод не более 900 символов!" sqref="K8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6">
      <formula1>"a"</formula1>
    </dataValidation>
    <dataValidation type="whole" allowBlank="1" showErrorMessage="1" errorTitle="Ошибка" error="Допускается ввод только неотрицательных целых чисел!" sqref="AI874">
      <formula1>0</formula1>
      <formula2>9.99999999999999E+23</formula2>
    </dataValidation>
    <dataValidation type="whole" allowBlank="1" showErrorMessage="1" errorTitle="Ошибка" error="Допускается ввод только неотрицательных целых чисел!" sqref="AF874">
      <formula1>0</formula1>
      <formula2>9.99999999999999E+23</formula2>
    </dataValidation>
    <dataValidation type="decimal" allowBlank="1" showErrorMessage="1" errorTitle="Ошибка" error="Допускается ввод только неотрицательных чисел!" sqref="AE874">
      <formula1>0</formula1>
      <formula2>9.99999999999999E+23</formula2>
    </dataValidation>
    <dataValidation type="decimal" allowBlank="1" showErrorMessage="1" errorTitle="Ошибка" error="Допускается ввод только неотрицательных чисел!" sqref="AC874">
      <formula1>0</formula1>
      <formula2>9.99999999999999E+23</formula2>
    </dataValidation>
    <dataValidation type="textLength" operator="lessThanOrEqual" allowBlank="1" showInputMessage="1" showErrorMessage="1" errorTitle="Ошибка" error="Допускается ввод не более 900 символов!" sqref="K8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4">
      <formula1>"a"</formula1>
    </dataValidation>
    <dataValidation type="whole" allowBlank="1" showErrorMessage="1" errorTitle="Ошибка" error="Допускается ввод только неотрицательных целых чисел!" sqref="AI873">
      <formula1>0</formula1>
      <formula2>9.99999999999999E+23</formula2>
    </dataValidation>
    <dataValidation type="whole" allowBlank="1" showErrorMessage="1" errorTitle="Ошибка" error="Допускается ввод только неотрицательных целых чисел!" sqref="AF873">
      <formula1>0</formula1>
      <formula2>9.99999999999999E+23</formula2>
    </dataValidation>
    <dataValidation type="textLength" operator="lessThanOrEqual" allowBlank="1" showInputMessage="1" showErrorMessage="1" errorTitle="Ошибка" error="Допускается ввод не более 900 символов!" sqref="K8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3">
      <formula1>"a"</formula1>
    </dataValidation>
    <dataValidation type="whole" allowBlank="1" showErrorMessage="1" errorTitle="Ошибка" error="Допускается ввод только неотрицательных целых чисел!" sqref="AI872">
      <formula1>0</formula1>
      <formula2>9.99999999999999E+23</formula2>
    </dataValidation>
    <dataValidation type="whole" allowBlank="1" showErrorMessage="1" errorTitle="Ошибка" error="Допускается ввод только неотрицательных целых чисел!" sqref="AF872">
      <formula1>0</formula1>
      <formula2>9.99999999999999E+23</formula2>
    </dataValidation>
    <dataValidation type="textLength" operator="lessThanOrEqual" allowBlank="1" showInputMessage="1" showErrorMessage="1" errorTitle="Ошибка" error="Допускается ввод не более 900 символов!" sqref="M872">
      <formula1>900</formula1>
    </dataValidation>
    <dataValidation type="textLength" operator="lessThanOrEqual" allowBlank="1" showInputMessage="1" showErrorMessage="1" errorTitle="Ошибка" error="Допускается ввод не более 900 символов!" sqref="K8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2">
      <formula1>"a"</formula1>
    </dataValidation>
    <dataValidation type="whole" allowBlank="1" showErrorMessage="1" errorTitle="Ошибка" error="Допускается ввод только неотрицательных целых чисел!" sqref="AI871">
      <formula1>0</formula1>
      <formula2>9.99999999999999E+23</formula2>
    </dataValidation>
    <dataValidation type="whole" allowBlank="1" showErrorMessage="1" errorTitle="Ошибка" error="Допускается ввод только неотрицательных целых чисел!" sqref="AF871">
      <formula1>0</formula1>
      <formula2>9.99999999999999E+23</formula2>
    </dataValidation>
    <dataValidation type="whole" allowBlank="1" showErrorMessage="1" errorTitle="Ошибка" error="Допускается ввод только неотрицательных целых чисел!" sqref="AI870">
      <formula1>0</formula1>
      <formula2>9.99999999999999E+23</formula2>
    </dataValidation>
    <dataValidation type="whole" allowBlank="1" showErrorMessage="1" errorTitle="Ошибка" error="Допускается ввод только неотрицательных целых чисел!" sqref="AF870">
      <formula1>0</formula1>
      <formula2>9.99999999999999E+23</formula2>
    </dataValidation>
    <dataValidation type="textLength" operator="lessThanOrEqual" allowBlank="1" showInputMessage="1" showErrorMessage="1" errorTitle="Ошибка" error="Допускается ввод не более 900 символов!" sqref="K8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0">
      <formula1>"a"</formula1>
    </dataValidation>
    <dataValidation type="whole" allowBlank="1" showErrorMessage="1" errorTitle="Ошибка" error="Допускается ввод только неотрицательных целых чисел!" sqref="AI868">
      <formula1>0</formula1>
      <formula2>9.99999999999999E+23</formula2>
    </dataValidation>
    <dataValidation type="whole" allowBlank="1" showErrorMessage="1" errorTitle="Ошибка" error="Допускается ввод только неотрицательных целых чисел!" sqref="AF868">
      <formula1>0</formula1>
      <formula2>9.99999999999999E+23</formula2>
    </dataValidation>
    <dataValidation type="decimal" allowBlank="1" showErrorMessage="1" errorTitle="Ошибка" error="Допускается ввод только неотрицательных чисел!" sqref="AE868">
      <formula1>0</formula1>
      <formula2>9.99999999999999E+23</formula2>
    </dataValidation>
    <dataValidation type="decimal" allowBlank="1" showErrorMessage="1" errorTitle="Ошибка" error="Допускается ввод только неотрицательных чисел!" sqref="AC868">
      <formula1>0</formula1>
      <formula2>9.99999999999999E+23</formula2>
    </dataValidation>
    <dataValidation type="textLength" operator="lessThanOrEqual" allowBlank="1" showInputMessage="1" showErrorMessage="1" errorTitle="Ошибка" error="Допускается ввод не более 900 символов!" sqref="K8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8">
      <formula1>"a"</formula1>
    </dataValidation>
    <dataValidation type="whole" allowBlank="1" showErrorMessage="1" errorTitle="Ошибка" error="Допускается ввод только неотрицательных целых чисел!" sqref="AI867">
      <formula1>0</formula1>
      <formula2>9.99999999999999E+23</formula2>
    </dataValidation>
    <dataValidation type="whole" allowBlank="1" showErrorMessage="1" errorTitle="Ошибка" error="Допускается ввод только неотрицательных целых чисел!" sqref="AF867">
      <formula1>0</formula1>
      <formula2>9.99999999999999E+23</formula2>
    </dataValidation>
    <dataValidation type="textLength" operator="lessThanOrEqual" allowBlank="1" showInputMessage="1" showErrorMessage="1" errorTitle="Ошибка" error="Допускается ввод не более 900 символов!" sqref="K8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7">
      <formula1>"a"</formula1>
    </dataValidation>
    <dataValidation type="whole" allowBlank="1" showErrorMessage="1" errorTitle="Ошибка" error="Допускается ввод только неотрицательных целых чисел!" sqref="AI866">
      <formula1>0</formula1>
      <formula2>9.99999999999999E+23</formula2>
    </dataValidation>
    <dataValidation type="whole" allowBlank="1" showErrorMessage="1" errorTitle="Ошибка" error="Допускается ввод только неотрицательных целых чисел!" sqref="AF866">
      <formula1>0</formula1>
      <formula2>9.99999999999999E+23</formula2>
    </dataValidation>
    <dataValidation type="textLength" operator="lessThanOrEqual" allowBlank="1" showInputMessage="1" showErrorMessage="1" errorTitle="Ошибка" error="Допускается ввод не более 900 символов!" sqref="M866">
      <formula1>900</formula1>
    </dataValidation>
    <dataValidation type="textLength" operator="lessThanOrEqual" allowBlank="1" showInputMessage="1" showErrorMessage="1" errorTitle="Ошибка" error="Допускается ввод не более 900 символов!" sqref="K8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6">
      <formula1>"a"</formula1>
    </dataValidation>
    <dataValidation type="whole" allowBlank="1" showErrorMessage="1" errorTitle="Ошибка" error="Допускается ввод только неотрицательных целых чисел!" sqref="AI865">
      <formula1>0</formula1>
      <formula2>9.99999999999999E+23</formula2>
    </dataValidation>
    <dataValidation type="whole" allowBlank="1" showErrorMessage="1" errorTitle="Ошибка" error="Допускается ввод только неотрицательных целых чисел!" sqref="AF865">
      <formula1>0</formula1>
      <formula2>9.99999999999999E+23</formula2>
    </dataValidation>
    <dataValidation type="whole" allowBlank="1" showErrorMessage="1" errorTitle="Ошибка" error="Допускается ввод только неотрицательных целых чисел!" sqref="AI864">
      <formula1>0</formula1>
      <formula2>9.99999999999999E+23</formula2>
    </dataValidation>
    <dataValidation type="whole" allowBlank="1" showErrorMessage="1" errorTitle="Ошибка" error="Допускается ввод только неотрицательных целых чисел!" sqref="AF864">
      <formula1>0</formula1>
      <formula2>9.99999999999999E+23</formula2>
    </dataValidation>
    <dataValidation type="textLength" operator="lessThanOrEqual" allowBlank="1" showInputMessage="1" showErrorMessage="1" errorTitle="Ошибка" error="Допускается ввод не более 900 символов!" sqref="K8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4">
      <formula1>"a"</formula1>
    </dataValidation>
    <dataValidation type="whole" allowBlank="1" showErrorMessage="1" errorTitle="Ошибка" error="Допускается ввод только неотрицательных целых чисел!" sqref="AI862">
      <formula1>0</formula1>
      <formula2>9.99999999999999E+23</formula2>
    </dataValidation>
    <dataValidation type="whole" allowBlank="1" showErrorMessage="1" errorTitle="Ошибка" error="Допускается ввод только неотрицательных целых чисел!" sqref="AF862">
      <formula1>0</formula1>
      <formula2>9.99999999999999E+23</formula2>
    </dataValidation>
    <dataValidation type="decimal" allowBlank="1" showErrorMessage="1" errorTitle="Ошибка" error="Допускается ввод только неотрицательных чисел!" sqref="AE862">
      <formula1>0</formula1>
      <formula2>9.99999999999999E+23</formula2>
    </dataValidation>
    <dataValidation type="decimal" allowBlank="1" showErrorMessage="1" errorTitle="Ошибка" error="Допускается ввод только неотрицательных чисел!" sqref="AC862">
      <formula1>0</formula1>
      <formula2>9.99999999999999E+23</formula2>
    </dataValidation>
    <dataValidation type="textLength" operator="lessThanOrEqual" allowBlank="1" showInputMessage="1" showErrorMessage="1" errorTitle="Ошибка" error="Допускается ввод не более 900 символов!" sqref="K8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2">
      <formula1>"a"</formula1>
    </dataValidation>
    <dataValidation type="whole" allowBlank="1" showErrorMessage="1" errorTitle="Ошибка" error="Допускается ввод только неотрицательных целых чисел!" sqref="AI861">
      <formula1>0</formula1>
      <formula2>9.99999999999999E+23</formula2>
    </dataValidation>
    <dataValidation type="whole" allowBlank="1" showErrorMessage="1" errorTitle="Ошибка" error="Допускается ввод только неотрицательных целых чисел!" sqref="AF861">
      <formula1>0</formula1>
      <formula2>9.99999999999999E+23</formula2>
    </dataValidation>
    <dataValidation type="textLength" operator="lessThanOrEqual" allowBlank="1" showInputMessage="1" showErrorMessage="1" errorTitle="Ошибка" error="Допускается ввод не более 900 символов!" sqref="K8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1">
      <formula1>"a"</formula1>
    </dataValidation>
    <dataValidation type="whole" allowBlank="1" showErrorMessage="1" errorTitle="Ошибка" error="Допускается ввод только неотрицательных целых чисел!" sqref="AI860">
      <formula1>0</formula1>
      <formula2>9.99999999999999E+23</formula2>
    </dataValidation>
    <dataValidation type="whole" allowBlank="1" showErrorMessage="1" errorTitle="Ошибка" error="Допускается ввод только неотрицательных целых чисел!" sqref="AF860">
      <formula1>0</formula1>
      <formula2>9.99999999999999E+23</formula2>
    </dataValidation>
    <dataValidation type="textLength" operator="lessThanOrEqual" allowBlank="1" showInputMessage="1" showErrorMessage="1" errorTitle="Ошибка" error="Допускается ввод не более 900 символов!" sqref="M860">
      <formula1>900</formula1>
    </dataValidation>
    <dataValidation type="textLength" operator="lessThanOrEqual" allowBlank="1" showInputMessage="1" showErrorMessage="1" errorTitle="Ошибка" error="Допускается ввод не более 900 символов!" sqref="K8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0">
      <formula1>"a"</formula1>
    </dataValidation>
    <dataValidation type="whole" allowBlank="1" showErrorMessage="1" errorTitle="Ошибка" error="Допускается ввод только неотрицательных целых чисел!" sqref="AI853">
      <formula1>0</formula1>
      <formula2>9.99999999999999E+23</formula2>
    </dataValidation>
    <dataValidation type="whole" allowBlank="1" showErrorMessage="1" errorTitle="Ошибка" error="Допускается ввод только неотрицательных целых чисел!" sqref="AF853">
      <formula1>0</formula1>
      <formula2>9.99999999999999E+23</formula2>
    </dataValidation>
    <dataValidation type="whole" allowBlank="1" showErrorMessage="1" errorTitle="Ошибка" error="Допускается ввод только неотрицательных целых чисел!" sqref="AI852">
      <formula1>0</formula1>
      <formula2>9.99999999999999E+23</formula2>
    </dataValidation>
    <dataValidation type="whole" allowBlank="1" showErrorMessage="1" errorTitle="Ошибка" error="Допускается ввод только неотрицательных целых чисел!" sqref="AF852">
      <formula1>0</formula1>
      <formula2>9.99999999999999E+23</formula2>
    </dataValidation>
    <dataValidation type="textLength" operator="lessThanOrEqual" allowBlank="1" showInputMessage="1" showErrorMessage="1" errorTitle="Ошибка" error="Допускается ввод не более 900 символов!" sqref="K8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2">
      <formula1>"a"</formula1>
    </dataValidation>
    <dataValidation type="whole" allowBlank="1" showErrorMessage="1" errorTitle="Ошибка" error="Допускается ввод только неотрицательных целых чисел!" sqref="AI851">
      <formula1>0</formula1>
      <formula2>9.99999999999999E+23</formula2>
    </dataValidation>
    <dataValidation type="whole" allowBlank="1" showErrorMessage="1" errorTitle="Ошибка" error="Допускается ввод только неотрицательных целых чисел!" sqref="AF851">
      <formula1>0</formula1>
      <formula2>9.99999999999999E+23</formula2>
    </dataValidation>
    <dataValidation type="decimal" allowBlank="1" showErrorMessage="1" errorTitle="Ошибка" error="Допускается ввод только неотрицательных чисел!" sqref="AE851">
      <formula1>0</formula1>
      <formula2>9.99999999999999E+23</formula2>
    </dataValidation>
    <dataValidation type="decimal" allowBlank="1" showErrorMessage="1" errorTitle="Ошибка" error="Допускается ввод только неотрицательных чисел!" sqref="AC851">
      <formula1>0</formula1>
      <formula2>9.99999999999999E+23</formula2>
    </dataValidation>
    <dataValidation type="textLength" operator="lessThanOrEqual" allowBlank="1" showInputMessage="1" showErrorMessage="1" errorTitle="Ошибка" error="Допускается ввод не более 900 символов!" sqref="K8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1">
      <formula1>"a"</formula1>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textLength" operator="lessThanOrEqual" allowBlank="1" showInputMessage="1" showErrorMessage="1" errorTitle="Ошибка" error="Допускается ввод не более 900 символов!" sqref="K8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0">
      <formula1>"a"</formula1>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textLength" operator="lessThanOrEqual" allowBlank="1" showInputMessage="1" showErrorMessage="1" errorTitle="Ошибка" error="Допускается ввод не более 900 символов!" sqref="M849">
      <formula1>900</formula1>
    </dataValidation>
    <dataValidation type="textLength" operator="lessThanOrEqual" allowBlank="1" showInputMessage="1" showErrorMessage="1" errorTitle="Ошибка" error="Допускается ввод не более 900 символов!" sqref="K8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9">
      <formula1>"a"</formula1>
    </dataValidation>
    <dataValidation type="whole" allowBlank="1" showErrorMessage="1" errorTitle="Ошибка" error="Допускается ввод только неотрицательных целых чисел!" sqref="AI848">
      <formula1>0</formula1>
      <formula2>9.99999999999999E+23</formula2>
    </dataValidation>
    <dataValidation type="whole" allowBlank="1" showErrorMessage="1" errorTitle="Ошибка" error="Допускается ввод только неотрицательных целых чисел!" sqref="AF848">
      <formula1>0</formula1>
      <formula2>9.99999999999999E+23</formula2>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textLength" operator="lessThanOrEqual" allowBlank="1" showInputMessage="1" showErrorMessage="1" errorTitle="Ошибка" error="Допускается ввод не более 900 символов!" sqref="K8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7">
      <formula1>"a"</formula1>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decimal" allowBlank="1" showErrorMessage="1" errorTitle="Ошибка" error="Допускается ввод только неотрицательных чисел!" sqref="AE846">
      <formula1>0</formula1>
      <formula2>9.99999999999999E+23</formula2>
    </dataValidation>
    <dataValidation type="decimal" allowBlank="1" showErrorMessage="1" errorTitle="Ошибка" error="Допускается ввод только неотрицательных чисел!" sqref="AC846">
      <formula1>0</formula1>
      <formula2>9.99999999999999E+23</formula2>
    </dataValidation>
    <dataValidation type="textLength" operator="lessThanOrEqual" allowBlank="1" showInputMessage="1" showErrorMessage="1" errorTitle="Ошибка" error="Допускается ввод не более 900 символов!" sqref="K8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6">
      <formula1>"a"</formula1>
    </dataValidation>
    <dataValidation type="whole" allowBlank="1" showErrorMessage="1" errorTitle="Ошибка" error="Допускается ввод только неотрицательных целых чисел!" sqref="AI845">
      <formula1>0</formula1>
      <formula2>9.99999999999999E+23</formula2>
    </dataValidation>
    <dataValidation type="whole" allowBlank="1" showErrorMessage="1" errorTitle="Ошибка" error="Допускается ввод только неотрицательных целых чисел!" sqref="AF845">
      <formula1>0</formula1>
      <formula2>9.99999999999999E+23</formula2>
    </dataValidation>
    <dataValidation type="textLength" operator="lessThanOrEqual" allowBlank="1" showInputMessage="1" showErrorMessage="1" errorTitle="Ошибка" error="Допускается ввод не более 900 символов!" sqref="K8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5">
      <formula1>"a"</formula1>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textLength" operator="lessThanOrEqual" allowBlank="1" showInputMessage="1" showErrorMessage="1" errorTitle="Ошибка" error="Допускается ввод не более 900 символов!" sqref="M844">
      <formula1>900</formula1>
    </dataValidation>
    <dataValidation type="textLength" operator="lessThanOrEqual" allowBlank="1" showInputMessage="1" showErrorMessage="1" errorTitle="Ошибка" error="Допускается ввод не более 900 символов!" sqref="K8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4">
      <formula1>"a"</formula1>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textLength" operator="lessThanOrEqual" allowBlank="1" showInputMessage="1" showErrorMessage="1" errorTitle="Ошибка" error="Допускается ввод не более 900 символов!" sqref="K8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2">
      <formula1>"a"</formula1>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decimal" allowBlank="1" showErrorMessage="1" errorTitle="Ошибка" error="Допускается ввод только неотрицательных чисел!" sqref="AE841">
      <formula1>0</formula1>
      <formula2>9.99999999999999E+23</formula2>
    </dataValidation>
    <dataValidation type="decimal" allowBlank="1" showErrorMessage="1" errorTitle="Ошибка" error="Допускается ввод только неотрицательных чисел!" sqref="AC841">
      <formula1>0</formula1>
      <formula2>9.99999999999999E+23</formula2>
    </dataValidation>
    <dataValidation type="textLength" operator="lessThanOrEqual" allowBlank="1" showInputMessage="1" showErrorMessage="1" errorTitle="Ошибка" error="Допускается ввод не более 900 символов!" sqref="K8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1">
      <formula1>"a"</formula1>
    </dataValidation>
    <dataValidation type="whole" allowBlank="1" showErrorMessage="1" errorTitle="Ошибка" error="Допускается ввод только неотрицательных целых чисел!" sqref="AI840">
      <formula1>0</formula1>
      <formula2>9.99999999999999E+23</formula2>
    </dataValidation>
    <dataValidation type="whole" allowBlank="1" showErrorMessage="1" errorTitle="Ошибка" error="Допускается ввод только неотрицательных целых чисел!" sqref="AF840">
      <formula1>0</formula1>
      <formula2>9.99999999999999E+23</formula2>
    </dataValidation>
    <dataValidation type="textLength" operator="lessThanOrEqual" allowBlank="1" showInputMessage="1" showErrorMessage="1" errorTitle="Ошибка" error="Допускается ввод не более 900 символов!" sqref="K8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0">
      <formula1>"a"</formula1>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textLength" operator="lessThanOrEqual" allowBlank="1" showInputMessage="1" showErrorMessage="1" errorTitle="Ошибка" error="Допускается ввод не более 900 символов!" sqref="M839">
      <formula1>900</formula1>
    </dataValidation>
    <dataValidation type="textLength" operator="lessThanOrEqual" allowBlank="1" showInputMessage="1" showErrorMessage="1" errorTitle="Ошибка" error="Допускается ввод не более 900 символов!" sqref="K8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9">
      <formula1>"a"</formula1>
    </dataValidation>
    <dataValidation type="whole" allowBlank="1" showErrorMessage="1" errorTitle="Ошибка" error="Допускается ввод только неотрицательных целых чисел!" sqref="AI838">
      <formula1>0</formula1>
      <formula2>9.99999999999999E+23</formula2>
    </dataValidation>
    <dataValidation type="whole" allowBlank="1" showErrorMessage="1" errorTitle="Ошибка" error="Допускается ввод только неотрицательных целых чисел!" sqref="AF838">
      <formula1>0</formula1>
      <formula2>9.99999999999999E+23</formula2>
    </dataValidation>
    <dataValidation type="whole" allowBlank="1" showErrorMessage="1" errorTitle="Ошибка" error="Допускается ввод только неотрицательных целых чисел!" sqref="AI837">
      <formula1>0</formula1>
      <formula2>9.99999999999999E+23</formula2>
    </dataValidation>
    <dataValidation type="whole" allowBlank="1" showErrorMessage="1" errorTitle="Ошибка" error="Допускается ввод только неотрицательных целых чисел!" sqref="AF837">
      <formula1>0</formula1>
      <formula2>9.99999999999999E+23</formula2>
    </dataValidation>
    <dataValidation type="textLength" operator="lessThanOrEqual" allowBlank="1" showInputMessage="1" showErrorMessage="1" errorTitle="Ошибка" error="Допускается ввод не более 900 символов!" sqref="K8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7">
      <formula1>"a"</formula1>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decimal" allowBlank="1" showErrorMessage="1" errorTitle="Ошибка" error="Допускается ввод только неотрицательных чисел!" sqref="AE836">
      <formula1>0</formula1>
      <formula2>9.99999999999999E+23</formula2>
    </dataValidation>
    <dataValidation type="decimal" allowBlank="1" showErrorMessage="1" errorTitle="Ошибка" error="Допускается ввод только неотрицательных чисел!" sqref="AC836">
      <formula1>0</formula1>
      <formula2>9.99999999999999E+23</formula2>
    </dataValidation>
    <dataValidation type="textLength" operator="lessThanOrEqual" allowBlank="1" showInputMessage="1" showErrorMessage="1" errorTitle="Ошибка" error="Допускается ввод не более 900 символов!" sqref="K8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6">
      <formula1>"a"</formula1>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textLength" operator="lessThanOrEqual" allowBlank="1" showInputMessage="1" showErrorMessage="1" errorTitle="Ошибка" error="Допускается ввод не более 900 символов!" sqref="K8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textLength" operator="lessThanOrEqual" allowBlank="1" showInputMessage="1" showErrorMessage="1" errorTitle="Ошибка" error="Допускается ввод не более 900 символов!" sqref="M834">
      <formula1>900</formula1>
    </dataValidation>
    <dataValidation type="textLength" operator="lessThanOrEqual" allowBlank="1" showInputMessage="1" showErrorMessage="1" errorTitle="Ошибка" error="Допускается ввод не более 900 символов!" sqref="K8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4">
      <formula1>"a"</formula1>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textLength" operator="lessThanOrEqual" allowBlank="1" showInputMessage="1" showErrorMessage="1" errorTitle="Ошибка" error="Допускается ввод не более 900 символов!" sqref="K8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2">
      <formula1>"a"</formula1>
    </dataValidation>
    <dataValidation type="whole" allowBlank="1" showErrorMessage="1" errorTitle="Ошибка" error="Допускается ввод только неотрицательных целых чисел!" sqref="AI831">
      <formula1>0</formula1>
      <formula2>9.99999999999999E+23</formula2>
    </dataValidation>
    <dataValidation type="whole" allowBlank="1" showErrorMessage="1" errorTitle="Ошибка" error="Допускается ввод только неотрицательных целых чисел!" sqref="AF831">
      <formula1>0</formula1>
      <formula2>9.99999999999999E+23</formula2>
    </dataValidation>
    <dataValidation type="decimal" allowBlank="1" showErrorMessage="1" errorTitle="Ошибка" error="Допускается ввод только неотрицательных чисел!" sqref="AE831">
      <formula1>0</formula1>
      <formula2>9.99999999999999E+23</formula2>
    </dataValidation>
    <dataValidation type="decimal" allowBlank="1" showErrorMessage="1" errorTitle="Ошибка" error="Допускается ввод только неотрицательных чисел!" sqref="AC831">
      <formula1>0</formula1>
      <formula2>9.99999999999999E+23</formula2>
    </dataValidation>
    <dataValidation type="textLength" operator="lessThanOrEqual" allowBlank="1" showInputMessage="1" showErrorMessage="1" errorTitle="Ошибка" error="Допускается ввод не более 900 символов!" sqref="K8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1">
      <formula1>"a"</formula1>
    </dataValidation>
    <dataValidation type="whole" allowBlank="1" showErrorMessage="1" errorTitle="Ошибка" error="Допускается ввод только неотрицательных целых чисел!" sqref="AI830">
      <formula1>0</formula1>
      <formula2>9.99999999999999E+23</formula2>
    </dataValidation>
    <dataValidation type="whole" allowBlank="1" showErrorMessage="1" errorTitle="Ошибка" error="Допускается ввод только неотрицательных целых чисел!" sqref="AF830">
      <formula1>0</formula1>
      <formula2>9.99999999999999E+23</formula2>
    </dataValidation>
    <dataValidation type="textLength" operator="lessThanOrEqual" allowBlank="1" showInputMessage="1" showErrorMessage="1" errorTitle="Ошибка" error="Допускается ввод не более 900 символов!" sqref="K8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0">
      <formula1>"a"</formula1>
    </dataValidation>
    <dataValidation type="whole" allowBlank="1" showErrorMessage="1" errorTitle="Ошибка" error="Допускается ввод только неотрицательных целых чисел!" sqref="AI829">
      <formula1>0</formula1>
      <formula2>9.99999999999999E+23</formula2>
    </dataValidation>
    <dataValidation type="whole" allowBlank="1" showErrorMessage="1" errorTitle="Ошибка" error="Допускается ввод только неотрицательных целых чисел!" sqref="AF829">
      <formula1>0</formula1>
      <formula2>9.99999999999999E+23</formula2>
    </dataValidation>
    <dataValidation type="textLength" operator="lessThanOrEqual" allowBlank="1" showInputMessage="1" showErrorMessage="1" errorTitle="Ошибка" error="Допускается ввод не более 900 символов!" sqref="M829">
      <formula1>900</formula1>
    </dataValidation>
    <dataValidation type="textLength" operator="lessThanOrEqual" allowBlank="1" showInputMessage="1" showErrorMessage="1" errorTitle="Ошибка" error="Допускается ввод не более 900 символов!" sqref="K8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9">
      <formula1>"a"</formula1>
    </dataValidation>
    <dataValidation type="whole" allowBlank="1" showErrorMessage="1" errorTitle="Ошибка" error="Допускается ввод только неотрицательных целых чисел!" sqref="AI822">
      <formula1>0</formula1>
      <formula2>9.99999999999999E+23</formula2>
    </dataValidation>
    <dataValidation type="whole" allowBlank="1" showErrorMessage="1" errorTitle="Ошибка" error="Допускается ввод только неотрицательных целых чисел!" sqref="AF822">
      <formula1>0</formula1>
      <formula2>9.99999999999999E+23</formula2>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textLength" operator="lessThanOrEqual" allowBlank="1" showInputMessage="1" showErrorMessage="1" errorTitle="Ошибка" error="Допускается ввод не более 900 символов!" sqref="K8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1">
      <formula1>"a"</formula1>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decimal" allowBlank="1" showErrorMessage="1" errorTitle="Ошибка" error="Допускается ввод только неотрицательных чисел!" sqref="AE820">
      <formula1>0</formula1>
      <formula2>9.99999999999999E+23</formula2>
    </dataValidation>
    <dataValidation type="decimal" allowBlank="1" showErrorMessage="1" errorTitle="Ошибка" error="Допускается ввод только неотрицательных чисел!" sqref="AC820">
      <formula1>0</formula1>
      <formula2>9.99999999999999E+23</formula2>
    </dataValidation>
    <dataValidation type="textLength" operator="lessThanOrEqual" allowBlank="1" showInputMessage="1" showErrorMessage="1" errorTitle="Ошибка" error="Допускается ввод не более 900 символов!" sqref="K8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0">
      <formula1>"a"</formula1>
    </dataValidation>
    <dataValidation type="whole" allowBlank="1" showErrorMessage="1" errorTitle="Ошибка" error="Допускается ввод только неотрицательных целых чисел!" sqref="AI819">
      <formula1>0</formula1>
      <formula2>9.99999999999999E+23</formula2>
    </dataValidation>
    <dataValidation type="whole" allowBlank="1" showErrorMessage="1" errorTitle="Ошибка" error="Допускается ввод только неотрицательных целых чисел!" sqref="AF819">
      <formula1>0</formula1>
      <formula2>9.99999999999999E+23</formula2>
    </dataValidation>
    <dataValidation type="textLength" operator="lessThanOrEqual" allowBlank="1" showInputMessage="1" showErrorMessage="1" errorTitle="Ошибка" error="Допускается ввод не более 900 символов!" sqref="K8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9">
      <formula1>"a"</formula1>
    </dataValidation>
    <dataValidation type="whole" allowBlank="1" showErrorMessage="1" errorTitle="Ошибка" error="Допускается ввод только неотрицательных целых чисел!" sqref="AI818">
      <formula1>0</formula1>
      <formula2>9.99999999999999E+23</formula2>
    </dataValidation>
    <dataValidation type="whole" allowBlank="1" showErrorMessage="1" errorTitle="Ошибка" error="Допускается ввод только неотрицательных целых чисел!" sqref="AF818">
      <formula1>0</formula1>
      <formula2>9.99999999999999E+23</formula2>
    </dataValidation>
    <dataValidation type="textLength" operator="lessThanOrEqual" allowBlank="1" showInputMessage="1" showErrorMessage="1" errorTitle="Ошибка" error="Допускается ввод не более 900 символов!" sqref="M818">
      <formula1>900</formula1>
    </dataValidation>
    <dataValidation type="textLength" operator="lessThanOrEqual" allowBlank="1" showInputMessage="1" showErrorMessage="1" errorTitle="Ошибка" error="Допускается ввод не более 900 символов!" sqref="K8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8">
      <formula1>"a"</formula1>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textLength" operator="lessThanOrEqual" allowBlank="1" showInputMessage="1" showErrorMessage="1" errorTitle="Ошибка" error="Допускается ввод не более 900 символов!" sqref="K8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whole" allowBlank="1" showErrorMessage="1" errorTitle="Ошибка" error="Допускается ввод только неотрицательных целых чисел!" sqref="AI815">
      <formula1>0</formula1>
      <formula2>9.99999999999999E+23</formula2>
    </dataValidation>
    <dataValidation type="whole" allowBlank="1" showErrorMessage="1" errorTitle="Ошибка" error="Допускается ввод только неотрицательных целых чисел!" sqref="AF815">
      <formula1>0</formula1>
      <formula2>9.99999999999999E+23</formula2>
    </dataValidation>
    <dataValidation type="decimal" allowBlank="1" showErrorMessage="1" errorTitle="Ошибка" error="Допускается ввод только неотрицательных чисел!" sqref="AE815">
      <formula1>0</formula1>
      <formula2>9.99999999999999E+23</formula2>
    </dataValidation>
    <dataValidation type="decimal" allowBlank="1" showErrorMessage="1" errorTitle="Ошибка" error="Допускается ввод только неотрицательных чисел!" sqref="AC815">
      <formula1>0</formula1>
      <formula2>9.99999999999999E+23</formula2>
    </dataValidation>
    <dataValidation type="textLength" operator="lessThanOrEqual" allowBlank="1" showInputMessage="1" showErrorMessage="1" errorTitle="Ошибка" error="Допускается ввод не более 900 символов!" sqref="K8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5">
      <formula1>"a"</formula1>
    </dataValidation>
    <dataValidation type="whole" allowBlank="1" showErrorMessage="1" errorTitle="Ошибка" error="Допускается ввод только неотрицательных целых чисел!" sqref="AI814">
      <formula1>0</formula1>
      <formula2>9.99999999999999E+23</formula2>
    </dataValidation>
    <dataValidation type="whole" allowBlank="1" showErrorMessage="1" errorTitle="Ошибка" error="Допускается ввод только неотрицательных целых чисел!" sqref="AF814">
      <formula1>0</formula1>
      <formula2>9.99999999999999E+23</formula2>
    </dataValidation>
    <dataValidation type="textLength" operator="lessThanOrEqual" allowBlank="1" showInputMessage="1" showErrorMessage="1" errorTitle="Ошибка" error="Допускается ввод не более 900 символов!" sqref="K8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4">
      <formula1>"a"</formula1>
    </dataValidation>
    <dataValidation type="whole" allowBlank="1" showErrorMessage="1" errorTitle="Ошибка" error="Допускается ввод только неотрицательных целых чисел!" sqref="AI813">
      <formula1>0</formula1>
      <formula2>9.99999999999999E+23</formula2>
    </dataValidation>
    <dataValidation type="whole" allowBlank="1" showErrorMessage="1" errorTitle="Ошибка" error="Допускается ввод только неотрицательных целых чисел!" sqref="AF813">
      <formula1>0</formula1>
      <formula2>9.99999999999999E+23</formula2>
    </dataValidation>
    <dataValidation type="textLength" operator="lessThanOrEqual" allowBlank="1" showInputMessage="1" showErrorMessage="1" errorTitle="Ошибка" error="Допускается ввод не более 900 символов!" sqref="M813">
      <formula1>900</formula1>
    </dataValidation>
    <dataValidation type="textLength" operator="lessThanOrEqual" allowBlank="1" showInputMessage="1" showErrorMessage="1" errorTitle="Ошибка" error="Допускается ввод не более 900 символов!" sqref="K8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3">
      <formula1>"a"</formula1>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textLength" operator="lessThanOrEqual" allowBlank="1" showInputMessage="1" showErrorMessage="1" errorTitle="Ошибка" error="Допускается ввод не более 900 символов!" sqref="K8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1">
      <formula1>"a"</formula1>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decimal" allowBlank="1" showErrorMessage="1" errorTitle="Ошибка" error="Допускается ввод только неотрицательных чисел!" sqref="AE810">
      <formula1>0</formula1>
      <formula2>9.99999999999999E+23</formula2>
    </dataValidation>
    <dataValidation type="decimal" allowBlank="1" showErrorMessage="1" errorTitle="Ошибка" error="Допускается ввод только неотрицательных чисел!" sqref="AC810">
      <formula1>0</formula1>
      <formula2>9.99999999999999E+23</formula2>
    </dataValidation>
    <dataValidation type="textLength" operator="lessThanOrEqual" allowBlank="1" showInputMessage="1" showErrorMessage="1" errorTitle="Ошибка" error="Допускается ввод не более 900 символов!" sqref="K8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0">
      <formula1>"a"</formula1>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textLength" operator="lessThanOrEqual" allowBlank="1" showInputMessage="1" showErrorMessage="1" errorTitle="Ошибка" error="Допускается ввод не более 900 символов!" sqref="K8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9">
      <formula1>"a"</formula1>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textLength" operator="lessThanOrEqual" allowBlank="1" showInputMessage="1" showErrorMessage="1" errorTitle="Ошибка" error="Допускается ввод не более 900 символов!" sqref="M808">
      <formula1>900</formula1>
    </dataValidation>
    <dataValidation type="textLength" operator="lessThanOrEqual" allowBlank="1" showInputMessage="1" showErrorMessage="1" errorTitle="Ошибка" error="Допускается ввод не более 900 символов!" sqref="K8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8">
      <formula1>"a"</formula1>
    </dataValidation>
    <dataValidation type="whole" allowBlank="1" showErrorMessage="1" errorTitle="Ошибка" error="Допускается ввод только неотрицательных целых чисел!" sqref="AI807">
      <formula1>0</formula1>
      <formula2>9.99999999999999E+23</formula2>
    </dataValidation>
    <dataValidation type="whole" allowBlank="1" showErrorMessage="1" errorTitle="Ошибка" error="Допускается ввод только неотрицательных целых чисел!" sqref="AF807">
      <formula1>0</formula1>
      <formula2>9.99999999999999E+23</formula2>
    </dataValidation>
    <dataValidation type="whole" allowBlank="1" showErrorMessage="1" errorTitle="Ошибка" error="Допускается ввод только неотрицательных целых чисел!" sqref="AI806">
      <formula1>0</formula1>
      <formula2>9.99999999999999E+23</formula2>
    </dataValidation>
    <dataValidation type="whole" allowBlank="1" showErrorMessage="1" errorTitle="Ошибка" error="Допускается ввод только неотрицательных целых чисел!" sqref="AF806">
      <formula1>0</formula1>
      <formula2>9.99999999999999E+23</formula2>
    </dataValidation>
    <dataValidation type="textLength" operator="lessThanOrEqual" allowBlank="1" showInputMessage="1" showErrorMessage="1" errorTitle="Ошибка" error="Допускается ввод не более 900 символов!" sqref="K8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6">
      <formula1>"a"</formula1>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decimal" allowBlank="1" showErrorMessage="1" errorTitle="Ошибка" error="Допускается ввод только неотрицательных чисел!" sqref="AE805">
      <formula1>0</formula1>
      <formula2>9.99999999999999E+23</formula2>
    </dataValidation>
    <dataValidation type="decimal" allowBlank="1" showErrorMessage="1" errorTitle="Ошибка" error="Допускается ввод только неотрицательных чисел!" sqref="AC805">
      <formula1>0</formula1>
      <formula2>9.99999999999999E+23</formula2>
    </dataValidation>
    <dataValidation type="textLength" operator="lessThanOrEqual" allowBlank="1" showInputMessage="1" showErrorMessage="1" errorTitle="Ошибка" error="Допускается ввод не более 900 символов!" sqref="K8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5">
      <formula1>"a"</formula1>
    </dataValidation>
    <dataValidation type="whole" allowBlank="1" showErrorMessage="1" errorTitle="Ошибка" error="Допускается ввод только неотрицательных целых чисел!" sqref="AI804">
      <formula1>0</formula1>
      <formula2>9.99999999999999E+23</formula2>
    </dataValidation>
    <dataValidation type="whole" allowBlank="1" showErrorMessage="1" errorTitle="Ошибка" error="Допускается ввод только неотрицательных целых чисел!" sqref="AF804">
      <formula1>0</formula1>
      <formula2>9.99999999999999E+23</formula2>
    </dataValidation>
    <dataValidation type="textLength" operator="lessThanOrEqual" allowBlank="1" showInputMessage="1" showErrorMessage="1" errorTitle="Ошибка" error="Допускается ввод не более 900 символов!" sqref="K8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4">
      <formula1>"a"</formula1>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textLength" operator="lessThanOrEqual" allowBlank="1" showInputMessage="1" showErrorMessage="1" errorTitle="Ошибка" error="Допускается ввод не более 900 символов!" sqref="M803">
      <formula1>900</formula1>
    </dataValidation>
    <dataValidation type="textLength" operator="lessThanOrEqual" allowBlank="1" showInputMessage="1" showErrorMessage="1" errorTitle="Ошибка" error="Допускается ввод не более 900 символов!" sqref="K8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3">
      <formula1>"a"</formula1>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whole" allowBlank="1" showErrorMessage="1" errorTitle="Ошибка" error="Допускается ввод только неотрицательных целых чисел!" sqref="AI801">
      <formula1>0</formula1>
      <formula2>9.99999999999999E+23</formula2>
    </dataValidation>
    <dataValidation type="whole" allowBlank="1" showErrorMessage="1" errorTitle="Ошибка" error="Допускается ввод только неотрицательных целых чисел!" sqref="AF801">
      <formula1>0</formula1>
      <formula2>9.99999999999999E+23</formula2>
    </dataValidation>
    <dataValidation type="textLength" operator="lessThanOrEqual" allowBlank="1" showInputMessage="1" showErrorMessage="1" errorTitle="Ошибка" error="Допускается ввод не более 900 символов!" sqref="K8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1">
      <formula1>"a"</formula1>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decimal" allowBlank="1" showErrorMessage="1" errorTitle="Ошибка" error="Допускается ввод только неотрицательных чисел!" sqref="AE800">
      <formula1>0</formula1>
      <formula2>9.99999999999999E+23</formula2>
    </dataValidation>
    <dataValidation type="decimal" allowBlank="1" showErrorMessage="1" errorTitle="Ошибка" error="Допускается ввод только неотрицательных чисел!" sqref="AC800">
      <formula1>0</formula1>
      <formula2>9.99999999999999E+23</formula2>
    </dataValidation>
    <dataValidation type="textLength" operator="lessThanOrEqual" allowBlank="1" showInputMessage="1" showErrorMessage="1" errorTitle="Ошибка" error="Допускается ввод не более 900 символов!" sqref="K8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0">
      <formula1>"a"</formula1>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textLength" operator="lessThanOrEqual" allowBlank="1" showInputMessage="1" showErrorMessage="1" errorTitle="Ошибка" error="Допускается ввод не более 900 символов!" sqref="K7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9">
      <formula1>"a"</formula1>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textLength" operator="lessThanOrEqual" allowBlank="1" showInputMessage="1" showErrorMessage="1" errorTitle="Ошибка" error="Допускается ввод не более 900 символов!" sqref="M798">
      <formula1>900</formula1>
    </dataValidation>
    <dataValidation type="textLength" operator="lessThanOrEqual" allowBlank="1" showInputMessage="1" showErrorMessage="1" errorTitle="Ошибка" error="Допускается ввод не более 900 символов!" sqref="K7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8">
      <formula1>"a"</formula1>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textLength" operator="lessThanOrEqual" allowBlank="1" showInputMessage="1" showErrorMessage="1" errorTitle="Ошибка" error="Допускается ввод не более 900 символов!" sqref="K7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6">
      <formula1>"a"</formula1>
    </dataValidation>
    <dataValidation type="whole" allowBlank="1" showErrorMessage="1" errorTitle="Ошибка" error="Допускается ввод только неотрицательных целых чисел!" sqref="AI795">
      <formula1>0</formula1>
      <formula2>9.99999999999999E+23</formula2>
    </dataValidation>
    <dataValidation type="whole" allowBlank="1" showErrorMessage="1" errorTitle="Ошибка" error="Допускается ввод только неотрицательных целых чисел!" sqref="AF795">
      <formula1>0</formula1>
      <formula2>9.99999999999999E+23</formula2>
    </dataValidation>
    <dataValidation type="decimal" allowBlank="1" showErrorMessage="1" errorTitle="Ошибка" error="Допускается ввод только неотрицательных чисел!" sqref="AE795">
      <formula1>0</formula1>
      <formula2>9.99999999999999E+23</formula2>
    </dataValidation>
    <dataValidation type="decimal" allowBlank="1" showErrorMessage="1" errorTitle="Ошибка" error="Допускается ввод только неотрицательных чисел!" sqref="AC795">
      <formula1>0</formula1>
      <formula2>9.99999999999999E+23</formula2>
    </dataValidation>
    <dataValidation type="textLength" operator="lessThanOrEqual" allowBlank="1" showInputMessage="1" showErrorMessage="1" errorTitle="Ошибка" error="Допускается ввод не более 900 символов!" sqref="K7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5">
      <formula1>"a"</formula1>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textLength" operator="lessThanOrEqual" allowBlank="1" showInputMessage="1" showErrorMessage="1" errorTitle="Ошибка" error="Допускается ввод не более 900 символов!" sqref="K7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4">
      <formula1>"a"</formula1>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textLength" operator="lessThanOrEqual" allowBlank="1" showInputMessage="1" showErrorMessage="1" errorTitle="Ошибка" error="Допускается ввод не более 900 символов!" sqref="M793">
      <formula1>900</formula1>
    </dataValidation>
    <dataValidation type="textLength" operator="lessThanOrEqual" allowBlank="1" showInputMessage="1" showErrorMessage="1" errorTitle="Ошибка" error="Допускается ввод не более 900 символов!" sqref="K7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3">
      <formula1>"a"</formula1>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textLength" operator="lessThanOrEqual" allowBlank="1" showInputMessage="1" showErrorMessage="1" errorTitle="Ошибка" error="Допускается ввод не более 900 символов!" sqref="K7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1">
      <formula1>"a"</formula1>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decimal" allowBlank="1" showErrorMessage="1" errorTitle="Ошибка" error="Допускается ввод только неотрицательных чисел!" sqref="AE790">
      <formula1>0</formula1>
      <formula2>9.99999999999999E+23</formula2>
    </dataValidation>
    <dataValidation type="decimal" allowBlank="1" showErrorMessage="1" errorTitle="Ошибка" error="Допускается ввод только неотрицательных чисел!" sqref="AC790">
      <formula1>0</formula1>
      <formula2>9.99999999999999E+23</formula2>
    </dataValidation>
    <dataValidation type="textLength" operator="lessThanOrEqual" allowBlank="1" showInputMessage="1" showErrorMessage="1" errorTitle="Ошибка" error="Допускается ввод не более 900 символов!" sqref="K7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0">
      <formula1>"a"</formula1>
    </dataValidation>
    <dataValidation type="whole" allowBlank="1" showErrorMessage="1" errorTitle="Ошибка" error="Допускается ввод только неотрицательных целых чисел!" sqref="AI789">
      <formula1>0</formula1>
      <formula2>9.99999999999999E+23</formula2>
    </dataValidation>
    <dataValidation type="whole" allowBlank="1" showErrorMessage="1" errorTitle="Ошибка" error="Допускается ввод только неотрицательных целых чисел!" sqref="AF789">
      <formula1>0</formula1>
      <formula2>9.99999999999999E+23</formula2>
    </dataValidation>
    <dataValidation type="textLength" operator="lessThanOrEqual" allowBlank="1" showInputMessage="1" showErrorMessage="1" errorTitle="Ошибка" error="Допускается ввод не более 900 символов!" sqref="K7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9">
      <formula1>"a"</formula1>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textLength" operator="lessThanOrEqual" allowBlank="1" showInputMessage="1" showErrorMessage="1" errorTitle="Ошибка" error="Допускается ввод не более 900 символов!" sqref="M788">
      <formula1>900</formula1>
    </dataValidation>
    <dataValidation type="textLength" operator="lessThanOrEqual" allowBlank="1" showInputMessage="1" showErrorMessage="1" errorTitle="Ошибка" error="Допускается ввод не более 900 символов!" sqref="K7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8">
      <formula1>"a"</formula1>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textLength" operator="lessThanOrEqual" allowBlank="1" showInputMessage="1" showErrorMessage="1" errorTitle="Ошибка" error="Допускается ввод не более 900 символов!" sqref="K7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decimal" allowBlank="1" showErrorMessage="1" errorTitle="Ошибка" error="Допускается ввод только неотрицательных чисел!" sqref="AE785">
      <formula1>0</formula1>
      <formula2>9.99999999999999E+23</formula2>
    </dataValidation>
    <dataValidation type="decimal" allowBlank="1" showErrorMessage="1" errorTitle="Ошибка" error="Допускается ввод только неотрицательных чисел!" sqref="AC785">
      <formula1>0</formula1>
      <formula2>9.99999999999999E+23</formula2>
    </dataValidation>
    <dataValidation type="textLength" operator="lessThanOrEqual" allowBlank="1" showInputMessage="1" showErrorMessage="1" errorTitle="Ошибка" error="Допускается ввод не более 900 символов!" sqref="K7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5">
      <formula1>"a"</formula1>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textLength" operator="lessThanOrEqual" allowBlank="1" showInputMessage="1" showErrorMessage="1" errorTitle="Ошибка" error="Допускается ввод не более 900 символов!" sqref="K7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whole" allowBlank="1" showErrorMessage="1" errorTitle="Ошибка" error="Допускается ввод только неотрицательных целых чисел!" sqref="AI783">
      <formula1>0</formula1>
      <formula2>9.99999999999999E+23</formula2>
    </dataValidation>
    <dataValidation type="whole" allowBlank="1" showErrorMessage="1" errorTitle="Ошибка" error="Допускается ввод только неотрицательных целых чисел!" sqref="AF783">
      <formula1>0</formula1>
      <formula2>9.99999999999999E+23</formula2>
    </dataValidation>
    <dataValidation type="textLength" operator="lessThanOrEqual" allowBlank="1" showInputMessage="1" showErrorMessage="1" errorTitle="Ошибка" error="Допускается ввод не более 900 символов!" sqref="M783">
      <formula1>900</formula1>
    </dataValidation>
    <dataValidation type="textLength" operator="lessThanOrEqual" allowBlank="1" showInputMessage="1" showErrorMessage="1" errorTitle="Ошибка" error="Допускается ввод не более 900 символов!" sqref="K7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3">
      <formula1>"a"</formula1>
    </dataValidation>
    <dataValidation type="whole" allowBlank="1" showErrorMessage="1" errorTitle="Ошибка" error="Допускается ввод только неотрицательных целых чисел!" sqref="AI782">
      <formula1>0</formula1>
      <formula2>9.99999999999999E+23</formula2>
    </dataValidation>
    <dataValidation type="whole" allowBlank="1" showErrorMessage="1" errorTitle="Ошибка" error="Допускается ввод только неотрицательных целых чисел!" sqref="AF782">
      <formula1>0</formula1>
      <formula2>9.99999999999999E+23</formula2>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textLength" operator="lessThanOrEqual" allowBlank="1" showInputMessage="1" showErrorMessage="1" errorTitle="Ошибка" error="Допускается ввод не более 900 символов!" sqref="K7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1">
      <formula1>"a"</formula1>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decimal" allowBlank="1" showErrorMessage="1" errorTitle="Ошибка" error="Допускается ввод только неотрицательных чисел!" sqref="AE780">
      <formula1>0</formula1>
      <formula2>9.99999999999999E+23</formula2>
    </dataValidation>
    <dataValidation type="decimal" allowBlank="1" showErrorMessage="1" errorTitle="Ошибка" error="Допускается ввод только неотрицательных чисел!" sqref="AC780">
      <formula1>0</formula1>
      <formula2>9.99999999999999E+23</formula2>
    </dataValidation>
    <dataValidation type="textLength" operator="lessThanOrEqual" allowBlank="1" showInputMessage="1" showErrorMessage="1" errorTitle="Ошибка" error="Допускается ввод не более 900 символов!" sqref="K7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0">
      <formula1>"a"</formula1>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textLength" operator="lessThanOrEqual" allowBlank="1" showInputMessage="1" showErrorMessage="1" errorTitle="Ошибка" error="Допускается ввод не более 900 символов!" sqref="K7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9">
      <formula1>"a"</formula1>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textLength" operator="lessThanOrEqual" allowBlank="1" showInputMessage="1" showErrorMessage="1" errorTitle="Ошибка" error="Допускается ввод не более 900 символов!" sqref="M778">
      <formula1>900</formula1>
    </dataValidation>
    <dataValidation type="textLength" operator="lessThanOrEqual" allowBlank="1" showInputMessage="1" showErrorMessage="1" errorTitle="Ошибка" error="Допускается ввод не более 900 символов!" sqref="K7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8">
      <formula1>"a"</formula1>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textLength" operator="lessThanOrEqual" allowBlank="1" showInputMessage="1" showErrorMessage="1" errorTitle="Ошибка" error="Допускается ввод не более 900 символов!" sqref="K7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6">
      <formula1>"a"</formula1>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decimal" allowBlank="1" showErrorMessage="1" errorTitle="Ошибка" error="Допускается ввод только неотрицательных чисел!" sqref="AE775">
      <formula1>0</formula1>
      <formula2>9.99999999999999E+23</formula2>
    </dataValidation>
    <dataValidation type="decimal" allowBlank="1" showErrorMessage="1" errorTitle="Ошибка" error="Допускается ввод только неотрицательных чисел!" sqref="AC775">
      <formula1>0</formula1>
      <formula2>9.99999999999999E+23</formula2>
    </dataValidation>
    <dataValidation type="textLength" operator="lessThanOrEqual" allowBlank="1" showInputMessage="1" showErrorMessage="1" errorTitle="Ошибка" error="Допускается ввод не более 900 символов!" sqref="K7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5">
      <formula1>"a"</formula1>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textLength" operator="lessThanOrEqual" allowBlank="1" showInputMessage="1" showErrorMessage="1" errorTitle="Ошибка" error="Допускается ввод не более 900 символов!" sqref="K7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textLength" operator="lessThanOrEqual" allowBlank="1" showInputMessage="1" showErrorMessage="1" errorTitle="Ошибка" error="Допускается ввод не более 900 символов!" sqref="M773">
      <formula1>900</formula1>
    </dataValidation>
    <dataValidation type="textLength" operator="lessThanOrEqual" allowBlank="1" showInputMessage="1" showErrorMessage="1" errorTitle="Ошибка" error="Допускается ввод не более 900 символов!" sqref="K7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3">
      <formula1>"a"</formula1>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textLength" operator="lessThanOrEqual" allowBlank="1" showInputMessage="1" showErrorMessage="1" errorTitle="Ошибка" error="Допускается ввод не более 900 символов!" sqref="K7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whole" allowBlank="1" showErrorMessage="1" errorTitle="Ошибка" error="Допускается ввод только неотрицательных целых чисел!" sqref="AI770">
      <formula1>0</formula1>
      <formula2>9.99999999999999E+23</formula2>
    </dataValidation>
    <dataValidation type="whole" allowBlank="1" showErrorMessage="1" errorTitle="Ошибка" error="Допускается ввод только неотрицательных целых чисел!" sqref="AF770">
      <formula1>0</formula1>
      <formula2>9.99999999999999E+23</formula2>
    </dataValidation>
    <dataValidation type="decimal" allowBlank="1" showErrorMessage="1" errorTitle="Ошибка" error="Допускается ввод только неотрицательных чисел!" sqref="AE770">
      <formula1>0</formula1>
      <formula2>9.99999999999999E+23</formula2>
    </dataValidation>
    <dataValidation type="decimal" allowBlank="1" showErrorMessage="1" errorTitle="Ошибка" error="Допускается ввод только неотрицательных чисел!" sqref="AC770">
      <formula1>0</formula1>
      <formula2>9.99999999999999E+23</formula2>
    </dataValidation>
    <dataValidation type="textLength" operator="lessThanOrEqual" allowBlank="1" showInputMessage="1" showErrorMessage="1" errorTitle="Ошибка" error="Допускается ввод не более 900 символов!" sqref="K7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0">
      <formula1>"a"</formula1>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textLength" operator="lessThanOrEqual" allowBlank="1" showInputMessage="1" showErrorMessage="1" errorTitle="Ошибка" error="Допускается ввод не более 900 символов!" sqref="K7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9">
      <formula1>"a"</formula1>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textLength" operator="lessThanOrEqual" allowBlank="1" showInputMessage="1" showErrorMessage="1" errorTitle="Ошибка" error="Допускается ввод не более 900 символов!" sqref="M768">
      <formula1>900</formula1>
    </dataValidation>
    <dataValidation type="textLength" operator="lessThanOrEqual" allowBlank="1" showInputMessage="1" showErrorMessage="1" errorTitle="Ошибка" error="Допускается ввод не более 900 символов!" sqref="K7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textLength" operator="lessThanOrEqual" allowBlank="1" showInputMessage="1" showErrorMessage="1" errorTitle="Ошибка" error="Допускается ввод не более 900 символов!" sqref="K7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whole" allowBlank="1" showErrorMessage="1" errorTitle="Ошибка" error="Допускается ввод только неотрицательных целых чисел!" sqref="AI765">
      <formula1>0</formula1>
      <formula2>9.99999999999999E+23</formula2>
    </dataValidation>
    <dataValidation type="whole" allowBlank="1" showErrorMessage="1" errorTitle="Ошибка" error="Допускается ввод только неотрицательных целых чисел!" sqref="AF765">
      <formula1>0</formula1>
      <formula2>9.99999999999999E+23</formula2>
    </dataValidation>
    <dataValidation type="decimal" allowBlank="1" showErrorMessage="1" errorTitle="Ошибка" error="Допускается ввод только неотрицательных чисел!" sqref="AE765">
      <formula1>0</formula1>
      <formula2>9.99999999999999E+23</formula2>
    </dataValidation>
    <dataValidation type="decimal" allowBlank="1" showErrorMessage="1" errorTitle="Ошибка" error="Допускается ввод только неотрицательных чисел!" sqref="AC765">
      <formula1>0</formula1>
      <formula2>9.99999999999999E+23</formula2>
    </dataValidation>
    <dataValidation type="textLength" operator="lessThanOrEqual" allowBlank="1" showInputMessage="1" showErrorMessage="1" errorTitle="Ошибка" error="Допускается ввод не более 900 символов!" sqref="K7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5">
      <formula1>"a"</formula1>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textLength" operator="lessThanOrEqual" allowBlank="1" showInputMessage="1" showErrorMessage="1" errorTitle="Ошибка" error="Допускается ввод не более 900 символов!" sqref="K7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4">
      <formula1>"a"</formula1>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textLength" operator="lessThanOrEqual" allowBlank="1" showInputMessage="1" showErrorMessage="1" errorTitle="Ошибка" error="Допускается ввод не более 900 символов!" sqref="M763">
      <formula1>900</formula1>
    </dataValidation>
    <dataValidation type="textLength" operator="lessThanOrEqual" allowBlank="1" showInputMessage="1" showErrorMessage="1" errorTitle="Ошибка" error="Допускается ввод не более 900 символов!" sqref="K7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3">
      <formula1>"a"</formula1>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textLength" operator="lessThanOrEqual" allowBlank="1" showInputMessage="1" showErrorMessage="1" errorTitle="Ошибка" error="Допускается ввод не более 900 символов!" sqref="K7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1">
      <formula1>"a"</formula1>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decimal" allowBlank="1" showErrorMessage="1" errorTitle="Ошибка" error="Допускается ввод только неотрицательных чисел!" sqref="AE760">
      <formula1>0</formula1>
      <formula2>9.99999999999999E+23</formula2>
    </dataValidation>
    <dataValidation type="decimal" allowBlank="1" showErrorMessage="1" errorTitle="Ошибка" error="Допускается ввод только неотрицательных чисел!" sqref="AC760">
      <formula1>0</formula1>
      <formula2>9.99999999999999E+23</formula2>
    </dataValidation>
    <dataValidation type="textLength" operator="lessThanOrEqual" allowBlank="1" showInputMessage="1" showErrorMessage="1" errorTitle="Ошибка" error="Допускается ввод не более 900 символов!" sqref="K7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0">
      <formula1>"a"</formula1>
    </dataValidation>
    <dataValidation type="whole" allowBlank="1" showErrorMessage="1" errorTitle="Ошибка" error="Допускается ввод только неотрицательных целых чисел!" sqref="AI759">
      <formula1>0</formula1>
      <formula2>9.99999999999999E+23</formula2>
    </dataValidation>
    <dataValidation type="whole" allowBlank="1" showErrorMessage="1" errorTitle="Ошибка" error="Допускается ввод только неотрицательных целых чисел!" sqref="AF759">
      <formula1>0</formula1>
      <formula2>9.99999999999999E+23</formula2>
    </dataValidation>
    <dataValidation type="textLength" operator="lessThanOrEqual" allowBlank="1" showInputMessage="1" showErrorMessage="1" errorTitle="Ошибка" error="Допускается ввод не более 900 символов!" sqref="K7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9">
      <formula1>"a"</formula1>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textLength" operator="lessThanOrEqual" allowBlank="1" showInputMessage="1" showErrorMessage="1" errorTitle="Ошибка" error="Допускается ввод не более 900 символов!" sqref="M758">
      <formula1>900</formula1>
    </dataValidation>
    <dataValidation type="textLength" operator="lessThanOrEqual" allowBlank="1" showInputMessage="1" showErrorMessage="1" errorTitle="Ошибка" error="Допускается ввод не более 900 символов!" sqref="K7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8">
      <formula1>"a"</formula1>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textLength" operator="lessThanOrEqual" allowBlank="1" showInputMessage="1" showErrorMessage="1" errorTitle="Ошибка" error="Допускается ввод не более 900 символов!" sqref="K7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decimal" allowBlank="1" showErrorMessage="1" errorTitle="Ошибка" error="Допускается ввод только неотрицательных чисел!" sqref="AE755">
      <formula1>0</formula1>
      <formula2>9.99999999999999E+23</formula2>
    </dataValidation>
    <dataValidation type="decimal" allowBlank="1" showErrorMessage="1" errorTitle="Ошибка" error="Допускается ввод только неотрицательных чисел!" sqref="AC755">
      <formula1>0</formula1>
      <formula2>9.99999999999999E+23</formula2>
    </dataValidation>
    <dataValidation type="textLength" operator="lessThanOrEqual" allowBlank="1" showInputMessage="1" showErrorMessage="1" errorTitle="Ошибка" error="Допускается ввод не более 900 символов!" sqref="K7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5">
      <formula1>"a"</formula1>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textLength" operator="lessThanOrEqual" allowBlank="1" showInputMessage="1" showErrorMessage="1" errorTitle="Ошибка" error="Допускается ввод не более 900 символов!" sqref="K7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4">
      <formula1>"a"</formula1>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textLength" operator="lessThanOrEqual" allowBlank="1" showInputMessage="1" showErrorMessage="1" errorTitle="Ошибка" error="Допускается ввод не более 900 символов!" sqref="M753">
      <formula1>900</formula1>
    </dataValidation>
    <dataValidation type="textLength" operator="lessThanOrEqual" allowBlank="1" showInputMessage="1" showErrorMessage="1" errorTitle="Ошибка" error="Допускается ввод не более 900 символов!" sqref="K7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3">
      <formula1>"a"</formula1>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decimal" allowBlank="1" showErrorMessage="1" errorTitle="Ошибка" error="Допускается ввод только неотрицательных чисел!" sqref="AE709">
      <formula1>0</formula1>
      <formula2>9.99999999999999E+23</formula2>
    </dataValidation>
    <dataValidation type="decimal" allowBlank="1" showErrorMessage="1" errorTitle="Ошибка" error="Допускается ввод только неотрицательных чисел!" sqref="AC709">
      <formula1>0</formula1>
      <formula2>9.99999999999999E+23</formula2>
    </dataValidation>
    <dataValidation type="textLength" operator="lessThanOrEqual" allowBlank="1" showInputMessage="1" showErrorMessage="1" errorTitle="Ошибка" error="Допускается ввод не более 900 символов!" sqref="K7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9">
      <formula1>"a"</formula1>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decimal" allowBlank="1" showErrorMessage="1" errorTitle="Ошибка" error="Допускается ввод только неотрицательных чисел!" sqref="AE703">
      <formula1>0</formula1>
      <formula2>9.99999999999999E+23</formula2>
    </dataValidation>
    <dataValidation type="decimal" allowBlank="1" showErrorMessage="1" errorTitle="Ошибка" error="Допускается ввод только неотрицательных чисел!" sqref="AC703">
      <formula1>0</formula1>
      <formula2>9.99999999999999E+23</formula2>
    </dataValidation>
    <dataValidation type="textLength" operator="lessThanOrEqual" allowBlank="1" showInputMessage="1" showErrorMessage="1" errorTitle="Ошибка" error="Допускается ввод не более 900 символов!" sqref="K7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3">
      <formula1>"a"</formula1>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decimal" allowBlank="1" showErrorMessage="1" errorTitle="Ошибка" error="Допускается ввод только неотрицательных чисел!" sqref="AE697">
      <formula1>0</formula1>
      <formula2>9.99999999999999E+23</formula2>
    </dataValidation>
    <dataValidation type="decimal" allowBlank="1" showErrorMessage="1" errorTitle="Ошибка" error="Допускается ввод только неотрицательных чисел!" sqref="AC697">
      <formula1>0</formula1>
      <formula2>9.99999999999999E+23</formula2>
    </dataValidation>
    <dataValidation type="textLength" operator="lessThanOrEqual" allowBlank="1" showInputMessage="1" showErrorMessage="1" errorTitle="Ошибка" error="Допускается ввод не более 900 символов!" sqref="K6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7">
      <formula1>"a"</formula1>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decimal" allowBlank="1" showErrorMessage="1" errorTitle="Ошибка" error="Допускается ввод только неотрицательных чисел!" sqref="AE691">
      <formula1>0</formula1>
      <formula2>9.99999999999999E+23</formula2>
    </dataValidation>
    <dataValidation type="decimal" allowBlank="1" showErrorMessage="1" errorTitle="Ошибка" error="Допускается ввод только неотрицательных чисел!" sqref="AC691">
      <formula1>0</formula1>
      <formula2>9.99999999999999E+23</formula2>
    </dataValidation>
    <dataValidation type="textLength" operator="lessThanOrEqual" allowBlank="1" showInputMessage="1" showErrorMessage="1" errorTitle="Ошибка" error="Допускается ввод не более 900 символов!" sqref="K6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decimal" allowBlank="1" showErrorMessage="1" errorTitle="Ошибка" error="Допускается ввод только неотрицательных чисел!" sqref="AE685">
      <formula1>0</formula1>
      <formula2>9.99999999999999E+23</formula2>
    </dataValidation>
    <dataValidation type="decimal" allowBlank="1" showErrorMessage="1" errorTitle="Ошибка" error="Допускается ввод только неотрицательных чисел!" sqref="AC685">
      <formula1>0</formula1>
      <formula2>9.99999999999999E+23</formula2>
    </dataValidation>
    <dataValidation type="textLength" operator="lessThanOrEqual" allowBlank="1" showInputMessage="1" showErrorMessage="1" errorTitle="Ошибка" error="Допускается ввод не более 900 символов!" sqref="K6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decimal" allowBlank="1" showErrorMessage="1" errorTitle="Ошибка" error="Допускается ввод только неотрицательных чисел!" sqref="AE679">
      <formula1>0</formula1>
      <formula2>9.99999999999999E+23</formula2>
    </dataValidation>
    <dataValidation type="decimal" allowBlank="1" showErrorMessage="1" errorTitle="Ошибка" error="Допускается ввод только неотрицательных чисел!" sqref="AC679">
      <formula1>0</formula1>
      <formula2>9.99999999999999E+23</formula2>
    </dataValidation>
    <dataValidation type="textLength" operator="lessThanOrEqual" allowBlank="1" showInputMessage="1" showErrorMessage="1" errorTitle="Ошибка" error="Допускается ввод не более 900 символов!" sqref="K6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9">
      <formula1>"a"</formula1>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decimal" allowBlank="1" showErrorMessage="1" errorTitle="Ошибка" error="Допускается ввод только неотрицательных чисел!" sqref="AE673">
      <formula1>0</formula1>
      <formula2>9.99999999999999E+23</formula2>
    </dataValidation>
    <dataValidation type="decimal" allowBlank="1" showErrorMessage="1" errorTitle="Ошибка" error="Допускается ввод только неотрицательных чисел!" sqref="AC673">
      <formula1>0</formula1>
      <formula2>9.99999999999999E+23</formula2>
    </dataValidation>
    <dataValidation type="textLength" operator="lessThanOrEqual" allowBlank="1" showInputMessage="1" showErrorMessage="1" errorTitle="Ошибка" error="Допускается ввод не более 900 символов!" sqref="K6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decimal" allowBlank="1" showErrorMessage="1" errorTitle="Ошибка" error="Допускается ввод только неотрицательных чисел!" sqref="AE667">
      <formula1>0</formula1>
      <formula2>9.99999999999999E+23</formula2>
    </dataValidation>
    <dataValidation type="decimal" allowBlank="1" showErrorMessage="1" errorTitle="Ошибка" error="Допускается ввод только неотрицательных чисел!" sqref="AC667">
      <formula1>0</formula1>
      <formula2>9.99999999999999E+23</formula2>
    </dataValidation>
    <dataValidation type="textLength" operator="lessThanOrEqual" allowBlank="1" showInputMessage="1" showErrorMessage="1" errorTitle="Ошибка" error="Допускается ввод не более 900 символов!" sqref="K6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decimal" allowBlank="1" showErrorMessage="1" errorTitle="Ошибка" error="Допускается ввод только неотрицательных чисел!" sqref="AE661">
      <formula1>0</formula1>
      <formula2>9.99999999999999E+23</formula2>
    </dataValidation>
    <dataValidation type="decimal" allowBlank="1" showErrorMessage="1" errorTitle="Ошибка" error="Допускается ввод только неотрицательных чисел!" sqref="AC661">
      <formula1>0</formula1>
      <formula2>9.99999999999999E+23</formula2>
    </dataValidation>
    <dataValidation type="textLength" operator="lessThanOrEqual" allowBlank="1" showInputMessage="1" showErrorMessage="1" errorTitle="Ошибка" error="Допускается ввод не более 900 символов!" sqref="K6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decimal" allowBlank="1" showErrorMessage="1" errorTitle="Ошибка" error="Допускается ввод только неотрицательных чисел!" sqref="AE655">
      <formula1>0</formula1>
      <formula2>9.99999999999999E+23</formula2>
    </dataValidation>
    <dataValidation type="decimal" allowBlank="1" showErrorMessage="1" errorTitle="Ошибка" error="Допускается ввод только неотрицательных чисел!" sqref="AC655">
      <formula1>0</formula1>
      <formula2>9.99999999999999E+23</formula2>
    </dataValidation>
    <dataValidation type="textLength" operator="lessThanOrEqual" allowBlank="1" showInputMessage="1" showErrorMessage="1" errorTitle="Ошибка" error="Допускается ввод не более 900 символов!" sqref="K6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decimal" allowBlank="1" showErrorMessage="1" errorTitle="Ошибка" error="Допускается ввод только неотрицательных чисел!" sqref="AE649">
      <formula1>0</formula1>
      <formula2>9.99999999999999E+23</formula2>
    </dataValidation>
    <dataValidation type="decimal" allowBlank="1" showErrorMessage="1" errorTitle="Ошибка" error="Допускается ввод только неотрицательных чисел!" sqref="AC649">
      <formula1>0</formula1>
      <formula2>9.99999999999999E+23</formula2>
    </dataValidation>
    <dataValidation type="textLength" operator="lessThanOrEqual" allowBlank="1" showInputMessage="1" showErrorMessage="1" errorTitle="Ошибка" error="Допускается ввод не более 900 символов!" sqref="K6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decimal" allowBlank="1" showErrorMessage="1" errorTitle="Ошибка" error="Допускается ввод только неотрицательных чисел!" sqref="AE643">
      <formula1>0</formula1>
      <formula2>9.99999999999999E+23</formula2>
    </dataValidation>
    <dataValidation type="decimal" allowBlank="1" showErrorMessage="1" errorTitle="Ошибка" error="Допускается ввод только неотрицательных чисел!" sqref="AC643">
      <formula1>0</formula1>
      <formula2>9.99999999999999E+23</formula2>
    </dataValidation>
    <dataValidation type="textLength" operator="lessThanOrEqual" allowBlank="1" showInputMessage="1" showErrorMessage="1" errorTitle="Ошибка" error="Допускается ввод не более 900 символов!" sqref="K6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3">
      <formula1>"a"</formula1>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decimal" allowBlank="1" showErrorMessage="1" errorTitle="Ошибка" error="Допускается ввод только неотрицательных чисел!" sqref="AE637">
      <formula1>0</formula1>
      <formula2>9.99999999999999E+23</formula2>
    </dataValidation>
    <dataValidation type="decimal" allowBlank="1" showErrorMessage="1" errorTitle="Ошибка" error="Допускается ввод только неотрицательных чисел!" sqref="AC637">
      <formula1>0</formula1>
      <formula2>9.99999999999999E+23</formula2>
    </dataValidation>
    <dataValidation type="textLength" operator="lessThanOrEqual" allowBlank="1" showInputMessage="1" showErrorMessage="1" errorTitle="Ошибка" error="Допускается ввод не более 900 символов!" sqref="K6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7">
      <formula1>"a"</formula1>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decimal" allowBlank="1" showErrorMessage="1" errorTitle="Ошибка" error="Допускается ввод только неотрицательных чисел!" sqref="AE631">
      <formula1>0</formula1>
      <formula2>9.99999999999999E+23</formula2>
    </dataValidation>
    <dataValidation type="decimal" allowBlank="1" showErrorMessage="1" errorTitle="Ошибка" error="Допускается ввод только неотрицательных чисел!" sqref="AC631">
      <formula1>0</formula1>
      <formula2>9.99999999999999E+23</formula2>
    </dataValidation>
    <dataValidation type="textLength" operator="lessThanOrEqual" allowBlank="1" showInputMessage="1" showErrorMessage="1" errorTitle="Ошибка" error="Допускается ввод не более 900 символов!" sqref="K6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decimal" allowBlank="1" showErrorMessage="1" errorTitle="Ошибка" error="Допускается ввод только неотрицательных чисел!" sqref="AE625">
      <formula1>0</formula1>
      <formula2>9.99999999999999E+23</formula2>
    </dataValidation>
    <dataValidation type="decimal" allowBlank="1" showErrorMessage="1" errorTitle="Ошибка" error="Допускается ввод только неотрицательных чисел!" sqref="AC625">
      <formula1>0</formula1>
      <formula2>9.99999999999999E+23</formula2>
    </dataValidation>
    <dataValidation type="textLength" operator="lessThanOrEqual" allowBlank="1" showInputMessage="1" showErrorMessage="1" errorTitle="Ошибка" error="Допускается ввод не более 900 символов!" sqref="K6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decimal" allowBlank="1" showErrorMessage="1" errorTitle="Ошибка" error="Допускается ввод только неотрицательных чисел!" sqref="AE619">
      <formula1>0</formula1>
      <formula2>9.99999999999999E+23</formula2>
    </dataValidation>
    <dataValidation type="decimal" allowBlank="1" showErrorMessage="1" errorTitle="Ошибка" error="Допускается ввод только неотрицательных чисел!" sqref="AC619">
      <formula1>0</formula1>
      <formula2>9.99999999999999E+23</formula2>
    </dataValidation>
    <dataValidation type="textLength" operator="lessThanOrEqual" allowBlank="1" showInputMessage="1" showErrorMessage="1" errorTitle="Ошибка" error="Допускается ввод не более 900 символов!" sqref="K6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decimal" allowBlank="1" showErrorMessage="1" errorTitle="Ошибка" error="Допускается ввод только неотрицательных чисел!" sqref="AE613">
      <formula1>0</formula1>
      <formula2>9.99999999999999E+23</formula2>
    </dataValidation>
    <dataValidation type="decimal" allowBlank="1" showErrorMessage="1" errorTitle="Ошибка" error="Допускается ввод только неотрицательных чисел!" sqref="AC613">
      <formula1>0</formula1>
      <formula2>9.99999999999999E+23</formula2>
    </dataValidation>
    <dataValidation type="textLength" operator="lessThanOrEqual" allowBlank="1" showInputMessage="1" showErrorMessage="1" errorTitle="Ошибка" error="Допускается ввод не более 900 символов!" sqref="K6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decimal" allowBlank="1" showErrorMessage="1" errorTitle="Ошибка" error="Допускается ввод только неотрицательных чисел!" sqref="AE607">
      <formula1>0</formula1>
      <formula2>9.99999999999999E+23</formula2>
    </dataValidation>
    <dataValidation type="decimal" allowBlank="1" showErrorMessage="1" errorTitle="Ошибка" error="Допускается ввод только неотрицательных чисел!" sqref="AC607">
      <formula1>0</formula1>
      <formula2>9.99999999999999E+23</formula2>
    </dataValidation>
    <dataValidation type="textLength" operator="lessThanOrEqual" allowBlank="1" showInputMessage="1" showErrorMessage="1" errorTitle="Ошибка" error="Допускается ввод не более 900 символов!" sqref="K6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decimal" allowBlank="1" showErrorMessage="1" errorTitle="Ошибка" error="Допускается ввод только неотрицательных чисел!" sqref="AE716">
      <formula1>0</formula1>
      <formula2>9.99999999999999E+23</formula2>
    </dataValidation>
    <dataValidation type="decimal" allowBlank="1" showErrorMessage="1" errorTitle="Ошибка" error="Допускается ввод только неотрицательных чисел!" sqref="AC716">
      <formula1>0</formula1>
      <formula2>9.99999999999999E+23</formula2>
    </dataValidation>
    <dataValidation type="textLength" operator="lessThanOrEqual" allowBlank="1" showInputMessage="1" showErrorMessage="1" errorTitle="Ошибка" error="Допускается ввод не более 900 символов!" sqref="K7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6">
      <formula1>"a"</formula1>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decimal" allowBlank="1" showErrorMessage="1" errorTitle="Ошибка" error="Допускается ввод только неотрицательных чисел!" sqref="AE715">
      <formula1>0</formula1>
      <formula2>9.99999999999999E+23</formula2>
    </dataValidation>
    <dataValidation type="decimal" allowBlank="1" showErrorMessage="1" errorTitle="Ошибка" error="Допускается ввод только неотрицательных чисел!" sqref="AC715">
      <formula1>0</formula1>
      <formula2>9.99999999999999E+23</formula2>
    </dataValidation>
    <dataValidation type="textLength" operator="lessThanOrEqual" allowBlank="1" showInputMessage="1" showErrorMessage="1" errorTitle="Ошибка" error="Допускается ввод не более 900 символов!" sqref="K7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5">
      <formula1>"a"</formula1>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decimal" allowBlank="1" showErrorMessage="1" errorTitle="Ошибка" error="Допускается ввод только неотрицательных чисел!" sqref="AE723">
      <formula1>0</formula1>
      <formula2>9.99999999999999E+23</formula2>
    </dataValidation>
    <dataValidation type="decimal" allowBlank="1" showErrorMessage="1" errorTitle="Ошибка" error="Допускается ввод только неотрицательных чисел!" sqref="AC723">
      <formula1>0</formula1>
      <formula2>9.99999999999999E+23</formula2>
    </dataValidation>
    <dataValidation type="textLength" operator="lessThanOrEqual" allowBlank="1" showInputMessage="1" showErrorMessage="1" errorTitle="Ошибка" error="Допускается ввод не более 900 символов!" sqref="K7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3">
      <formula1>"a"</formula1>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decimal" allowBlank="1" showErrorMessage="1" errorTitle="Ошибка" error="Допускается ввод только неотрицательных чисел!" sqref="AE722">
      <formula1>0</formula1>
      <formula2>9.99999999999999E+23</formula2>
    </dataValidation>
    <dataValidation type="decimal" allowBlank="1" showErrorMessage="1" errorTitle="Ошибка" error="Допускается ввод только неотрицательных чисел!" sqref="AC722">
      <formula1>0</formula1>
      <formula2>9.99999999999999E+23</formula2>
    </dataValidation>
    <dataValidation type="textLength" operator="lessThanOrEqual" allowBlank="1" showInputMessage="1" showErrorMessage="1" errorTitle="Ошибка" error="Допускается ввод не более 900 символов!" sqref="K7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2">
      <formula1>"a"</formula1>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decimal" allowBlank="1" showErrorMessage="1" errorTitle="Ошибка" error="Допускается ввод только неотрицательных чисел!" sqref="AE730">
      <formula1>0</formula1>
      <formula2>9.99999999999999E+23</formula2>
    </dataValidation>
    <dataValidation type="decimal" allowBlank="1" showErrorMessage="1" errorTitle="Ошибка" error="Допускается ввод только неотрицательных чисел!" sqref="AC730">
      <formula1>0</formula1>
      <formula2>9.99999999999999E+23</formula2>
    </dataValidation>
    <dataValidation type="textLength" operator="lessThanOrEqual" allowBlank="1" showInputMessage="1" showErrorMessage="1" errorTitle="Ошибка" error="Допускается ввод не более 900 символов!" sqref="K7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decimal" allowBlank="1" showErrorMessage="1" errorTitle="Ошибка" error="Допускается ввод только неотрицательных чисел!" sqref="AE729">
      <formula1>0</formula1>
      <formula2>9.99999999999999E+23</formula2>
    </dataValidation>
    <dataValidation type="decimal" allowBlank="1" showErrorMessage="1" errorTitle="Ошибка" error="Допускается ввод только неотрицательных чисел!" sqref="AC729">
      <formula1>0</formula1>
      <formula2>9.99999999999999E+23</formula2>
    </dataValidation>
    <dataValidation type="textLength" operator="lessThanOrEqual" allowBlank="1" showInputMessage="1" showErrorMessage="1" errorTitle="Ошибка" error="Допускается ввод не более 900 символов!" sqref="K7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9">
      <formula1>"a"</formula1>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decimal" allowBlank="1" showErrorMessage="1" errorTitle="Ошибка" error="Допускается ввод только неотрицательных чисел!" sqref="AE737">
      <formula1>0</formula1>
      <formula2>9.99999999999999E+23</formula2>
    </dataValidation>
    <dataValidation type="decimal" allowBlank="1" showErrorMessage="1" errorTitle="Ошибка" error="Допускается ввод только неотрицательных чисел!" sqref="AC737">
      <formula1>0</formula1>
      <formula2>9.99999999999999E+23</formula2>
    </dataValidation>
    <dataValidation type="textLength" operator="lessThanOrEqual" allowBlank="1" showInputMessage="1" showErrorMessage="1" errorTitle="Ошибка" error="Допускается ввод не более 900 символов!" sqref="K7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7">
      <formula1>"a"</formula1>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decimal" allowBlank="1" showErrorMessage="1" errorTitle="Ошибка" error="Допускается ввод только неотрицательных чисел!" sqref="AE736">
      <formula1>0</formula1>
      <formula2>9.99999999999999E+23</formula2>
    </dataValidation>
    <dataValidation type="decimal" allowBlank="1" showErrorMessage="1" errorTitle="Ошибка" error="Допускается ввод только неотрицательных чисел!" sqref="AC736">
      <formula1>0</formula1>
      <formula2>9.99999999999999E+23</formula2>
    </dataValidation>
    <dataValidation type="textLength" operator="lessThanOrEqual" allowBlank="1" showInputMessage="1" showErrorMessage="1" errorTitle="Ошибка" error="Допускается ввод не более 900 символов!" sqref="K7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6">
      <formula1>"a"</formula1>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decimal" allowBlank="1" showErrorMessage="1" errorTitle="Ошибка" error="Допускается ввод только неотрицательных чисел!" sqref="AE744">
      <formula1>0</formula1>
      <formula2>9.99999999999999E+23</formula2>
    </dataValidation>
    <dataValidation type="decimal" allowBlank="1" showErrorMessage="1" errorTitle="Ошибка" error="Допускается ввод только неотрицательных чисел!" sqref="AC744">
      <formula1>0</formula1>
      <formula2>9.99999999999999E+23</formula2>
    </dataValidation>
    <dataValidation type="textLength" operator="lessThanOrEqual" allowBlank="1" showInputMessage="1" showErrorMessage="1" errorTitle="Ошибка" error="Допускается ввод не более 900 символов!" sqref="K7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decimal" allowBlank="1" showErrorMessage="1" errorTitle="Ошибка" error="Допускается ввод только неотрицательных чисел!" sqref="AE743">
      <formula1>0</formula1>
      <formula2>9.99999999999999E+23</formula2>
    </dataValidation>
    <dataValidation type="decimal" allowBlank="1" showErrorMessage="1" errorTitle="Ошибка" error="Допускается ввод только неотрицательных чисел!" sqref="AC743">
      <formula1>0</formula1>
      <formula2>9.99999999999999E+23</formula2>
    </dataValidation>
    <dataValidation type="textLength" operator="lessThanOrEqual" allowBlank="1" showInputMessage="1" showErrorMessage="1" errorTitle="Ошибка" error="Допускается ввод не более 900 символов!" sqref="K7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3">
      <formula1>"a"</formula1>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decimal" allowBlank="1" showErrorMessage="1" errorTitle="Ошибка" error="Допускается ввод только неотрицательных чисел!" sqref="AE601">
      <formula1>0</formula1>
      <formula2>9.99999999999999E+23</formula2>
    </dataValidation>
    <dataValidation type="decimal" allowBlank="1" showErrorMessage="1" errorTitle="Ошибка" error="Допускается ввод только неотрицательных чисел!" sqref="AC601">
      <formula1>0</formula1>
      <formula2>9.99999999999999E+23</formula2>
    </dataValidation>
    <dataValidation type="textLength" operator="lessThanOrEqual" allowBlank="1" showInputMessage="1" showErrorMessage="1" errorTitle="Ошибка" error="Допускается ввод не более 900 символов!" sqref="K6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1">
      <formula1>"a"</formula1>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decimal" allowBlank="1" showErrorMessage="1" errorTitle="Ошибка" error="Допускается ввод только неотрицательных чисел!" sqref="AE595">
      <formula1>0</formula1>
      <formula2>9.99999999999999E+23</formula2>
    </dataValidation>
    <dataValidation type="decimal" allowBlank="1" showErrorMessage="1" errorTitle="Ошибка" error="Допускается ввод только неотрицательных чисел!" sqref="AC595">
      <formula1>0</formula1>
      <formula2>9.99999999999999E+23</formula2>
    </dataValidation>
    <dataValidation type="textLength" operator="lessThanOrEqual" allowBlank="1" showInputMessage="1" showErrorMessage="1" errorTitle="Ошибка" error="Допускается ввод не более 900 символов!" sqref="K5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decimal" allowBlank="1" showErrorMessage="1" errorTitle="Ошибка" error="Допускается ввод только неотрицательных чисел!" sqref="AE594">
      <formula1>0</formula1>
      <formula2>9.99999999999999E+23</formula2>
    </dataValidation>
    <dataValidation type="decimal" allowBlank="1" showErrorMessage="1" errorTitle="Ошибка" error="Допускается ввод только неотрицательных чисел!" sqref="AC594">
      <formula1>0</formula1>
      <formula2>9.99999999999999E+23</formula2>
    </dataValidation>
    <dataValidation type="textLength" operator="lessThanOrEqual" allowBlank="1" showInputMessage="1" showErrorMessage="1" errorTitle="Ошибка" error="Допускается ввод не более 900 символов!" sqref="K5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decimal" allowBlank="1" showErrorMessage="1" errorTitle="Ошибка" error="Допускается ввод только неотрицательных чисел!" sqref="AE588">
      <formula1>0</formula1>
      <formula2>9.99999999999999E+23</formula2>
    </dataValidation>
    <dataValidation type="decimal" allowBlank="1" showErrorMessage="1" errorTitle="Ошибка" error="Допускается ввод только неотрицательных чисел!" sqref="AC588">
      <formula1>0</formula1>
      <formula2>9.99999999999999E+23</formula2>
    </dataValidation>
    <dataValidation type="textLength" operator="lessThanOrEqual" allowBlank="1" showInputMessage="1" showErrorMessage="1" errorTitle="Ошибка" error="Допускается ввод не более 900 символов!" sqref="K5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8">
      <formula1>"a"</formula1>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decimal" allowBlank="1" showErrorMessage="1" errorTitle="Ошибка" error="Допускается ввод только неотрицательных чисел!" sqref="AE587">
      <formula1>0</formula1>
      <formula2>9.99999999999999E+23</formula2>
    </dataValidation>
    <dataValidation type="decimal" allowBlank="1" showErrorMessage="1" errorTitle="Ошибка" error="Допускается ввод только неотрицательных чисел!" sqref="AC587">
      <formula1>0</formula1>
      <formula2>9.99999999999999E+23</formula2>
    </dataValidation>
    <dataValidation type="textLength" operator="lessThanOrEqual" allowBlank="1" showInputMessage="1" showErrorMessage="1" errorTitle="Ошибка" error="Допускается ввод не более 900 символов!" sqref="K5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decimal" allowBlank="1" showErrorMessage="1" errorTitle="Ошибка" error="Допускается ввод только неотрицательных чисел!" sqref="AE581">
      <formula1>0</formula1>
      <formula2>9.99999999999999E+23</formula2>
    </dataValidation>
    <dataValidation type="decimal" allowBlank="1" showErrorMessage="1" errorTitle="Ошибка" error="Допускается ввод только неотрицательных чисел!" sqref="AC581">
      <formula1>0</formula1>
      <formula2>9.99999999999999E+23</formula2>
    </dataValidation>
    <dataValidation type="textLength" operator="lessThanOrEqual" allowBlank="1" showInputMessage="1" showErrorMessage="1" errorTitle="Ошибка" error="Допускается ввод не более 900 символов!" sqref="K5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decimal" allowBlank="1" showErrorMessage="1" errorTitle="Ошибка" error="Допускается ввод только неотрицательных чисел!" sqref="AE580">
      <formula1>0</formula1>
      <formula2>9.99999999999999E+23</formula2>
    </dataValidation>
    <dataValidation type="decimal" allowBlank="1" showErrorMessage="1" errorTitle="Ошибка" error="Допускается ввод только неотрицательных чисел!" sqref="AC580">
      <formula1>0</formula1>
      <formula2>9.99999999999999E+23</formula2>
    </dataValidation>
    <dataValidation type="textLength" operator="lessThanOrEqual" allowBlank="1" showInputMessage="1" showErrorMessage="1" errorTitle="Ошибка" error="Допускается ввод не более 900 символов!" sqref="K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decimal" allowBlank="1" showErrorMessage="1" errorTitle="Ошибка" error="Допускается ввод только неотрицательных чисел!" sqref="AE574">
      <formula1>0</formula1>
      <formula2>9.99999999999999E+23</formula2>
    </dataValidation>
    <dataValidation type="decimal" allowBlank="1" showErrorMessage="1" errorTitle="Ошибка" error="Допускается ввод только неотрицательных чисел!" sqref="AC574">
      <formula1>0</formula1>
      <formula2>9.99999999999999E+23</formula2>
    </dataValidation>
    <dataValidation type="textLength" operator="lessThanOrEqual" allowBlank="1" showInputMessage="1" showErrorMessage="1" errorTitle="Ошибка" error="Допускается ввод не более 900 символов!" sqref="K5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decimal" allowBlank="1" showErrorMessage="1" errorTitle="Ошибка" error="Допускается ввод только неотрицательных чисел!" sqref="AE573">
      <formula1>0</formula1>
      <formula2>9.99999999999999E+23</formula2>
    </dataValidation>
    <dataValidation type="decimal" allowBlank="1" showErrorMessage="1" errorTitle="Ошибка" error="Допускается ввод только неотрицательных чисел!" sqref="AC573">
      <formula1>0</formula1>
      <formula2>9.99999999999999E+23</formula2>
    </dataValidation>
    <dataValidation type="textLength" operator="lessThanOrEqual" allowBlank="1" showInputMessage="1" showErrorMessage="1" errorTitle="Ошибка" error="Допускается ввод не более 900 символов!" sqref="K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decimal" allowBlank="1" showErrorMessage="1" errorTitle="Ошибка" error="Допускается ввод только неотрицательных чисел!" sqref="AE562">
      <formula1>0</formula1>
      <formula2>9.99999999999999E+23</formula2>
    </dataValidation>
    <dataValidation type="decimal" allowBlank="1" showErrorMessage="1" errorTitle="Ошибка" error="Допускается ввод только неотрицательных чисел!" sqref="AC562">
      <formula1>0</formula1>
      <formula2>9.99999999999999E+23</formula2>
    </dataValidation>
    <dataValidation type="textLength" operator="lessThanOrEqual" allowBlank="1" showInputMessage="1" showErrorMessage="1" errorTitle="Ошибка" error="Допускается ввод не более 900 символов!" sqref="K5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decimal" allowBlank="1" showErrorMessage="1" errorTitle="Ошибка" error="Допускается ввод только неотрицательных чисел!" sqref="AE561">
      <formula1>0</formula1>
      <formula2>9.99999999999999E+23</formula2>
    </dataValidation>
    <dataValidation type="decimal" allowBlank="1" showErrorMessage="1" errorTitle="Ошибка" error="Допускается ввод только неотрицательных чисел!" sqref="AC561">
      <formula1>0</formula1>
      <formula2>9.99999999999999E+23</formula2>
    </dataValidation>
    <dataValidation type="textLength" operator="lessThanOrEqual" allowBlank="1" showInputMessage="1" showErrorMessage="1" errorTitle="Ошибка" error="Допускается ввод не более 900 символов!" sqref="K5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textLength" operator="lessThanOrEqual" allowBlank="1" showInputMessage="1" showErrorMessage="1" errorTitle="Ошибка" error="Допускается ввод не более 900 символов!" sqref="K7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decimal" allowBlank="1" showErrorMessage="1" errorTitle="Ошибка" error="Допускается ввод только неотрицательных чисел!" sqref="AE742">
      <formula1>0</formula1>
      <formula2>9.99999999999999E+23</formula2>
    </dataValidation>
    <dataValidation type="decimal" allowBlank="1" showErrorMessage="1" errorTitle="Ошибка" error="Допускается ввод только неотрицательных чисел!" sqref="AC742">
      <formula1>0</formula1>
      <formula2>9.99999999999999E+23</formula2>
    </dataValidation>
    <dataValidation type="textLength" operator="lessThanOrEqual" allowBlank="1" showInputMessage="1" showErrorMessage="1" errorTitle="Ошибка" error="Допускается ввод не более 900 символов!" sqref="K7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2">
      <formula1>"a"</formula1>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textLength" operator="lessThanOrEqual" allowBlank="1" showInputMessage="1" showErrorMessage="1" errorTitle="Ошибка" error="Допускается ввод не более 900 символов!" sqref="K7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1">
      <formula1>"a"</formula1>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textLength" operator="lessThanOrEqual" allowBlank="1" showInputMessage="1" showErrorMessage="1" errorTitle="Ошибка" error="Допускается ввод не более 900 символов!" sqref="M740">
      <formula1>900</formula1>
    </dataValidation>
    <dataValidation type="textLength" operator="lessThanOrEqual" allowBlank="1" showInputMessage="1" showErrorMessage="1" errorTitle="Ошибка" error="Допускается ввод не более 900 символов!" sqref="K7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0">
      <formula1>"a"</formula1>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textLength" operator="lessThanOrEqual" allowBlank="1" showInputMessage="1" showErrorMessage="1" errorTitle="Ошибка" error="Допускается ввод не более 900 символов!" sqref="K7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decimal" allowBlank="1" showErrorMessage="1" errorTitle="Ошибка" error="Допускается ввод только неотрицательных чисел!" sqref="AE735">
      <formula1>0</formula1>
      <formula2>9.99999999999999E+23</formula2>
    </dataValidation>
    <dataValidation type="decimal" allowBlank="1" showErrorMessage="1" errorTitle="Ошибка" error="Допускается ввод только неотрицательных чисел!" sqref="AC735">
      <formula1>0</formula1>
      <formula2>9.99999999999999E+23</formula2>
    </dataValidation>
    <dataValidation type="textLength" operator="lessThanOrEqual" allowBlank="1" showInputMessage="1" showErrorMessage="1" errorTitle="Ошибка" error="Допускается ввод не более 900 символов!" sqref="K7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textLength" operator="lessThanOrEqual" allowBlank="1" showInputMessage="1" showErrorMessage="1" errorTitle="Ошибка" error="Допускается ввод не более 900 символов!" sqref="K7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4">
      <formula1>"a"</formula1>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textLength" operator="lessThanOrEqual" allowBlank="1" showInputMessage="1" showErrorMessage="1" errorTitle="Ошибка" error="Допускается ввод не более 900 символов!" sqref="M733">
      <formula1>900</formula1>
    </dataValidation>
    <dataValidation type="textLength" operator="lessThanOrEqual" allowBlank="1" showInputMessage="1" showErrorMessage="1" errorTitle="Ошибка" error="Допускается ввод не более 900 символов!" sqref="K7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3">
      <formula1>"a"</formula1>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textLength" operator="lessThanOrEqual" allowBlank="1" showInputMessage="1" showErrorMessage="1" errorTitle="Ошибка" error="Допускается ввод не более 900 символов!" sqref="K7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1">
      <formula1>"a"</formula1>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decimal" allowBlank="1" showErrorMessage="1" errorTitle="Ошибка" error="Допускается ввод только неотрицательных чисел!" sqref="AE728">
      <formula1>0</formula1>
      <formula2>9.99999999999999E+23</formula2>
    </dataValidation>
    <dataValidation type="decimal" allowBlank="1" showErrorMessage="1" errorTitle="Ошибка" error="Допускается ввод только неотрицательных чисел!" sqref="AC728">
      <formula1>0</formula1>
      <formula2>9.99999999999999E+23</formula2>
    </dataValidation>
    <dataValidation type="textLength" operator="lessThanOrEqual" allowBlank="1" showInputMessage="1" showErrorMessage="1" errorTitle="Ошибка" error="Допускается ввод не более 900 символов!" sqref="K7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8">
      <formula1>"a"</formula1>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textLength" operator="lessThanOrEqual" allowBlank="1" showInputMessage="1" showErrorMessage="1" errorTitle="Ошибка" error="Допускается ввод не более 900 символов!" sqref="K7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7">
      <formula1>"a"</formula1>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textLength" operator="lessThanOrEqual" allowBlank="1" showInputMessage="1" showErrorMessage="1" errorTitle="Ошибка" error="Допускается ввод не более 900 символов!" sqref="M726">
      <formula1>900</formula1>
    </dataValidation>
    <dataValidation type="textLength" operator="lessThanOrEqual" allowBlank="1" showInputMessage="1" showErrorMessage="1" errorTitle="Ошибка" error="Допускается ввод не более 900 символов!" sqref="K7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textLength" operator="lessThanOrEqual" allowBlank="1" showInputMessage="1" showErrorMessage="1" errorTitle="Ошибка" error="Допускается ввод не более 900 символов!" sqref="K7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decimal" allowBlank="1" showErrorMessage="1" errorTitle="Ошибка" error="Допускается ввод только неотрицательных чисел!" sqref="AE721">
      <formula1>0</formula1>
      <formula2>9.99999999999999E+23</formula2>
    </dataValidation>
    <dataValidation type="decimal" allowBlank="1" showErrorMessage="1" errorTitle="Ошибка" error="Допускается ввод только неотрицательных чисел!" sqref="AC721">
      <formula1>0</formula1>
      <formula2>9.99999999999999E+23</formula2>
    </dataValidation>
    <dataValidation type="textLength" operator="lessThanOrEqual" allowBlank="1" showInputMessage="1" showErrorMessage="1" errorTitle="Ошибка" error="Допускается ввод не более 900 символов!" sqref="K7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1">
      <formula1>"a"</formula1>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textLength" operator="lessThanOrEqual" allowBlank="1" showInputMessage="1" showErrorMessage="1" errorTitle="Ошибка" error="Допускается ввод не более 900 символов!" sqref="K7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textLength" operator="lessThanOrEqual" allowBlank="1" showInputMessage="1" showErrorMessage="1" errorTitle="Ошибка" error="Допускается ввод не более 900 символов!" sqref="M719">
      <formula1>900</formula1>
    </dataValidation>
    <dataValidation type="textLength" operator="lessThanOrEqual" allowBlank="1" showInputMessage="1" showErrorMessage="1" errorTitle="Ошибка" error="Допускается ввод не более 900 символов!" sqref="K7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textLength" operator="lessThanOrEqual" allowBlank="1" showInputMessage="1" showErrorMessage="1" errorTitle="Ошибка" error="Допускается ввод не более 900 символов!" sqref="K7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7">
      <formula1>"a"</formula1>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decimal" allowBlank="1" showErrorMessage="1" errorTitle="Ошибка" error="Допускается ввод только неотрицательных чисел!" sqref="AE714">
      <formula1>0</formula1>
      <formula2>9.99999999999999E+23</formula2>
    </dataValidation>
    <dataValidation type="decimal" allowBlank="1" showErrorMessage="1" errorTitle="Ошибка" error="Допускается ввод только неотрицательных чисел!" sqref="AC714">
      <formula1>0</formula1>
      <formula2>9.99999999999999E+23</formula2>
    </dataValidation>
    <dataValidation type="textLength" operator="lessThanOrEqual" allowBlank="1" showInputMessage="1" showErrorMessage="1" errorTitle="Ошибка" error="Допускается ввод не более 900 символов!" sqref="K7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textLength" operator="lessThanOrEqual" allowBlank="1" showInputMessage="1" showErrorMessage="1" errorTitle="Ошибка" error="Допускается ввод не более 900 символов!" sqref="K7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textLength" operator="lessThanOrEqual" allowBlank="1" showInputMessage="1" showErrorMessage="1" errorTitle="Ошибка" error="Допускается ввод не более 900 символов!" sqref="M712">
      <formula1>900</formula1>
    </dataValidation>
    <dataValidation type="textLength" operator="lessThanOrEqual" allowBlank="1" showInputMessage="1" showErrorMessage="1" errorTitle="Ошибка" error="Допускается ввод не более 900 символов!" sqref="K7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textLength" operator="lessThanOrEqual" allowBlank="1" showInputMessage="1" showErrorMessage="1" errorTitle="Ошибка" error="Допускается ввод не более 900 символов!" sqref="K7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0">
      <formula1>"a"</formula1>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decimal" allowBlank="1" showErrorMessage="1" errorTitle="Ошибка" error="Допускается ввод только неотрицательных чисел!" sqref="AE708">
      <formula1>0</formula1>
      <formula2>9.99999999999999E+23</formula2>
    </dataValidation>
    <dataValidation type="decimal" allowBlank="1" showErrorMessage="1" errorTitle="Ошибка" error="Допускается ввод только неотрицательных чисел!" sqref="AC708">
      <formula1>0</formula1>
      <formula2>9.99999999999999E+23</formula2>
    </dataValidation>
    <dataValidation type="textLength" operator="lessThanOrEqual" allowBlank="1" showInputMessage="1" showErrorMessage="1" errorTitle="Ошибка" error="Допускается ввод не более 900 символов!" sqref="K7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textLength" operator="lessThanOrEqual" allowBlank="1" showInputMessage="1" showErrorMessage="1" errorTitle="Ошибка" error="Допускается ввод не более 900 символов!" sqref="K7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7">
      <formula1>"a"</formula1>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textLength" operator="lessThanOrEqual" allowBlank="1" showInputMessage="1" showErrorMessage="1" errorTitle="Ошибка" error="Допускается ввод не более 900 символов!" sqref="M706">
      <formula1>900</formula1>
    </dataValidation>
    <dataValidation type="textLength" operator="lessThanOrEqual" allowBlank="1" showInputMessage="1" showErrorMessage="1" errorTitle="Ошибка" error="Допускается ввод не более 900 символов!" sqref="K7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textLength" operator="lessThanOrEqual" allowBlank="1" showInputMessage="1" showErrorMessage="1" errorTitle="Ошибка" error="Допускается ввод не более 900 символов!" sqref="K7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4">
      <formula1>"a"</formula1>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decimal" allowBlank="1" showErrorMessage="1" errorTitle="Ошибка" error="Допускается ввод только неотрицательных чисел!" sqref="AE702">
      <formula1>0</formula1>
      <formula2>9.99999999999999E+23</formula2>
    </dataValidation>
    <dataValidation type="decimal" allowBlank="1" showErrorMessage="1" errorTitle="Ошибка" error="Допускается ввод только неотрицательных чисел!" sqref="AC702">
      <formula1>0</formula1>
      <formula2>9.99999999999999E+23</formula2>
    </dataValidation>
    <dataValidation type="textLength" operator="lessThanOrEqual" allowBlank="1" showInputMessage="1" showErrorMessage="1" errorTitle="Ошибка" error="Допускается ввод не более 900 символов!" sqref="K7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textLength" operator="lessThanOrEqual" allowBlank="1" showInputMessage="1" showErrorMessage="1" errorTitle="Ошибка" error="Допускается ввод не более 900 символов!" sqref="K7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1">
      <formula1>"a"</formula1>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textLength" operator="lessThanOrEqual" allowBlank="1" showInputMessage="1" showErrorMessage="1" errorTitle="Ошибка" error="Допускается ввод не более 900 символов!" sqref="M700">
      <formula1>900</formula1>
    </dataValidation>
    <dataValidation type="textLength" operator="lessThanOrEqual" allowBlank="1" showInputMessage="1" showErrorMessage="1" errorTitle="Ошибка" error="Допускается ввод не более 900 символов!" sqref="K7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textLength" operator="lessThanOrEqual" allowBlank="1" showInputMessage="1" showErrorMessage="1" errorTitle="Ошибка" error="Допускается ввод не более 900 символов!" sqref="K6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8">
      <formula1>"a"</formula1>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decimal" allowBlank="1" showErrorMessage="1" errorTitle="Ошибка" error="Допускается ввод только неотрицательных чисел!" sqref="AE696">
      <formula1>0</formula1>
      <formula2>9.99999999999999E+23</formula2>
    </dataValidation>
    <dataValidation type="decimal" allowBlank="1" showErrorMessage="1" errorTitle="Ошибка" error="Допускается ввод только неотрицательных чисел!" sqref="AC696">
      <formula1>0</formula1>
      <formula2>9.99999999999999E+23</formula2>
    </dataValidation>
    <dataValidation type="textLength" operator="lessThanOrEqual" allowBlank="1" showInputMessage="1" showErrorMessage="1" errorTitle="Ошибка" error="Допускается ввод не более 900 символов!" sqref="K6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textLength" operator="lessThanOrEqual" allowBlank="1" showInputMessage="1" showErrorMessage="1" errorTitle="Ошибка" error="Допускается ввод не более 900 символов!" sqref="K6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textLength" operator="lessThanOrEqual" allowBlank="1" showInputMessage="1" showErrorMessage="1" errorTitle="Ошибка" error="Допускается ввод не более 900 символов!" sqref="M694">
      <formula1>900</formula1>
    </dataValidation>
    <dataValidation type="textLength" operator="lessThanOrEqual" allowBlank="1" showInputMessage="1" showErrorMessage="1" errorTitle="Ошибка" error="Допускается ввод не более 900 символов!" sqref="K6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textLength" operator="lessThanOrEqual" allowBlank="1" showInputMessage="1" showErrorMessage="1" errorTitle="Ошибка" error="Допускается ввод не более 900 символов!" sqref="K6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2">
      <formula1>"a"</formula1>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decimal" allowBlank="1" showErrorMessage="1" errorTitle="Ошибка" error="Допускается ввод только неотрицательных чисел!" sqref="AE690">
      <formula1>0</formula1>
      <formula2>9.99999999999999E+23</formula2>
    </dataValidation>
    <dataValidation type="decimal" allowBlank="1" showErrorMessage="1" errorTitle="Ошибка" error="Допускается ввод только неотрицательных чисел!" sqref="AC690">
      <formula1>0</formula1>
      <formula2>9.99999999999999E+23</formula2>
    </dataValidation>
    <dataValidation type="textLength" operator="lessThanOrEqual" allowBlank="1" showInputMessage="1" showErrorMessage="1" errorTitle="Ошибка" error="Допускается ввод не более 900 символов!" sqref="K6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textLength" operator="lessThanOrEqual" allowBlank="1" showInputMessage="1" showErrorMessage="1" errorTitle="Ошибка" error="Допускается ввод не более 900 символов!" sqref="K6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9">
      <formula1>"a"</formula1>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textLength" operator="lessThanOrEqual" allowBlank="1" showInputMessage="1" showErrorMessage="1" errorTitle="Ошибка" error="Допускается ввод не более 900 символов!" sqref="M688">
      <formula1>900</formula1>
    </dataValidation>
    <dataValidation type="textLength" operator="lessThanOrEqual" allowBlank="1" showInputMessage="1" showErrorMessage="1" errorTitle="Ошибка" error="Допускается ввод не более 900 символов!" sqref="K6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textLength" operator="lessThanOrEqual" allowBlank="1" showInputMessage="1" showErrorMessage="1" errorTitle="Ошибка" error="Допускается ввод не более 900 символов!" sqref="K6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6">
      <formula1>"a"</formula1>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decimal" allowBlank="1" showErrorMessage="1" errorTitle="Ошибка" error="Допускается ввод только неотрицательных чисел!" sqref="AE684">
      <formula1>0</formula1>
      <formula2>9.99999999999999E+23</formula2>
    </dataValidation>
    <dataValidation type="decimal" allowBlank="1" showErrorMessage="1" errorTitle="Ошибка" error="Допускается ввод только неотрицательных чисел!" sqref="AC684">
      <formula1>0</formula1>
      <formula2>9.99999999999999E+23</formula2>
    </dataValidation>
    <dataValidation type="textLength" operator="lessThanOrEqual" allowBlank="1" showInputMessage="1" showErrorMessage="1" errorTitle="Ошибка" error="Допускается ввод не более 900 символов!" sqref="K6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textLength" operator="lessThanOrEqual" allowBlank="1" showInputMessage="1" showErrorMessage="1" errorTitle="Ошибка" error="Допускается ввод не более 900 символов!" sqref="K6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3">
      <formula1>"a"</formula1>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textLength" operator="lessThanOrEqual" allowBlank="1" showInputMessage="1" showErrorMessage="1" errorTitle="Ошибка" error="Допускается ввод не более 900 символов!" sqref="M682">
      <formula1>900</formula1>
    </dataValidation>
    <dataValidation type="textLength" operator="lessThanOrEqual" allowBlank="1" showInputMessage="1" showErrorMessage="1" errorTitle="Ошибка" error="Допускается ввод не более 900 символов!" sqref="K6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textLength" operator="lessThanOrEqual" allowBlank="1" showInputMessage="1" showErrorMessage="1" errorTitle="Ошибка" error="Допускается ввод не более 900 символов!" sqref="K6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decimal" allowBlank="1" showErrorMessage="1" errorTitle="Ошибка" error="Допускается ввод только неотрицательных чисел!" sqref="AE678">
      <formula1>0</formula1>
      <formula2>9.99999999999999E+23</formula2>
    </dataValidation>
    <dataValidation type="decimal" allowBlank="1" showErrorMessage="1" errorTitle="Ошибка" error="Допускается ввод только неотрицательных чисел!" sqref="AC678">
      <formula1>0</formula1>
      <formula2>9.99999999999999E+23</formula2>
    </dataValidation>
    <dataValidation type="textLength" operator="lessThanOrEqual" allowBlank="1" showInputMessage="1" showErrorMessage="1" errorTitle="Ошибка" error="Допускается ввод не более 900 символов!" sqref="K6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textLength" operator="lessThanOrEqual" allowBlank="1" showInputMessage="1" showErrorMessage="1" errorTitle="Ошибка" error="Допускается ввод не более 900 символов!" sqref="K6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7">
      <formula1>"a"</formula1>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textLength" operator="lessThanOrEqual" allowBlank="1" showInputMessage="1" showErrorMessage="1" errorTitle="Ошибка" error="Допускается ввод не более 900 символов!" sqref="M676">
      <formula1>900</formula1>
    </dataValidation>
    <dataValidation type="textLength" operator="lessThanOrEqual" allowBlank="1" showInputMessage="1" showErrorMessage="1" errorTitle="Ошибка" error="Допускается ввод не более 900 символов!" sqref="K6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textLength" operator="lessThanOrEqual" allowBlank="1" showInputMessage="1" showErrorMessage="1" errorTitle="Ошибка" error="Допускается ввод не более 900 символов!" sqref="K6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4">
      <formula1>"a"</formula1>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decimal" allowBlank="1" showErrorMessage="1" errorTitle="Ошибка" error="Допускается ввод только неотрицательных чисел!" sqref="AE672">
      <formula1>0</formula1>
      <formula2>9.99999999999999E+23</formula2>
    </dataValidation>
    <dataValidation type="decimal" allowBlank="1" showErrorMessage="1" errorTitle="Ошибка" error="Допускается ввод только неотрицательных чисел!" sqref="AC672">
      <formula1>0</formula1>
      <formula2>9.99999999999999E+23</formula2>
    </dataValidation>
    <dataValidation type="textLength" operator="lessThanOrEqual" allowBlank="1" showInputMessage="1" showErrorMessage="1" errorTitle="Ошибка" error="Допускается ввод не более 900 символов!" sqref="K6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textLength" operator="lessThanOrEqual" allowBlank="1" showInputMessage="1" showErrorMessage="1" errorTitle="Ошибка" error="Допускается ввод не более 900 символов!" sqref="K6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1">
      <formula1>"a"</formula1>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textLength" operator="lessThanOrEqual" allowBlank="1" showInputMessage="1" showErrorMessage="1" errorTitle="Ошибка" error="Допускается ввод не более 900 символов!" sqref="M670">
      <formula1>900</formula1>
    </dataValidation>
    <dataValidation type="textLength" operator="lessThanOrEqual" allowBlank="1" showInputMessage="1" showErrorMessage="1" errorTitle="Ошибка" error="Допускается ввод не более 900 символов!" sqref="K6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textLength" operator="lessThanOrEqual" allowBlank="1" showInputMessage="1" showErrorMessage="1" errorTitle="Ошибка" error="Допускается ввод не более 900 символов!" sqref="K6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decimal" allowBlank="1" showErrorMessage="1" errorTitle="Ошибка" error="Допускается ввод только неотрицательных чисел!" sqref="AE666">
      <formula1>0</formula1>
      <formula2>9.99999999999999E+23</formula2>
    </dataValidation>
    <dataValidation type="decimal" allowBlank="1" showErrorMessage="1" errorTitle="Ошибка" error="Допускается ввод только неотрицательных чисел!" sqref="AC666">
      <formula1>0</formula1>
      <formula2>9.99999999999999E+23</formula2>
    </dataValidation>
    <dataValidation type="textLength" operator="lessThanOrEqual" allowBlank="1" showInputMessage="1" showErrorMessage="1" errorTitle="Ошибка" error="Допускается ввод не более 900 символов!" sqref="K6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textLength" operator="lessThanOrEqual" allowBlank="1" showInputMessage="1" showErrorMessage="1" errorTitle="Ошибка" error="Допускается ввод не более 900 символов!" sqref="K6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5">
      <formula1>"a"</formula1>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textLength" operator="lessThanOrEqual" allowBlank="1" showInputMessage="1" showErrorMessage="1" errorTitle="Ошибка" error="Допускается ввод не более 900 символов!" sqref="M664">
      <formula1>900</formula1>
    </dataValidation>
    <dataValidation type="textLength" operator="lessThanOrEqual" allowBlank="1" showInputMessage="1" showErrorMessage="1" errorTitle="Ошибка" error="Допускается ввод не более 900 символов!" sqref="K6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textLength" operator="lessThanOrEqual" allowBlank="1" showInputMessage="1" showErrorMessage="1" errorTitle="Ошибка" error="Допускается ввод не более 900 символов!" sqref="K6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2">
      <formula1>"a"</formula1>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decimal" allowBlank="1" showErrorMessage="1" errorTitle="Ошибка" error="Допускается ввод только неотрицательных чисел!" sqref="AE660">
      <formula1>0</formula1>
      <formula2>9.99999999999999E+23</formula2>
    </dataValidation>
    <dataValidation type="decimal" allowBlank="1" showErrorMessage="1" errorTitle="Ошибка" error="Допускается ввод только неотрицательных чисел!" sqref="AC660">
      <formula1>0</formula1>
      <formula2>9.99999999999999E+23</formula2>
    </dataValidation>
    <dataValidation type="textLength" operator="lessThanOrEqual" allowBlank="1" showInputMessage="1" showErrorMessage="1" errorTitle="Ошибка" error="Допускается ввод не более 900 символов!" sqref="K6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textLength" operator="lessThanOrEqual" allowBlank="1" showInputMessage="1" showErrorMessage="1" errorTitle="Ошибка" error="Допускается ввод не более 900 символов!" sqref="K6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textLength" operator="lessThanOrEqual" allowBlank="1" showInputMessage="1" showErrorMessage="1" errorTitle="Ошибка" error="Допускается ввод не более 900 символов!" sqref="M658">
      <formula1>900</formula1>
    </dataValidation>
    <dataValidation type="textLength" operator="lessThanOrEqual" allowBlank="1" showInputMessage="1" showErrorMessage="1" errorTitle="Ошибка" error="Допускается ввод не более 900 символов!" sqref="K6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8">
      <formula1>"a"</formula1>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textLength" operator="lessThanOrEqual" allowBlank="1" showInputMessage="1" showErrorMessage="1" errorTitle="Ошибка" error="Допускается ввод не более 900 символов!" sqref="K6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6">
      <formula1>"a"</formula1>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decimal" allowBlank="1" showErrorMessage="1" errorTitle="Ошибка" error="Допускается ввод только неотрицательных чисел!" sqref="AE654">
      <formula1>0</formula1>
      <formula2>9.99999999999999E+23</formula2>
    </dataValidation>
    <dataValidation type="decimal" allowBlank="1" showErrorMessage="1" errorTitle="Ошибка" error="Допускается ввод только неотрицательных чисел!" sqref="AC654">
      <formula1>0</formula1>
      <formula2>9.99999999999999E+23</formula2>
    </dataValidation>
    <dataValidation type="textLength" operator="lessThanOrEqual" allowBlank="1" showInputMessage="1" showErrorMessage="1" errorTitle="Ошибка" error="Допускается ввод не более 900 символов!" sqref="K6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textLength" operator="lessThanOrEqual" allowBlank="1" showInputMessage="1" showErrorMessage="1" errorTitle="Ошибка" error="Допускается ввод не более 900 символов!" sqref="K6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textLength" operator="lessThanOrEqual" allowBlank="1" showInputMessage="1" showErrorMessage="1" errorTitle="Ошибка" error="Допускается ввод не более 900 символов!" sqref="M652">
      <formula1>900</formula1>
    </dataValidation>
    <dataValidation type="textLength" operator="lessThanOrEqual" allowBlank="1" showInputMessage="1" showErrorMessage="1" errorTitle="Ошибка" error="Допускается ввод не более 900 символов!" sqref="K6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textLength" operator="lessThanOrEqual" allowBlank="1" showInputMessage="1" showErrorMessage="1" errorTitle="Ошибка" error="Допускается ввод не более 900 символов!" sqref="K6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0">
      <formula1>"a"</formula1>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decimal" allowBlank="1" showErrorMessage="1" errorTitle="Ошибка" error="Допускается ввод только неотрицательных чисел!" sqref="AE648">
      <formula1>0</formula1>
      <formula2>9.99999999999999E+23</formula2>
    </dataValidation>
    <dataValidation type="decimal" allowBlank="1" showErrorMessage="1" errorTitle="Ошибка" error="Допускается ввод только неотрицательных чисел!" sqref="AC648">
      <formula1>0</formula1>
      <formula2>9.99999999999999E+23</formula2>
    </dataValidation>
    <dataValidation type="textLength" operator="lessThanOrEqual" allowBlank="1" showInputMessage="1" showErrorMessage="1" errorTitle="Ошибка" error="Допускается ввод не более 900 символов!" sqref="K6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textLength" operator="lessThanOrEqual" allowBlank="1" showInputMessage="1" showErrorMessage="1" errorTitle="Ошибка" error="Допускается ввод не более 900 символов!" sqref="K6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7">
      <formula1>"a"</formula1>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textLength" operator="lessThanOrEqual" allowBlank="1" showInputMessage="1" showErrorMessage="1" errorTitle="Ошибка" error="Допускается ввод не более 900 символов!" sqref="M646">
      <formula1>900</formula1>
    </dataValidation>
    <dataValidation type="textLength" operator="lessThanOrEqual" allowBlank="1" showInputMessage="1" showErrorMessage="1" errorTitle="Ошибка" error="Допускается ввод не более 900 символов!" sqref="K6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textLength" operator="lessThanOrEqual" allowBlank="1" showInputMessage="1" showErrorMessage="1" errorTitle="Ошибка" error="Допускается ввод не более 900 символов!" sqref="K6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4">
      <formula1>"a"</formula1>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decimal" allowBlank="1" showErrorMessage="1" errorTitle="Ошибка" error="Допускается ввод только неотрицательных чисел!" sqref="AE642">
      <formula1>0</formula1>
      <formula2>9.99999999999999E+23</formula2>
    </dataValidation>
    <dataValidation type="decimal" allowBlank="1" showErrorMessage="1" errorTitle="Ошибка" error="Допускается ввод только неотрицательных чисел!" sqref="AC642">
      <formula1>0</formula1>
      <formula2>9.99999999999999E+23</formula2>
    </dataValidation>
    <dataValidation type="textLength" operator="lessThanOrEqual" allowBlank="1" showInputMessage="1" showErrorMessage="1" errorTitle="Ошибка" error="Допускается ввод не более 900 символов!" sqref="K6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2">
      <formula1>"a"</formula1>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textLength" operator="lessThanOrEqual" allowBlank="1" showInputMessage="1" showErrorMessage="1" errorTitle="Ошибка" error="Допускается ввод не более 900 символов!" sqref="K6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textLength" operator="lessThanOrEqual" allowBlank="1" showInputMessage="1" showErrorMessage="1" errorTitle="Ошибка" error="Допускается ввод не более 900 символов!" sqref="M640">
      <formula1>900</formula1>
    </dataValidation>
    <dataValidation type="textLength" operator="lessThanOrEqual" allowBlank="1" showInputMessage="1" showErrorMessage="1" errorTitle="Ошибка" error="Допускается ввод не более 900 символов!" sqref="K6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textLength" operator="lessThanOrEqual" allowBlank="1" showInputMessage="1" showErrorMessage="1" errorTitle="Ошибка" error="Допускается ввод не более 900 символов!" sqref="K6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decimal" allowBlank="1" showErrorMessage="1" errorTitle="Ошибка" error="Допускается ввод только неотрицательных чисел!" sqref="AE636">
      <formula1>0</formula1>
      <formula2>9.99999999999999E+23</formula2>
    </dataValidation>
    <dataValidation type="decimal" allowBlank="1" showErrorMessage="1" errorTitle="Ошибка" error="Допускается ввод только неотрицательных чисел!" sqref="AC636">
      <formula1>0</formula1>
      <formula2>9.99999999999999E+23</formula2>
    </dataValidation>
    <dataValidation type="textLength" operator="lessThanOrEqual" allowBlank="1" showInputMessage="1" showErrorMessage="1" errorTitle="Ошибка" error="Допускается ввод не более 900 символов!" sqref="K6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6">
      <formula1>"a"</formula1>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textLength" operator="lessThanOrEqual" allowBlank="1" showInputMessage="1" showErrorMessage="1" errorTitle="Ошибка" error="Допускается ввод не более 900 символов!" sqref="K6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textLength" operator="lessThanOrEqual" allowBlank="1" showInputMessage="1" showErrorMessage="1" errorTitle="Ошибка" error="Допускается ввод не более 900 символов!" sqref="M634">
      <formula1>900</formula1>
    </dataValidation>
    <dataValidation type="textLength" operator="lessThanOrEqual" allowBlank="1" showInputMessage="1" showErrorMessage="1" errorTitle="Ошибка" error="Допускается ввод не более 900 символов!" sqref="K6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textLength" operator="lessThanOrEqual" allowBlank="1" showInputMessage="1" showErrorMessage="1" errorTitle="Ошибка" error="Допускается ввод не более 900 символов!" sqref="K6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2">
      <formula1>"a"</formula1>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decimal" allowBlank="1" showErrorMessage="1" errorTitle="Ошибка" error="Допускается ввод только неотрицательных чисел!" sqref="AE630">
      <formula1>0</formula1>
      <formula2>9.99999999999999E+23</formula2>
    </dataValidation>
    <dataValidation type="decimal" allowBlank="1" showErrorMessage="1" errorTitle="Ошибка" error="Допускается ввод только неотрицательных чисел!" sqref="AC630">
      <formula1>0</formula1>
      <formula2>9.99999999999999E+23</formula2>
    </dataValidation>
    <dataValidation type="textLength" operator="lessThanOrEqual" allowBlank="1" showInputMessage="1" showErrorMessage="1" errorTitle="Ошибка" error="Допускается ввод не более 900 символов!" sqref="K6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textLength" operator="lessThanOrEqual" allowBlank="1" showInputMessage="1" showErrorMessage="1" errorTitle="Ошибка" error="Допускается ввод не более 900 символов!" sqref="K6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textLength" operator="lessThanOrEqual" allowBlank="1" showInputMessage="1" showErrorMessage="1" errorTitle="Ошибка" error="Допускается ввод не более 900 символов!" sqref="M628">
      <formula1>900</formula1>
    </dataValidation>
    <dataValidation type="textLength" operator="lessThanOrEqual" allowBlank="1" showInputMessage="1" showErrorMessage="1" errorTitle="Ошибка" error="Допускается ввод не более 900 символов!" sqref="K6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textLength" operator="lessThanOrEqual" allowBlank="1" showInputMessage="1" showErrorMessage="1" errorTitle="Ошибка" error="Допускается ввод не более 900 символов!" sqref="K6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6">
      <formula1>"a"</formula1>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decimal" allowBlank="1" showErrorMessage="1" errorTitle="Ошибка" error="Допускается ввод только неотрицательных чисел!" sqref="AE624">
      <formula1>0</formula1>
      <formula2>9.99999999999999E+23</formula2>
    </dataValidation>
    <dataValidation type="decimal" allowBlank="1" showErrorMessage="1" errorTitle="Ошибка" error="Допускается ввод только неотрицательных чисел!" sqref="AC624">
      <formula1>0</formula1>
      <formula2>9.99999999999999E+23</formula2>
    </dataValidation>
    <dataValidation type="textLength" operator="lessThanOrEqual" allowBlank="1" showInputMessage="1" showErrorMessage="1" errorTitle="Ошибка" error="Допускается ввод не более 900 символов!" sqref="K6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textLength" operator="lessThanOrEqual" allowBlank="1" showInputMessage="1" showErrorMessage="1" errorTitle="Ошибка" error="Допускается ввод не более 900 символов!" sqref="K6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textLength" operator="lessThanOrEqual" allowBlank="1" showInputMessage="1" showErrorMessage="1" errorTitle="Ошибка" error="Допускается ввод не более 900 символов!" sqref="M622">
      <formula1>900</formula1>
    </dataValidation>
    <dataValidation type="textLength" operator="lessThanOrEqual" allowBlank="1" showInputMessage="1" showErrorMessage="1" errorTitle="Ошибка" error="Допускается ввод не более 900 символов!" sqref="K6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textLength" operator="lessThanOrEqual" allowBlank="1" showInputMessage="1" showErrorMessage="1" errorTitle="Ошибка" error="Допускается ввод не более 900 символов!" sqref="K6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0">
      <formula1>"a"</formula1>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decimal" allowBlank="1" showErrorMessage="1" errorTitle="Ошибка" error="Допускается ввод только неотрицательных чисел!" sqref="AE618">
      <formula1>0</formula1>
      <formula2>9.99999999999999E+23</formula2>
    </dataValidation>
    <dataValidation type="decimal" allowBlank="1" showErrorMessage="1" errorTitle="Ошибка" error="Допускается ввод только неотрицательных чисел!" sqref="AC618">
      <formula1>0</formula1>
      <formula2>9.99999999999999E+23</formula2>
    </dataValidation>
    <dataValidation type="textLength" operator="lessThanOrEqual" allowBlank="1" showInputMessage="1" showErrorMessage="1" errorTitle="Ошибка" error="Допускается ввод не более 900 символов!" sqref="K6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textLength" operator="lessThanOrEqual" allowBlank="1" showInputMessage="1" showErrorMessage="1" errorTitle="Ошибка" error="Допускается ввод не более 900 символов!" sqref="K6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textLength" operator="lessThanOrEqual" allowBlank="1" showInputMessage="1" showErrorMessage="1" errorTitle="Ошибка" error="Допускается ввод не более 900 символов!" sqref="M616">
      <formula1>900</formula1>
    </dataValidation>
    <dataValidation type="textLength" operator="lessThanOrEqual" allowBlank="1" showInputMessage="1" showErrorMessage="1" errorTitle="Ошибка" error="Допускается ввод не более 900 символов!" sqref="K6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textLength" operator="lessThanOrEqual" allowBlank="1" showInputMessage="1" showErrorMessage="1" errorTitle="Ошибка" error="Допускается ввод не более 900 символов!" sqref="K6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4">
      <formula1>"a"</formula1>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decimal" allowBlank="1" showErrorMessage="1" errorTitle="Ошибка" error="Допускается ввод только неотрицательных чисел!" sqref="AE612">
      <formula1>0</formula1>
      <formula2>9.99999999999999E+23</formula2>
    </dataValidation>
    <dataValidation type="decimal" allowBlank="1" showErrorMessage="1" errorTitle="Ошибка" error="Допускается ввод только неотрицательных чисел!" sqref="AC612">
      <formula1>0</formula1>
      <formula2>9.99999999999999E+23</formula2>
    </dataValidation>
    <dataValidation type="textLength" operator="lessThanOrEqual" allowBlank="1" showInputMessage="1" showErrorMessage="1" errorTitle="Ошибка" error="Допускается ввод не более 900 символов!" sqref="K6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textLength" operator="lessThanOrEqual" allowBlank="1" showInputMessage="1" showErrorMessage="1" errorTitle="Ошибка" error="Допускается ввод не более 900 символов!" sqref="K6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textLength" operator="lessThanOrEqual" allowBlank="1" showInputMessage="1" showErrorMessage="1" errorTitle="Ошибка" error="Допускается ввод не более 900 символов!" sqref="M610">
      <formula1>900</formula1>
    </dataValidation>
    <dataValidation type="textLength" operator="lessThanOrEqual" allowBlank="1" showInputMessage="1" showErrorMessage="1" errorTitle="Ошибка" error="Допускается ввод не более 900 символов!" sqref="K6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textLength" operator="lessThanOrEqual" allowBlank="1" showInputMessage="1" showErrorMessage="1" errorTitle="Ошибка" error="Допускается ввод не более 900 символов!" sqref="K6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8">
      <formula1>"a"</formula1>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decimal" allowBlank="1" showErrorMessage="1" errorTitle="Ошибка" error="Допускается ввод только неотрицательных чисел!" sqref="AE606">
      <formula1>0</formula1>
      <formula2>9.99999999999999E+23</formula2>
    </dataValidation>
    <dataValidation type="decimal" allowBlank="1" showErrorMessage="1" errorTitle="Ошибка" error="Допускается ввод только неотрицательных чисел!" sqref="AC606">
      <formula1>0</formula1>
      <formula2>9.99999999999999E+23</formula2>
    </dataValidation>
    <dataValidation type="textLength" operator="lessThanOrEqual" allowBlank="1" showInputMessage="1" showErrorMessage="1" errorTitle="Ошибка" error="Допускается ввод не более 900 символов!" sqref="K6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textLength" operator="lessThanOrEqual" allowBlank="1" showInputMessage="1" showErrorMessage="1" errorTitle="Ошибка" error="Допускается ввод не более 900 символов!" sqref="K6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textLength" operator="lessThanOrEqual" allowBlank="1" showInputMessage="1" showErrorMessage="1" errorTitle="Ошибка" error="Допускается ввод не более 900 символов!" sqref="M604">
      <formula1>900</formula1>
    </dataValidation>
    <dataValidation type="textLength" operator="lessThanOrEqual" allowBlank="1" showInputMessage="1" showErrorMessage="1" errorTitle="Ошибка" error="Допускается ввод не более 900 символов!" sqref="K6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textLength" operator="lessThanOrEqual" allowBlank="1" showInputMessage="1" showErrorMessage="1" errorTitle="Ошибка" error="Допускается ввод не более 900 символов!" sqref="K6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decimal" allowBlank="1" showErrorMessage="1" errorTitle="Ошибка" error="Допускается ввод только неотрицательных чисел!" sqref="AE600">
      <formula1>0</formula1>
      <formula2>9.99999999999999E+23</formula2>
    </dataValidation>
    <dataValidation type="decimal" allowBlank="1" showErrorMessage="1" errorTitle="Ошибка" error="Допускается ввод только неотрицательных чисел!" sqref="AC600">
      <formula1>0</formula1>
      <formula2>9.99999999999999E+23</formula2>
    </dataValidation>
    <dataValidation type="textLength" operator="lessThanOrEqual" allowBlank="1" showInputMessage="1" showErrorMessage="1" errorTitle="Ошибка" error="Допускается ввод не более 900 символов!" sqref="K6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textLength" operator="lessThanOrEqual" allowBlank="1" showInputMessage="1" showErrorMessage="1" errorTitle="Ошибка" error="Допускается ввод не более 900 символов!" sqref="K5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textLength" operator="lessThanOrEqual" allowBlank="1" showInputMessage="1" showErrorMessage="1" errorTitle="Ошибка" error="Допускается ввод не более 900 символов!" sqref="M598">
      <formula1>900</formula1>
    </dataValidation>
    <dataValidation type="textLength" operator="lessThanOrEqual" allowBlank="1" showInputMessage="1" showErrorMessage="1" errorTitle="Ошибка" error="Допускается ввод не более 900 символов!" sqref="K5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textLength" operator="lessThanOrEqual" allowBlank="1" showInputMessage="1" showErrorMessage="1" errorTitle="Ошибка" error="Допускается ввод не более 900 символов!" sqref="K5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6">
      <formula1>"a"</formula1>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decimal" allowBlank="1" showErrorMessage="1" errorTitle="Ошибка" error="Допускается ввод только неотрицательных чисел!" sqref="AE593">
      <formula1>0</formula1>
      <formula2>9.99999999999999E+23</formula2>
    </dataValidation>
    <dataValidation type="decimal" allowBlank="1" showErrorMessage="1" errorTitle="Ошибка" error="Допускается ввод только неотрицательных чисел!" sqref="AC593">
      <formula1>0</formula1>
      <formula2>9.99999999999999E+23</formula2>
    </dataValidation>
    <dataValidation type="textLength" operator="lessThanOrEqual" allowBlank="1" showInputMessage="1" showErrorMessage="1" errorTitle="Ошибка" error="Допускается ввод не более 900 символов!" sqref="K5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textLength" operator="lessThanOrEqual" allowBlank="1" showInputMessage="1" showErrorMessage="1" errorTitle="Ошибка" error="Допускается ввод не более 900 символов!" sqref="K5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textLength" operator="lessThanOrEqual" allowBlank="1" showInputMessage="1" showErrorMessage="1" errorTitle="Ошибка" error="Допускается ввод не более 900 символов!" sqref="M591">
      <formula1>900</formula1>
    </dataValidation>
    <dataValidation type="textLength" operator="lessThanOrEqual" allowBlank="1" showInputMessage="1" showErrorMessage="1" errorTitle="Ошибка" error="Допускается ввод не более 900 символов!" sqref="K5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textLength" operator="lessThanOrEqual" allowBlank="1" showInputMessage="1" showErrorMessage="1" errorTitle="Ошибка" error="Допускается ввод не более 900 символов!" sqref="K5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decimal" allowBlank="1" showErrorMessage="1" errorTitle="Ошибка" error="Допускается ввод только неотрицательных чисел!" sqref="AE586">
      <formula1>0</formula1>
      <formula2>9.99999999999999E+23</formula2>
    </dataValidation>
    <dataValidation type="decimal" allowBlank="1" showErrorMessage="1" errorTitle="Ошибка" error="Допускается ввод только неотрицательных чисел!" sqref="AC586">
      <formula1>0</formula1>
      <formula2>9.99999999999999E+23</formula2>
    </dataValidation>
    <dataValidation type="textLength" operator="lessThanOrEqual" allowBlank="1" showInputMessage="1" showErrorMessage="1" errorTitle="Ошибка" error="Допускается ввод не более 900 символов!" sqref="K5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textLength" operator="lessThanOrEqual" allowBlank="1" showInputMessage="1" showErrorMessage="1" errorTitle="Ошибка" error="Допускается ввод не более 900 символов!" sqref="K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textLength" operator="lessThanOrEqual" allowBlank="1" showInputMessage="1" showErrorMessage="1" errorTitle="Ошибка" error="Допускается ввод не более 900 символов!" sqref="M584">
      <formula1>900</formula1>
    </dataValidation>
    <dataValidation type="textLength" operator="lessThanOrEqual" allowBlank="1" showInputMessage="1" showErrorMessage="1" errorTitle="Ошибка" error="Допускается ввод не более 900 символов!" sqref="K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textLength" operator="lessThanOrEqual" allowBlank="1" showInputMessage="1" showErrorMessage="1" errorTitle="Ошибка" error="Допускается ввод не более 900 символов!" sqref="K5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decimal" allowBlank="1" showErrorMessage="1" errorTitle="Ошибка" error="Допускается ввод только неотрицательных чисел!" sqref="AE579">
      <formula1>0</formula1>
      <formula2>9.99999999999999E+23</formula2>
    </dataValidation>
    <dataValidation type="decimal" allowBlank="1" showErrorMessage="1" errorTitle="Ошибка" error="Допускается ввод только неотрицательных чисел!" sqref="AC579">
      <formula1>0</formula1>
      <formula2>9.99999999999999E+23</formula2>
    </dataValidation>
    <dataValidation type="textLength" operator="lessThanOrEqual" allowBlank="1" showInputMessage="1" showErrorMessage="1" errorTitle="Ошибка" error="Допускается ввод не более 900 символов!" sqref="K5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textLength" operator="lessThanOrEqual" allowBlank="1" showInputMessage="1" showErrorMessage="1" errorTitle="Ошибка" error="Допускается ввод не более 900 символов!" sqref="K5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textLength" operator="lessThanOrEqual" allowBlank="1" showInputMessage="1" showErrorMessage="1" errorTitle="Ошибка" error="Допускается ввод не более 900 символов!" sqref="M577">
      <formula1>900</formula1>
    </dataValidation>
    <dataValidation type="textLength" operator="lessThanOrEqual" allowBlank="1" showInputMessage="1" showErrorMessage="1" errorTitle="Ошибка" error="Допускается ввод не более 900 символов!" sqref="K5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decimal" allowBlank="1" showErrorMessage="1" errorTitle="Ошибка" error="Допускается ввод только неотрицательных чисел!" sqref="AE572">
      <formula1>0</formula1>
      <formula2>9.99999999999999E+23</formula2>
    </dataValidation>
    <dataValidation type="decimal" allowBlank="1" showErrorMessage="1" errorTitle="Ошибка" error="Допускается ввод только неотрицательных чисел!" sqref="AC572">
      <formula1>0</formula1>
      <formula2>9.99999999999999E+23</formula2>
    </dataValidation>
    <dataValidation type="textLength" operator="lessThanOrEqual" allowBlank="1" showInputMessage="1" showErrorMessage="1" errorTitle="Ошибка" error="Допускается ввод не более 900 символов!" sqref="K5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textLength" operator="lessThanOrEqual" allowBlank="1" showInputMessage="1" showErrorMessage="1" errorTitle="Ошибка" error="Допускается ввод не более 900 символов!" sqref="K5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textLength" operator="lessThanOrEqual" allowBlank="1" showInputMessage="1" showErrorMessage="1" errorTitle="Ошибка" error="Допускается ввод не более 900 символов!" sqref="M570">
      <formula1>900</formula1>
    </dataValidation>
    <dataValidation type="textLength" operator="lessThanOrEqual" allowBlank="1" showInputMessage="1" showErrorMessage="1" errorTitle="Ошибка" error="Допускается ввод не более 900 символов!" sqref="K5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textLength" operator="lessThanOrEqual" allowBlank="1" showInputMessage="1" showErrorMessage="1" errorTitle="Ошибка" error="Допускается ввод не более 900 символов!" sqref="K5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decimal" allowBlank="1" showErrorMessage="1" errorTitle="Ошибка" error="Допускается ввод только неотрицательных чисел!" sqref="AE567">
      <formula1>0</formula1>
      <formula2>9.99999999999999E+23</formula2>
    </dataValidation>
    <dataValidation type="decimal" allowBlank="1" showErrorMessage="1" errorTitle="Ошибка" error="Допускается ввод только неотрицательных чисел!" sqref="AC567">
      <formula1>0</formula1>
      <formula2>9.99999999999999E+23</formula2>
    </dataValidation>
    <dataValidation type="textLength" operator="lessThanOrEqual" allowBlank="1" showInputMessage="1" showErrorMessage="1" errorTitle="Ошибка" error="Допускается ввод не более 900 символов!" sqref="K5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textLength" operator="lessThanOrEqual" allowBlank="1" showInputMessage="1" showErrorMessage="1" errorTitle="Ошибка" error="Допускается ввод не более 900 символов!" sqref="K5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textLength" operator="lessThanOrEqual" allowBlank="1" showInputMessage="1" showErrorMessage="1" errorTitle="Ошибка" error="Допускается ввод не более 900 символов!" sqref="M565">
      <formula1>900</formula1>
    </dataValidation>
    <dataValidation type="textLength" operator="lessThanOrEqual" allowBlank="1" showInputMessage="1" showErrorMessage="1" errorTitle="Ошибка" error="Допускается ввод не более 900 символов!" sqref="K5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textLength" operator="lessThanOrEqual" allowBlank="1" showInputMessage="1" showErrorMessage="1" errorTitle="Ошибка" error="Допускается ввод не более 900 символов!" sqref="K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decimal" allowBlank="1" showErrorMessage="1" errorTitle="Ошибка" error="Допускается ввод только неотрицательных чисел!" sqref="AE560">
      <formula1>0</formula1>
      <formula2>9.99999999999999E+23</formula2>
    </dataValidation>
    <dataValidation type="decimal" allowBlank="1" showErrorMessage="1" errorTitle="Ошибка" error="Допускается ввод только неотрицательных чисел!" sqref="AC560">
      <formula1>0</formula1>
      <formula2>9.99999999999999E+23</formula2>
    </dataValidation>
    <dataValidation type="textLength" operator="lessThanOrEqual" allowBlank="1" showInputMessage="1" showErrorMessage="1" errorTitle="Ошибка" error="Допускается ввод не более 900 символов!" sqref="K5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textLength" operator="lessThanOrEqual" allowBlank="1" showInputMessage="1" showErrorMessage="1" errorTitle="Ошибка" error="Допускается ввод не более 900 символов!" sqref="K5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textLength" operator="lessThanOrEqual" allowBlank="1" showInputMessage="1" showErrorMessage="1" errorTitle="Ошибка" error="Допускается ввод не более 900 символов!" sqref="M558">
      <formula1>900</formula1>
    </dataValidation>
    <dataValidation type="textLength" operator="lessThanOrEqual" allowBlank="1" showInputMessage="1" showErrorMessage="1" errorTitle="Ошибка" error="Допускается ввод не более 900 символов!" sqref="K5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decimal" allowBlank="1" showErrorMessage="1" errorTitle="Ошибка" error="Допускается ввод только неотрицательных чисел!" sqref="AE499">
      <formula1>0</formula1>
      <formula2>9.99999999999999E+23</formula2>
    </dataValidation>
    <dataValidation type="decimal" allowBlank="1" showErrorMessage="1" errorTitle="Ошибка" error="Допускается ввод только неотрицательных чисел!" sqref="AC499">
      <formula1>0</formula1>
      <formula2>9.99999999999999E+23</formula2>
    </dataValidation>
    <dataValidation type="textLength" operator="lessThanOrEqual" allowBlank="1" showInputMessage="1" showErrorMessage="1" errorTitle="Ошибка" error="Допускается ввод не более 900 символов!" sqref="K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textLength" operator="lessThanOrEqual" allowBlank="1" showInputMessage="1" showErrorMessage="1" errorTitle="Ошибка" error="Допускается ввод не более 900 символов!" sqref="K5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decimal" allowBlank="1" showErrorMessage="1" errorTitle="Ошибка" error="Допускается ввод только неотрицательных чисел!" sqref="AE549">
      <formula1>0</formula1>
      <formula2>9.99999999999999E+23</formula2>
    </dataValidation>
    <dataValidation type="decimal" allowBlank="1" showErrorMessage="1" errorTitle="Ошибка" error="Допускается ввод только неотрицательных чисел!" sqref="AC549">
      <formula1>0</formula1>
      <formula2>9.99999999999999E+23</formula2>
    </dataValidation>
    <dataValidation type="textLength" operator="lessThanOrEqual" allowBlank="1" showInputMessage="1" showErrorMessage="1" errorTitle="Ошибка" error="Допускается ввод не более 900 символов!" sqref="K5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textLength" operator="lessThanOrEqual" allowBlank="1" showInputMessage="1" showErrorMessage="1" errorTitle="Ошибка" error="Допускается ввод не более 900 символов!" sqref="K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textLength" operator="lessThanOrEqual" allowBlank="1" showInputMessage="1" showErrorMessage="1" errorTitle="Ошибка" error="Допускается ввод не более 900 символов!" sqref="M547">
      <formula1>900</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textLength" operator="lessThanOrEqual" allowBlank="1" showInputMessage="1" showErrorMessage="1" errorTitle="Ошибка" error="Допускается ввод не более 900 символов!" sqref="K5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decimal" allowBlank="1" showErrorMessage="1" errorTitle="Ошибка" error="Допускается ввод только неотрицательных чисел!" sqref="AE544">
      <formula1>0</formula1>
      <formula2>9.99999999999999E+23</formula2>
    </dataValidation>
    <dataValidation type="decimal" allowBlank="1" showErrorMessage="1" errorTitle="Ошибка" error="Допускается ввод только неотрицательных чисел!" sqref="AC544">
      <formula1>0</formula1>
      <formula2>9.99999999999999E+23</formula2>
    </dataValidation>
    <dataValidation type="textLength" operator="lessThanOrEqual" allowBlank="1" showInputMessage="1" showErrorMessage="1" errorTitle="Ошибка" error="Допускается ввод не более 900 символов!" sqref="K5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textLength" operator="lessThanOrEqual" allowBlank="1" showInputMessage="1" showErrorMessage="1" errorTitle="Ошибка" error="Допускается ввод не более 900 символов!" sqref="K5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textLength" operator="lessThanOrEqual" allowBlank="1" showInputMessage="1" showErrorMessage="1" errorTitle="Ошибка" error="Допускается ввод не более 900 символов!" sqref="M542">
      <formula1>900</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textLength" operator="lessThanOrEqual" allowBlank="1" showInputMessage="1" showErrorMessage="1" errorTitle="Ошибка" error="Допускается ввод не более 900 символов!" sqref="K5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decimal" allowBlank="1" showErrorMessage="1" errorTitle="Ошибка" error="Допускается ввод только неотрицательных чисел!" sqref="AE539">
      <formula1>0</formula1>
      <formula2>9.99999999999999E+23</formula2>
    </dataValidation>
    <dataValidation type="decimal" allowBlank="1" showErrorMessage="1" errorTitle="Ошибка" error="Допускается ввод только неотрицательных чисел!" sqref="AC539">
      <formula1>0</formula1>
      <formula2>9.99999999999999E+23</formula2>
    </dataValidation>
    <dataValidation type="textLength" operator="lessThanOrEqual" allowBlank="1" showInputMessage="1" showErrorMessage="1" errorTitle="Ошибка" error="Допускается ввод не более 900 символов!" sqref="K5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textLength" operator="lessThanOrEqual" allowBlank="1" showInputMessage="1" showErrorMessage="1" errorTitle="Ошибка" error="Допускается ввод не более 900 символов!" sqref="K5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textLength" operator="lessThanOrEqual" allowBlank="1" showInputMessage="1" showErrorMessage="1" errorTitle="Ошибка" error="Допускается ввод не более 900 символов!" sqref="M537">
      <formula1>900</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textLength" operator="lessThanOrEqual" allowBlank="1" showInputMessage="1" showErrorMessage="1" errorTitle="Ошибка" error="Допускается ввод не более 900 символов!" sqref="K5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decimal" allowBlank="1" showErrorMessage="1" errorTitle="Ошибка" error="Допускается ввод только неотрицательных чисел!" sqref="AE534">
      <formula1>0</formula1>
      <formula2>9.99999999999999E+23</formula2>
    </dataValidation>
    <dataValidation type="decimal" allowBlank="1" showErrorMessage="1" errorTitle="Ошибка" error="Допускается ввод только неотрицательных чисел!" sqref="AC534">
      <formula1>0</formula1>
      <formula2>9.99999999999999E+23</formula2>
    </dataValidation>
    <dataValidation type="textLength" operator="lessThanOrEqual" allowBlank="1" showInputMessage="1" showErrorMessage="1" errorTitle="Ошибка" error="Допускается ввод не более 900 символов!" sqref="K5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textLength" operator="lessThanOrEqual" allowBlank="1" showInputMessage="1" showErrorMessage="1" errorTitle="Ошибка" error="Допускается ввод не более 900 символов!" sqref="K5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textLength" operator="lessThanOrEqual" allowBlank="1" showInputMessage="1" showErrorMessage="1" errorTitle="Ошибка" error="Допускается ввод не более 900 символов!" sqref="M532">
      <formula1>900</formula1>
    </dataValidation>
    <dataValidation type="textLength" operator="lessThanOrEqual" allowBlank="1" showInputMessage="1" showErrorMessage="1" errorTitle="Ошибка" error="Допускается ввод не более 900 символов!" sqref="K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textLength" operator="lessThanOrEqual" allowBlank="1" showInputMessage="1" showErrorMessage="1" errorTitle="Ошибка" error="Допускается ввод не более 900 символов!" sqref="K5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decimal" allowBlank="1" showErrorMessage="1" errorTitle="Ошибка" error="Допускается ввод только неотрицательных чисел!" sqref="AE529">
      <formula1>0</formula1>
      <formula2>9.99999999999999E+23</formula2>
    </dataValidation>
    <dataValidation type="decimal" allowBlank="1" showErrorMessage="1" errorTitle="Ошибка" error="Допускается ввод только неотрицательных чисел!" sqref="AC529">
      <formula1>0</formula1>
      <formula2>9.99999999999999E+23</formula2>
    </dataValidation>
    <dataValidation type="textLength" operator="lessThanOrEqual" allowBlank="1" showInputMessage="1" showErrorMessage="1" errorTitle="Ошибка" error="Допускается ввод не более 900 символов!" sqref="K5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textLength" operator="lessThanOrEqual" allowBlank="1" showInputMessage="1" showErrorMessage="1" errorTitle="Ошибка" error="Допускается ввод не более 900 символов!" sqref="K5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textLength" operator="lessThanOrEqual" allowBlank="1" showInputMessage="1" showErrorMessage="1" errorTitle="Ошибка" error="Допускается ввод не более 900 символов!" sqref="M527">
      <formula1>900</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textLength" operator="lessThanOrEqual" allowBlank="1" showInputMessage="1" showErrorMessage="1" errorTitle="Ошибка" error="Допускается ввод не более 900 символов!" sqref="K5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decimal" allowBlank="1" showErrorMessage="1" errorTitle="Ошибка" error="Допускается ввод только неотрицательных чисел!" sqref="AE524">
      <formula1>0</formula1>
      <formula2>9.99999999999999E+23</formula2>
    </dataValidation>
    <dataValidation type="decimal" allowBlank="1" showErrorMessage="1" errorTitle="Ошибка" error="Допускается ввод только неотрицательных чисел!" sqref="AC524">
      <formula1>0</formula1>
      <formula2>9.99999999999999E+23</formula2>
    </dataValidation>
    <dataValidation type="textLength" operator="lessThanOrEqual" allowBlank="1" showInputMessage="1" showErrorMessage="1" errorTitle="Ошибка" error="Допускается ввод не более 900 символов!" sqref="K5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textLength" operator="lessThanOrEqual" allowBlank="1" showInputMessage="1" showErrorMessage="1" errorTitle="Ошибка" error="Допускается ввод не более 900 символов!" sqref="K5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textLength" operator="lessThanOrEqual" allowBlank="1" showInputMessage="1" showErrorMessage="1" errorTitle="Ошибка" error="Допускается ввод не более 900 символов!" sqref="M522">
      <formula1>900</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textLength" operator="lessThanOrEqual" allowBlank="1" showInputMessage="1" showErrorMessage="1" errorTitle="Ошибка" error="Допускается ввод не более 900 символов!" sqref="K5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decimal" allowBlank="1" showErrorMessage="1" errorTitle="Ошибка" error="Допускается ввод только неотрицательных чисел!" sqref="AE519">
      <formula1>0</formula1>
      <formula2>9.99999999999999E+23</formula2>
    </dataValidation>
    <dataValidation type="decimal" allowBlank="1" showErrorMessage="1" errorTitle="Ошибка" error="Допускается ввод только неотрицательных чисел!" sqref="AC519">
      <formula1>0</formula1>
      <formula2>9.99999999999999E+23</formula2>
    </dataValidation>
    <dataValidation type="textLength" operator="lessThanOrEqual" allowBlank="1" showInputMessage="1" showErrorMessage="1" errorTitle="Ошибка" error="Допускается ввод не более 900 символов!" sqref="K5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textLength" operator="lessThanOrEqual" allowBlank="1" showInputMessage="1" showErrorMessage="1" errorTitle="Ошибка" error="Допускается ввод не более 900 символов!" sqref="K5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textLength" operator="lessThanOrEqual" allowBlank="1" showInputMessage="1" showErrorMessage="1" errorTitle="Ошибка" error="Допускается ввод не более 900 символов!" sqref="M517">
      <formula1>900</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textLength" operator="lessThanOrEqual" allowBlank="1" showInputMessage="1" showErrorMessage="1" errorTitle="Ошибка" error="Допускается ввод не более 900 символов!" sqref="K5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decimal" allowBlank="1" showErrorMessage="1" errorTitle="Ошибка" error="Допускается ввод только неотрицательных чисел!" sqref="AE514">
      <formula1>0</formula1>
      <formula2>9.99999999999999E+23</formula2>
    </dataValidation>
    <dataValidation type="decimal" allowBlank="1" showErrorMessage="1" errorTitle="Ошибка" error="Допускается ввод только неотрицательных чисел!" sqref="AC514">
      <formula1>0</formula1>
      <formula2>9.99999999999999E+23</formula2>
    </dataValidation>
    <dataValidation type="textLength" operator="lessThanOrEqual" allowBlank="1" showInputMessage="1" showErrorMessage="1" errorTitle="Ошибка" error="Допускается ввод не более 900 символов!" sqref="K5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textLength" operator="lessThanOrEqual" allowBlank="1" showInputMessage="1" showErrorMessage="1" errorTitle="Ошибка" error="Допускается ввод не более 900 символов!" sqref="K5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textLength" operator="lessThanOrEqual" allowBlank="1" showInputMessage="1" showErrorMessage="1" errorTitle="Ошибка" error="Допускается ввод не более 900 символов!" sqref="M512">
      <formula1>900</formula1>
    </dataValidation>
    <dataValidation type="textLength" operator="lessThanOrEqual" allowBlank="1" showInputMessage="1" showErrorMessage="1" errorTitle="Ошибка" error="Допускается ввод не более 900 символов!" sqref="K5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textLength" operator="lessThanOrEqual" allowBlank="1" showInputMessage="1" showErrorMessage="1" errorTitle="Ошибка" error="Допускается ввод не более 900 символов!" sqref="K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decimal" allowBlank="1" showErrorMessage="1" errorTitle="Ошибка" error="Допускается ввод только неотрицательных чисел!" sqref="AE509">
      <formula1>0</formula1>
      <formula2>9.99999999999999E+23</formula2>
    </dataValidation>
    <dataValidation type="decimal" allowBlank="1" showErrorMessage="1" errorTitle="Ошибка" error="Допускается ввод только неотрицательных чисел!" sqref="AC509">
      <formula1>0</formula1>
      <formula2>9.99999999999999E+23</formula2>
    </dataValidation>
    <dataValidation type="textLength" operator="lessThanOrEqual" allowBlank="1" showInputMessage="1" showErrorMessage="1" errorTitle="Ошибка" error="Допускается ввод не более 900 символов!" sqref="K5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textLength" operator="lessThanOrEqual" allowBlank="1" showInputMessage="1" showErrorMessage="1" errorTitle="Ошибка" error="Допускается ввод не более 900 символов!" sqref="K5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textLength" operator="lessThanOrEqual" allowBlank="1" showInputMessage="1" showErrorMessage="1" errorTitle="Ошибка" error="Допускается ввод не более 900 символов!" sqref="M507">
      <formula1>900</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textLength" operator="lessThanOrEqual" allowBlank="1" showInputMessage="1" showErrorMessage="1" errorTitle="Ошибка" error="Допускается ввод не более 900 символов!" sqref="K5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decimal" allowBlank="1" showErrorMessage="1" errorTitle="Ошибка" error="Допускается ввод только неотрицательных чисел!" sqref="AE504">
      <formula1>0</formula1>
      <formula2>9.99999999999999E+23</formula2>
    </dataValidation>
    <dataValidation type="decimal" allowBlank="1" showErrorMessage="1" errorTitle="Ошибка" error="Допускается ввод только неотрицательных чисел!" sqref="AC504">
      <formula1>0</formula1>
      <formula2>9.99999999999999E+23</formula2>
    </dataValidation>
    <dataValidation type="textLength" operator="lessThanOrEqual" allowBlank="1" showInputMessage="1" showErrorMessage="1" errorTitle="Ошибка" error="Допускается ввод не более 900 символов!" sqref="K5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textLength" operator="lessThanOrEqual" allowBlank="1" showInputMessage="1" showErrorMessage="1" errorTitle="Ошибка" error="Допускается ввод не более 900 символов!" sqref="K5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textLength" operator="lessThanOrEqual" allowBlank="1" showInputMessage="1" showErrorMessage="1" errorTitle="Ошибка" error="Допускается ввод не более 900 символов!" sqref="M502">
      <formula1>900</formula1>
    </dataValidation>
    <dataValidation type="textLength" operator="lessThanOrEqual" allowBlank="1" showInputMessage="1" showErrorMessage="1" errorTitle="Ошибка" error="Допускается ввод не более 900 символов!" sqref="K5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textLength" operator="lessThanOrEqual" allowBlank="1" showInputMessage="1" showErrorMessage="1" errorTitle="Ошибка" error="Допускается ввод не более 900 символов!" sqref="K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decimal" allowBlank="1" showErrorMessage="1" errorTitle="Ошибка" error="Допускается ввод только неотрицательных чисел!" sqref="AE498">
      <formula1>0</formula1>
      <formula2>9.99999999999999E+23</formula2>
    </dataValidation>
    <dataValidation type="decimal" allowBlank="1" showErrorMessage="1" errorTitle="Ошибка" error="Допускается ввод только неотрицательных чисел!" sqref="AC498">
      <formula1>0</formula1>
      <formula2>9.99999999999999E+23</formula2>
    </dataValidation>
    <dataValidation type="textLength" operator="lessThanOrEqual" allowBlank="1" showInputMessage="1" showErrorMessage="1" errorTitle="Ошибка" error="Допускается ввод не более 900 символов!" sqref="K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textLength" operator="lessThanOrEqual" allowBlank="1" showInputMessage="1" showErrorMessage="1" errorTitle="Ошибка" error="Допускается ввод не более 900 символов!" sqref="K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textLength" operator="lessThanOrEqual" allowBlank="1" showInputMessage="1" showErrorMessage="1" errorTitle="Ошибка" error="Допускается ввод не более 900 символов!" sqref="M496">
      <formula1>900</formula1>
    </dataValidation>
    <dataValidation type="textLength" operator="lessThanOrEqual" allowBlank="1" showInputMessage="1" showErrorMessage="1" errorTitle="Ошибка" error="Допускается ввод не более 900 символов!" sqref="K4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textLength" operator="lessThanOrEqual" allowBlank="1" showInputMessage="1" showErrorMessage="1" errorTitle="Ошибка" error="Допускается ввод не более 900 символов!" sqref="K4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decimal" allowBlank="1" showErrorMessage="1" errorTitle="Ошибка" error="Допускается ввод только неотрицательных чисел!" sqref="AE493">
      <formula1>0</formula1>
      <formula2>9.99999999999999E+23</formula2>
    </dataValidation>
    <dataValidation type="decimal" allowBlank="1" showErrorMessage="1" errorTitle="Ошибка" error="Допускается ввод только неотрицательных чисел!" sqref="AC493">
      <formula1>0</formula1>
      <formula2>9.99999999999999E+23</formula2>
    </dataValidation>
    <dataValidation type="textLength" operator="lessThanOrEqual" allowBlank="1" showInputMessage="1" showErrorMessage="1" errorTitle="Ошибка" error="Допускается ввод не более 900 символов!" sqref="K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textLength" operator="lessThanOrEqual" allowBlank="1" showInputMessage="1" showErrorMessage="1" errorTitle="Ошибка" error="Допускается ввод не более 900 символов!" sqref="K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textLength" operator="lessThanOrEqual" allowBlank="1" showInputMessage="1" showErrorMessage="1" errorTitle="Ошибка" error="Допускается ввод не более 900 символов!" sqref="M491">
      <formula1>900</formula1>
    </dataValidation>
    <dataValidation type="textLength" operator="lessThanOrEqual" allowBlank="1" showInputMessage="1" showErrorMessage="1" errorTitle="Ошибка" error="Допускается ввод не более 900 символов!" sqref="K4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textLength" operator="lessThanOrEqual" allowBlank="1" showInputMessage="1" showErrorMessage="1" errorTitle="Ошибка" error="Допускается ввод не более 900 символов!" sqref="K4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decimal" allowBlank="1" showErrorMessage="1" errorTitle="Ошибка" error="Допускается ввод только неотрицательных чисел!" sqref="AE488">
      <formula1>0</formula1>
      <formula2>9.99999999999999E+23</formula2>
    </dataValidation>
    <dataValidation type="decimal" allowBlank="1" showErrorMessage="1" errorTitle="Ошибка" error="Допускается ввод только неотрицательных чисел!" sqref="AC488">
      <formula1>0</formula1>
      <formula2>9.99999999999999E+23</formula2>
    </dataValidation>
    <dataValidation type="textLength" operator="lessThanOrEqual" allowBlank="1" showInputMessage="1" showErrorMessage="1" errorTitle="Ошибка" error="Допускается ввод не более 900 символов!" sqref="K4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textLength" operator="lessThanOrEqual" allowBlank="1" showInputMessage="1" showErrorMessage="1" errorTitle="Ошибка" error="Допускается ввод не более 900 символов!" sqref="K4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textLength" operator="lessThanOrEqual" allowBlank="1" showInputMessage="1" showErrorMessage="1" errorTitle="Ошибка" error="Допускается ввод не более 900 символов!" sqref="M486">
      <formula1>900</formula1>
    </dataValidation>
    <dataValidation type="textLength" operator="lessThanOrEqual" allowBlank="1" showInputMessage="1" showErrorMessage="1" errorTitle="Ошибка" error="Допускается ввод не более 900 символов!" sqref="K4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decimal" allowBlank="1" showErrorMessage="1" errorTitle="Ошибка" error="Допускается ввод только неотрицательных чисел!" sqref="AE477">
      <formula1>0</formula1>
      <formula2>9.99999999999999E+23</formula2>
    </dataValidation>
    <dataValidation type="decimal" allowBlank="1" showErrorMessage="1" errorTitle="Ошибка" error="Допускается ввод только неотрицательных чисел!" sqref="AC477">
      <formula1>0</formula1>
      <formula2>9.99999999999999E+23</formula2>
    </dataValidation>
    <dataValidation type="textLength" operator="lessThanOrEqual" allowBlank="1" showInputMessage="1" showErrorMessage="1" errorTitle="Ошибка" error="Допускается ввод не более 900 символов!" sqref="K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decimal" allowBlank="1" showErrorMessage="1" errorTitle="Ошибка" error="Допускается ввод только неотрицательных чисел!" sqref="AE471">
      <formula1>0</formula1>
      <formula2>9.99999999999999E+23</formula2>
    </dataValidation>
    <dataValidation type="decimal" allowBlank="1" showErrorMessage="1" errorTitle="Ошибка" error="Допускается ввод только неотрицательных чисел!" sqref="AC471">
      <formula1>0</formula1>
      <formula2>9.99999999999999E+23</formula2>
    </dataValidation>
    <dataValidation type="textLength" operator="lessThanOrEqual" allowBlank="1" showInputMessage="1" showErrorMessage="1" errorTitle="Ошибка" error="Допускается ввод не более 900 символов!" sqref="K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decimal" allowBlank="1" showErrorMessage="1" errorTitle="Ошибка" error="Допускается ввод только неотрицательных чисел!" sqref="AE465">
      <formula1>0</formula1>
      <formula2>9.99999999999999E+23</formula2>
    </dataValidation>
    <dataValidation type="decimal" allowBlank="1" showErrorMessage="1" errorTitle="Ошибка" error="Допускается ввод только неотрицательных чисел!" sqref="AC465">
      <formula1>0</formula1>
      <formula2>9.99999999999999E+23</formula2>
    </dataValidation>
    <dataValidation type="textLength" operator="lessThanOrEqual" allowBlank="1" showInputMessage="1" showErrorMessage="1" errorTitle="Ошибка" error="Допускается ввод не более 900 символов!" sqref="K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decimal" allowBlank="1" showErrorMessage="1" errorTitle="Ошибка" error="Допускается ввод только неотрицательных чисел!" sqref="AE459">
      <formula1>0</formula1>
      <formula2>9.99999999999999E+23</formula2>
    </dataValidation>
    <dataValidation type="decimal" allowBlank="1" showErrorMessage="1" errorTitle="Ошибка" error="Допускается ввод только неотрицательных чисел!" sqref="AC459">
      <formula1>0</formula1>
      <formula2>9.99999999999999E+23</formula2>
    </dataValidation>
    <dataValidation type="textLength" operator="lessThanOrEqual" allowBlank="1" showInputMessage="1" showErrorMessage="1" errorTitle="Ошибка" error="Допускается ввод не более 900 символов!" sqref="K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decimal" allowBlank="1" showErrorMessage="1" errorTitle="Ошибка" error="Допускается ввод только неотрицательных чисел!" sqref="AE448">
      <formula1>0</formula1>
      <formula2>9.99999999999999E+23</formula2>
    </dataValidation>
    <dataValidation type="decimal" allowBlank="1" showErrorMessage="1" errorTitle="Ошибка" error="Допускается ввод только неотрицательных чисел!" sqref="AC448">
      <formula1>0</formula1>
      <formula2>9.99999999999999E+23</formula2>
    </dataValidation>
    <dataValidation type="textLength" operator="lessThanOrEqual" allowBlank="1" showInputMessage="1" showErrorMessage="1" errorTitle="Ошибка" error="Допускается ввод не более 900 символов!" sqref="K4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decimal" allowBlank="1" showErrorMessage="1" errorTitle="Ошибка" error="Допускается ввод только неотрицательных чисел!" sqref="AE442">
      <formula1>0</formula1>
      <formula2>9.99999999999999E+23</formula2>
    </dataValidation>
    <dataValidation type="decimal" allowBlank="1" showErrorMessage="1" errorTitle="Ошибка" error="Допускается ввод только неотрицательных чисел!" sqref="AC442">
      <formula1>0</formula1>
      <formula2>9.99999999999999E+23</formula2>
    </dataValidation>
    <dataValidation type="textLength" operator="lessThanOrEqual" allowBlank="1" showInputMessage="1" showErrorMessage="1" errorTitle="Ошибка" error="Допускается ввод не более 900 символов!" sqref="K4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decimal" allowBlank="1" showErrorMessage="1" errorTitle="Ошибка" error="Допускается ввод только неотрицательных чисел!" sqref="AE436">
      <formula1>0</formula1>
      <formula2>9.99999999999999E+23</formula2>
    </dataValidation>
    <dataValidation type="decimal" allowBlank="1" showErrorMessage="1" errorTitle="Ошибка" error="Допускается ввод только неотрицательных чисел!" sqref="AC436">
      <formula1>0</formula1>
      <formula2>9.99999999999999E+23</formula2>
    </dataValidation>
    <dataValidation type="textLength" operator="lessThanOrEqual" allowBlank="1" showInputMessage="1" showErrorMessage="1" errorTitle="Ошибка" error="Допускается ввод не более 900 символов!" sqref="K4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decimal" allowBlank="1" showErrorMessage="1" errorTitle="Ошибка" error="Допускается ввод только неотрицательных чисел!" sqref="AE430">
      <formula1>0</formula1>
      <formula2>9.99999999999999E+23</formula2>
    </dataValidation>
    <dataValidation type="decimal" allowBlank="1" showErrorMessage="1" errorTitle="Ошибка" error="Допускается ввод только неотрицательных чисел!" sqref="AC430">
      <formula1>0</formula1>
      <formula2>9.99999999999999E+23</formula2>
    </dataValidation>
    <dataValidation type="textLength" operator="lessThanOrEqual" allowBlank="1" showInputMessage="1" showErrorMessage="1" errorTitle="Ошибка" error="Допускается ввод не более 900 символов!" sqref="K4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decimal" allowBlank="1" showErrorMessage="1" errorTitle="Ошибка" error="Допускается ввод только неотрицательных чисел!" sqref="AE424">
      <formula1>0</formula1>
      <formula2>9.99999999999999E+23</formula2>
    </dataValidation>
    <dataValidation type="decimal" allowBlank="1" showErrorMessage="1" errorTitle="Ошибка" error="Допускается ввод только неотрицательных чисел!" sqref="AC424">
      <formula1>0</formula1>
      <formula2>9.99999999999999E+23</formula2>
    </dataValidation>
    <dataValidation type="textLength" operator="lessThanOrEqual" allowBlank="1" showInputMessage="1" showErrorMessage="1" errorTitle="Ошибка" error="Допускается ввод не более 900 символов!" sqref="K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decimal" allowBlank="1" showErrorMessage="1" errorTitle="Ошибка" error="Допускается ввод только неотрицательных чисел!" sqref="AE418">
      <formula1>0</formula1>
      <formula2>9.99999999999999E+23</formula2>
    </dataValidation>
    <dataValidation type="decimal" allowBlank="1" showErrorMessage="1" errorTitle="Ошибка" error="Допускается ввод только неотрицательных чисел!" sqref="AC418">
      <formula1>0</formula1>
      <formula2>9.99999999999999E+23</formula2>
    </dataValidation>
    <dataValidation type="textLength" operator="lessThanOrEqual" allowBlank="1" showInputMessage="1" showErrorMessage="1" errorTitle="Ошибка" error="Допускается ввод не более 900 символов!" sqref="K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decimal" allowBlank="1" showErrorMessage="1" errorTitle="Ошибка" error="Допускается ввод только неотрицательных чисел!" sqref="AE412">
      <formula1>0</formula1>
      <formula2>9.99999999999999E+23</formula2>
    </dataValidation>
    <dataValidation type="decimal" allowBlank="1" showErrorMessage="1" errorTitle="Ошибка" error="Допускается ввод только неотрицательных чисел!" sqref="AC412">
      <formula1>0</formula1>
      <formula2>9.99999999999999E+23</formula2>
    </dataValidation>
    <dataValidation type="textLength" operator="lessThanOrEqual" allowBlank="1" showInputMessage="1" showErrorMessage="1" errorTitle="Ошибка" error="Допускается ввод не более 900 символов!" sqref="K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decimal" allowBlank="1" showErrorMessage="1" errorTitle="Ошибка" error="Допускается ввод только неотрицательных чисел!" sqref="AE406">
      <formula1>0</formula1>
      <formula2>9.99999999999999E+23</formula2>
    </dataValidation>
    <dataValidation type="decimal" allowBlank="1" showErrorMessage="1" errorTitle="Ошибка" error="Допускается ввод только неотрицательных чисел!" sqref="AC406">
      <formula1>0</formula1>
      <formula2>9.99999999999999E+23</formula2>
    </dataValidation>
    <dataValidation type="textLength" operator="lessThanOrEqual" allowBlank="1" showInputMessage="1" showErrorMessage="1" errorTitle="Ошибка" error="Допускается ввод не более 900 символов!" sqref="K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decimal" allowBlank="1" showErrorMessage="1" errorTitle="Ошибка" error="Допускается ввод только неотрицательных чисел!" sqref="AE400">
      <formula1>0</formula1>
      <formula2>9.99999999999999E+23</formula2>
    </dataValidation>
    <dataValidation type="decimal" allowBlank="1" showErrorMessage="1" errorTitle="Ошибка" error="Допускается ввод только неотрицательных чисел!" sqref="AC400">
      <formula1>0</formula1>
      <formula2>9.99999999999999E+23</formula2>
    </dataValidation>
    <dataValidation type="textLength" operator="lessThanOrEqual" allowBlank="1" showInputMessage="1" showErrorMessage="1" errorTitle="Ошибка" error="Допускается ввод не более 900 символов!" sqref="K4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textLength" operator="lessThanOrEqual" allowBlank="1" showInputMessage="1" showErrorMessage="1" errorTitle="Ошибка" error="Допускается ввод не более 900 символов!" sqref="K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decimal" allowBlank="1" showErrorMessage="1" errorTitle="Ошибка" error="Допускается ввод только неотрицательных чисел!" sqref="AE476">
      <formula1>0</formula1>
      <formula2>9.99999999999999E+23</formula2>
    </dataValidation>
    <dataValidation type="decimal" allowBlank="1" showErrorMessage="1" errorTitle="Ошибка" error="Допускается ввод только неотрицательных чисел!" sqref="AC476">
      <formula1>0</formula1>
      <formula2>9.99999999999999E+23</formula2>
    </dataValidation>
    <dataValidation type="textLength" operator="lessThanOrEqual" allowBlank="1" showInputMessage="1" showErrorMessage="1" errorTitle="Ошибка" error="Допускается ввод не более 900 символов!" sqref="K4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textLength" operator="lessThanOrEqual" allowBlank="1" showInputMessage="1" showErrorMessage="1" errorTitle="Ошибка" error="Допускается ввод не более 900 символов!" sqref="K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textLength" operator="lessThanOrEqual" allowBlank="1" showInputMessage="1" showErrorMessage="1" errorTitle="Ошибка" error="Допускается ввод не более 900 символов!" sqref="M474">
      <formula1>900</formula1>
    </dataValidation>
    <dataValidation type="textLength" operator="lessThanOrEqual" allowBlank="1" showInputMessage="1" showErrorMessage="1" errorTitle="Ошибка" error="Допускается ввод не более 900 символов!" sqref="K4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textLength" operator="lessThanOrEqual" allowBlank="1" showInputMessage="1" showErrorMessage="1" errorTitle="Ошибка" error="Допускается ввод не более 900 символов!" sqref="K4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decimal" allowBlank="1" showErrorMessage="1" errorTitle="Ошибка" error="Допускается ввод только неотрицательных чисел!" sqref="AE470">
      <formula1>0</formula1>
      <formula2>9.99999999999999E+23</formula2>
    </dataValidation>
    <dataValidation type="decimal" allowBlank="1" showErrorMessage="1" errorTitle="Ошибка" error="Допускается ввод только неотрицательных чисел!" sqref="AC470">
      <formula1>0</formula1>
      <formula2>9.99999999999999E+23</formula2>
    </dataValidation>
    <dataValidation type="textLength" operator="lessThanOrEqual" allowBlank="1" showInputMessage="1" showErrorMessage="1" errorTitle="Ошибка" error="Допускается ввод не более 900 символов!" sqref="K4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textLength" operator="lessThanOrEqual" allowBlank="1" showInputMessage="1" showErrorMessage="1" errorTitle="Ошибка" error="Допускается ввод не более 900 символов!" sqref="K4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textLength" operator="lessThanOrEqual" allowBlank="1" showInputMessage="1" showErrorMessage="1" errorTitle="Ошибка" error="Допускается ввод не более 900 символов!" sqref="M468">
      <formula1>900</formula1>
    </dataValidation>
    <dataValidation type="textLength" operator="lessThanOrEqual" allowBlank="1" showInputMessage="1" showErrorMessage="1" errorTitle="Ошибка" error="Допускается ввод не более 900 символов!" sqref="K4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textLength" operator="lessThanOrEqual" allowBlank="1" showInputMessage="1" showErrorMessage="1" errorTitle="Ошибка" error="Допускается ввод не более 900 символов!" sqref="K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decimal" allowBlank="1" showErrorMessage="1" errorTitle="Ошибка" error="Допускается ввод только неотрицательных чисел!" sqref="AE464">
      <formula1>0</formula1>
      <formula2>9.99999999999999E+23</formula2>
    </dataValidation>
    <dataValidation type="decimal" allowBlank="1" showErrorMessage="1" errorTitle="Ошибка" error="Допускается ввод только неотрицательных чисел!" sqref="AC464">
      <formula1>0</formula1>
      <formula2>9.99999999999999E+23</formula2>
    </dataValidation>
    <dataValidation type="textLength" operator="lessThanOrEqual" allowBlank="1" showInputMessage="1" showErrorMessage="1" errorTitle="Ошибка" error="Допускается ввод не более 900 символов!" sqref="K4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textLength" operator="lessThanOrEqual" allowBlank="1" showInputMessage="1" showErrorMessage="1" errorTitle="Ошибка" error="Допускается ввод не более 900 символов!" sqref="K4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textLength" operator="lessThanOrEqual" allowBlank="1" showInputMessage="1" showErrorMessage="1" errorTitle="Ошибка" error="Допускается ввод не более 900 символов!" sqref="M462">
      <formula1>900</formula1>
    </dataValidation>
    <dataValidation type="textLength" operator="lessThanOrEqual" allowBlank="1" showInputMessage="1" showErrorMessage="1" errorTitle="Ошибка" error="Допускается ввод не более 900 символов!" sqref="K4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textLength" operator="lessThanOrEqual" allowBlank="1" showInputMessage="1" showErrorMessage="1" errorTitle="Ошибка" error="Допускается ввод не более 900 символов!" sqref="K4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decimal" allowBlank="1" showErrorMessage="1" errorTitle="Ошибка" error="Допускается ввод только неотрицательных чисел!" sqref="AE458">
      <formula1>0</formula1>
      <formula2>9.99999999999999E+23</formula2>
    </dataValidation>
    <dataValidation type="decimal" allowBlank="1" showErrorMessage="1" errorTitle="Ошибка" error="Допускается ввод только неотрицательных чисел!" sqref="AC458">
      <formula1>0</formula1>
      <formula2>9.99999999999999E+23</formula2>
    </dataValidation>
    <dataValidation type="textLength" operator="lessThanOrEqual" allowBlank="1" showInputMessage="1" showErrorMessage="1" errorTitle="Ошибка" error="Допускается ввод не более 900 символов!" sqref="K4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textLength" operator="lessThanOrEqual" allowBlank="1" showInputMessage="1" showErrorMessage="1" errorTitle="Ошибка" error="Допускается ввод не более 900 символов!" sqref="K4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textLength" operator="lessThanOrEqual" allowBlank="1" showInputMessage="1" showErrorMessage="1" errorTitle="Ошибка" error="Допускается ввод не более 900 символов!" sqref="M456">
      <formula1>900</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textLength" operator="lessThanOrEqual" allowBlank="1" showInputMessage="1" showErrorMessage="1" errorTitle="Ошибка" error="Допускается ввод не более 900 символов!" sqref="K4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decimal" allowBlank="1" showErrorMessage="1" errorTitle="Ошибка" error="Допускается ввод только неотрицательных чисел!" sqref="AE453">
      <formula1>0</formula1>
      <formula2>9.99999999999999E+23</formula2>
    </dataValidation>
    <dataValidation type="decimal" allowBlank="1" showErrorMessage="1" errorTitle="Ошибка" error="Допускается ввод только неотрицательных чисел!" sqref="AC453">
      <formula1>0</formula1>
      <formula2>9.99999999999999E+23</formula2>
    </dataValidation>
    <dataValidation type="textLength" operator="lessThanOrEqual" allowBlank="1" showInputMessage="1" showErrorMessage="1" errorTitle="Ошибка" error="Допускается ввод не более 900 символов!" sqref="K4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textLength" operator="lessThanOrEqual" allowBlank="1" showInputMessage="1" showErrorMessage="1" errorTitle="Ошибка" error="Допускается ввод не более 900 символов!" sqref="K4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textLength" operator="lessThanOrEqual" allowBlank="1" showInputMessage="1" showErrorMessage="1" errorTitle="Ошибка" error="Допускается ввод не более 900 символов!" sqref="M451">
      <formula1>900</formula1>
    </dataValidation>
    <dataValidation type="textLength" operator="lessThanOrEqual" allowBlank="1" showInputMessage="1" showErrorMessage="1" errorTitle="Ошибка" error="Допускается ввод не более 900 символов!" sqref="K4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textLength" operator="lessThanOrEqual" allowBlank="1" showInputMessage="1" showErrorMessage="1" errorTitle="Ошибка" error="Допускается ввод не более 900 символов!" sqref="K4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decimal" allowBlank="1" showErrorMessage="1" errorTitle="Ошибка" error="Допускается ввод только неотрицательных чисел!" sqref="AE447">
      <formula1>0</formula1>
      <formula2>9.99999999999999E+23</formula2>
    </dataValidation>
    <dataValidation type="decimal" allowBlank="1" showErrorMessage="1" errorTitle="Ошибка" error="Допускается ввод только неотрицательных чисел!" sqref="AC447">
      <formula1>0</formula1>
      <formula2>9.99999999999999E+23</formula2>
    </dataValidation>
    <dataValidation type="textLength" operator="lessThanOrEqual" allowBlank="1" showInputMessage="1" showErrorMessage="1" errorTitle="Ошибка" error="Допускается ввод не более 900 символов!" sqref="K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textLength" operator="lessThanOrEqual" allowBlank="1" showInputMessage="1" showErrorMessage="1" errorTitle="Ошибка" error="Допускается ввод не более 900 символов!" sqref="K4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textLength" operator="lessThanOrEqual" allowBlank="1" showInputMessage="1" showErrorMessage="1" errorTitle="Ошибка" error="Допускается ввод не более 900 символов!" sqref="M445">
      <formula1>900</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textLength" operator="lessThanOrEqual" allowBlank="1" showInputMessage="1" showErrorMessage="1" errorTitle="Ошибка" error="Допускается ввод не более 900 символов!" sqref="K4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decimal" allowBlank="1" showErrorMessage="1" errorTitle="Ошибка" error="Допускается ввод только неотрицательных чисел!" sqref="AE441">
      <formula1>0</formula1>
      <formula2>9.99999999999999E+23</formula2>
    </dataValidation>
    <dataValidation type="decimal" allowBlank="1" showErrorMessage="1" errorTitle="Ошибка" error="Допускается ввод только неотрицательных чисел!" sqref="AC441">
      <formula1>0</formula1>
      <formula2>9.99999999999999E+23</formula2>
    </dataValidation>
    <dataValidation type="textLength" operator="lessThanOrEqual" allowBlank="1" showInputMessage="1" showErrorMessage="1" errorTitle="Ошибка" error="Допускается ввод не более 900 символов!" sqref="K4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textLength" operator="lessThanOrEqual" allowBlank="1" showInputMessage="1" showErrorMessage="1" errorTitle="Ошибка" error="Допускается ввод не более 900 символов!" sqref="K4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textLength" operator="lessThanOrEqual" allowBlank="1" showInputMessage="1" showErrorMessage="1" errorTitle="Ошибка" error="Допускается ввод не более 900 символов!" sqref="M439">
      <formula1>900</formula1>
    </dataValidation>
    <dataValidation type="textLength" operator="lessThanOrEqual" allowBlank="1" showInputMessage="1" showErrorMessage="1" errorTitle="Ошибка" error="Допускается ввод не более 900 символов!" sqref="K4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textLength" operator="lessThanOrEqual" allowBlank="1" showInputMessage="1" showErrorMessage="1" errorTitle="Ошибка" error="Допускается ввод не более 900 символов!" sqref="K4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decimal" allowBlank="1" showErrorMessage="1" errorTitle="Ошибка" error="Допускается ввод только неотрицательных чисел!" sqref="AE435">
      <formula1>0</formula1>
      <formula2>9.99999999999999E+23</formula2>
    </dataValidation>
    <dataValidation type="decimal" allowBlank="1" showErrorMessage="1" errorTitle="Ошибка" error="Допускается ввод только неотрицательных чисел!" sqref="AC435">
      <formula1>0</formula1>
      <formula2>9.99999999999999E+23</formula2>
    </dataValidation>
    <dataValidation type="textLength" operator="lessThanOrEqual" allowBlank="1" showInputMessage="1" showErrorMessage="1" errorTitle="Ошибка" error="Допускается ввод не более 900 символов!" sqref="K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textLength" operator="lessThanOrEqual" allowBlank="1" showInputMessage="1" showErrorMessage="1" errorTitle="Ошибка" error="Допускается ввод не более 900 символов!" sqref="K4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textLength" operator="lessThanOrEqual" allowBlank="1" showInputMessage="1" showErrorMessage="1" errorTitle="Ошибка" error="Допускается ввод не более 900 символов!" sqref="M433">
      <formula1>900</formula1>
    </dataValidation>
    <dataValidation type="textLength" operator="lessThanOrEqual" allowBlank="1" showInputMessage="1" showErrorMessage="1" errorTitle="Ошибка" error="Допускается ввод не более 900 символов!" sqref="K4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textLength" operator="lessThanOrEqual" allowBlank="1" showInputMessage="1" showErrorMessage="1" errorTitle="Ошибка" error="Допускается ввод не более 900 символов!" sqref="K4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decimal" allowBlank="1" showErrorMessage="1" errorTitle="Ошибка" error="Допускается ввод только неотрицательных чисел!" sqref="AE429">
      <formula1>0</formula1>
      <formula2>9.99999999999999E+23</formula2>
    </dataValidation>
    <dataValidation type="decimal" allowBlank="1" showErrorMessage="1" errorTitle="Ошибка" error="Допускается ввод только неотрицательных чисел!" sqref="AC429">
      <formula1>0</formula1>
      <formula2>9.99999999999999E+23</formula2>
    </dataValidation>
    <dataValidation type="textLength" operator="lessThanOrEqual" allowBlank="1" showInputMessage="1" showErrorMessage="1" errorTitle="Ошибка" error="Допускается ввод не более 900 символов!" sqref="K4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textLength" operator="lessThanOrEqual" allowBlank="1" showInputMessage="1" showErrorMessage="1" errorTitle="Ошибка" error="Допускается ввод не более 900 символов!" sqref="K4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textLength" operator="lessThanOrEqual" allowBlank="1" showInputMessage="1" showErrorMessage="1" errorTitle="Ошибка" error="Допускается ввод не более 900 символов!" sqref="M427">
      <formula1>900</formula1>
    </dataValidation>
    <dataValidation type="textLength" operator="lessThanOrEqual" allowBlank="1" showInputMessage="1" showErrorMessage="1" errorTitle="Ошибка" error="Допускается ввод не более 900 символов!" sqref="K4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textLength" operator="lessThanOrEqual" allowBlank="1" showInputMessage="1" showErrorMessage="1" errorTitle="Ошибка" error="Допускается ввод не более 900 символов!" sqref="K4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decimal" allowBlank="1" showErrorMessage="1" errorTitle="Ошибка" error="Допускается ввод только неотрицательных чисел!" sqref="AE423">
      <formula1>0</formula1>
      <formula2>9.99999999999999E+23</formula2>
    </dataValidation>
    <dataValidation type="decimal" allowBlank="1" showErrorMessage="1" errorTitle="Ошибка" error="Допускается ввод только неотрицательных чисел!" sqref="AC423">
      <formula1>0</formula1>
      <formula2>9.99999999999999E+23</formula2>
    </dataValidation>
    <dataValidation type="textLength" operator="lessThanOrEqual" allowBlank="1" showInputMessage="1" showErrorMessage="1" errorTitle="Ошибка" error="Допускается ввод не более 900 символов!" sqref="K4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textLength" operator="lessThanOrEqual" allowBlank="1" showInputMessage="1" showErrorMessage="1" errorTitle="Ошибка" error="Допускается ввод не более 900 символов!" sqref="K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textLength" operator="lessThanOrEqual" allowBlank="1" showInputMessage="1" showErrorMessage="1" errorTitle="Ошибка" error="Допускается ввод не более 900 символов!" sqref="M421">
      <formula1>900</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textLength" operator="lessThanOrEqual" allowBlank="1" showInputMessage="1" showErrorMessage="1" errorTitle="Ошибка" error="Допускается ввод не более 900 символов!" sqref="K4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decimal" allowBlank="1" showErrorMessage="1" errorTitle="Ошибка" error="Допускается ввод только неотрицательных чисел!" sqref="AE417">
      <formula1>0</formula1>
      <formula2>9.99999999999999E+23</formula2>
    </dataValidation>
    <dataValidation type="decimal" allowBlank="1" showErrorMessage="1" errorTitle="Ошибка" error="Допускается ввод только неотрицательных чисел!" sqref="AC417">
      <formula1>0</formula1>
      <formula2>9.99999999999999E+23</formula2>
    </dataValidation>
    <dataValidation type="textLength" operator="lessThanOrEqual" allowBlank="1" showInputMessage="1" showErrorMessage="1" errorTitle="Ошибка" error="Допускается ввод не более 900 символов!" sqref="K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textLength" operator="lessThanOrEqual" allowBlank="1" showInputMessage="1" showErrorMessage="1" errorTitle="Ошибка" error="Допускается ввод не более 900 символов!" sqref="K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textLength" operator="lessThanOrEqual" allowBlank="1" showInputMessage="1" showErrorMessage="1" errorTitle="Ошибка" error="Допускается ввод не более 900 символов!" sqref="M415">
      <formula1>900</formula1>
    </dataValidation>
    <dataValidation type="textLength" operator="lessThanOrEqual" allowBlank="1" showInputMessage="1" showErrorMessage="1" errorTitle="Ошибка" error="Допускается ввод не более 900 символов!" sqref="K4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textLength" operator="lessThanOrEqual" allowBlank="1" showInputMessage="1" showErrorMessage="1" errorTitle="Ошибка" error="Допускается ввод не более 900 символов!" sqref="K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decimal" allowBlank="1" showErrorMessage="1" errorTitle="Ошибка" error="Допускается ввод только неотрицательных чисел!" sqref="AE411">
      <formula1>0</formula1>
      <formula2>9.99999999999999E+23</formula2>
    </dataValidation>
    <dataValidation type="decimal" allowBlank="1" showErrorMessage="1" errorTitle="Ошибка" error="Допускается ввод только неотрицательных чисел!" sqref="AC411">
      <formula1>0</formula1>
      <formula2>9.99999999999999E+23</formula2>
    </dataValidation>
    <dataValidation type="textLength" operator="lessThanOrEqual" allowBlank="1" showInputMessage="1" showErrorMessage="1" errorTitle="Ошибка" error="Допускается ввод не более 900 символов!" sqref="K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textLength" operator="lessThanOrEqual" allowBlank="1" showInputMessage="1" showErrorMessage="1" errorTitle="Ошибка" error="Допускается ввод не более 900 символов!" sqref="K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textLength" operator="lessThanOrEqual" allowBlank="1" showInputMessage="1" showErrorMessage="1" errorTitle="Ошибка" error="Допускается ввод не более 900 символов!" sqref="M409">
      <formula1>900</formula1>
    </dataValidation>
    <dataValidation type="textLength" operator="lessThanOrEqual" allowBlank="1" showInputMessage="1" showErrorMessage="1" errorTitle="Ошибка" error="Допускается ввод не более 900 символов!" sqref="K4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textLength" operator="lessThanOrEqual" allowBlank="1" showInputMessage="1" showErrorMessage="1" errorTitle="Ошибка" error="Допускается ввод не более 900 символов!" sqref="K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decimal" allowBlank="1" showErrorMessage="1" errorTitle="Ошибка" error="Допускается ввод только неотрицательных чисел!" sqref="AE405">
      <formula1>0</formula1>
      <formula2>9.99999999999999E+23</formula2>
    </dataValidation>
    <dataValidation type="decimal" allowBlank="1" showErrorMessage="1" errorTitle="Ошибка" error="Допускается ввод только неотрицательных чисел!" sqref="AC405">
      <formula1>0</formula1>
      <formula2>9.99999999999999E+23</formula2>
    </dataValidation>
    <dataValidation type="textLength" operator="lessThanOrEqual" allowBlank="1" showInputMessage="1" showErrorMessage="1" errorTitle="Ошибка" error="Допускается ввод не более 900 символов!" sqref="K4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textLength" operator="lessThanOrEqual" allowBlank="1" showInputMessage="1" showErrorMessage="1" errorTitle="Ошибка" error="Допускается ввод не более 900 символов!" sqref="K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textLength" operator="lessThanOrEqual" allowBlank="1" showInputMessage="1" showErrorMessage="1" errorTitle="Ошибка" error="Допускается ввод не более 900 символов!" sqref="M403">
      <formula1>900</formula1>
    </dataValidation>
    <dataValidation type="textLength" operator="lessThanOrEqual" allowBlank="1" showInputMessage="1" showErrorMessage="1" errorTitle="Ошибка" error="Допускается ввод не более 900 символов!" sqref="K4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textLength" operator="lessThanOrEqual" allowBlank="1" showInputMessage="1" showErrorMessage="1" errorTitle="Ошибка" error="Допускается ввод не более 900 символов!" sqref="K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decimal" allowBlank="1" showErrorMessage="1" errorTitle="Ошибка" error="Допускается ввод только неотрицательных чисел!" sqref="AE399">
      <formula1>0</formula1>
      <formula2>9.99999999999999E+23</formula2>
    </dataValidation>
    <dataValidation type="decimal" allowBlank="1" showErrorMessage="1" errorTitle="Ошибка" error="Допускается ввод только неотрицательных чисел!" sqref="AC399">
      <formula1>0</formula1>
      <formula2>9.99999999999999E+23</formula2>
    </dataValidation>
    <dataValidation type="textLength" operator="lessThanOrEqual" allowBlank="1" showInputMessage="1" showErrorMessage="1" errorTitle="Ошибка" error="Допускается ввод не более 900 символов!" sqref="K3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textLength" operator="lessThanOrEqual" allowBlank="1" showInputMessage="1" showErrorMessage="1" errorTitle="Ошибка" error="Допускается ввод не более 900 символов!" sqref="K3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textLength" operator="lessThanOrEqual" allowBlank="1" showInputMessage="1" showErrorMessage="1" errorTitle="Ошибка" error="Допускается ввод не более 900 символов!" sqref="M397">
      <formula1>900</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textLength" operator="lessThanOrEqual" allowBlank="1" showInputMessage="1" showErrorMessage="1" errorTitle="Ошибка" error="Допускается ввод не более 900 символов!" sqref="K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decimal" allowBlank="1" showErrorMessage="1" errorTitle="Ошибка" error="Допускается ввод только неотрицательных чисел!" sqref="AE388">
      <formula1>0</formula1>
      <formula2>9.99999999999999E+23</formula2>
    </dataValidation>
    <dataValidation type="decimal" allowBlank="1" showErrorMessage="1" errorTitle="Ошибка" error="Допускается ввод только неотрицательных чисел!" sqref="AC388">
      <formula1>0</formula1>
      <formula2>9.99999999999999E+23</formula2>
    </dataValidation>
    <dataValidation type="textLength" operator="lessThanOrEqual" allowBlank="1" showInputMessage="1" showErrorMessage="1" errorTitle="Ошибка" error="Допускается ввод не более 900 символов!" sqref="K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textLength" operator="lessThanOrEqual" allowBlank="1" showInputMessage="1" showErrorMessage="1" errorTitle="Ошибка" error="Допускается ввод не более 900 символов!" sqref="K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textLength" operator="lessThanOrEqual" allowBlank="1" showInputMessage="1" showErrorMessage="1" errorTitle="Ошибка" error="Допускается ввод не более 900 символов!" sqref="M386">
      <formula1>900</formula1>
    </dataValidation>
    <dataValidation type="textLength" operator="lessThanOrEqual" allowBlank="1" showInputMessage="1" showErrorMessage="1" errorTitle="Ошибка" error="Допускается ввод не более 900 символов!" sqref="K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textLength" operator="lessThanOrEqual" allowBlank="1" showInputMessage="1" showErrorMessage="1" errorTitle="Ошибка" error="Допускается ввод не более 900 символов!" sqref="K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decimal" allowBlank="1" showErrorMessage="1" errorTitle="Ошибка" error="Допускается ввод только неотрицательных чисел!" sqref="AE383">
      <formula1>0</formula1>
      <formula2>9.99999999999999E+23</formula2>
    </dataValidation>
    <dataValidation type="decimal" allowBlank="1" showErrorMessage="1" errorTitle="Ошибка" error="Допускается ввод только неотрицательных чисел!" sqref="AC383">
      <formula1>0</formula1>
      <formula2>9.99999999999999E+23</formula2>
    </dataValidation>
    <dataValidation type="textLength" operator="lessThanOrEqual" allowBlank="1" showInputMessage="1" showErrorMessage="1" errorTitle="Ошибка" error="Допускается ввод не более 900 символов!" sqref="K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textLength" operator="lessThanOrEqual" allowBlank="1" showInputMessage="1" showErrorMessage="1" errorTitle="Ошибка" error="Допускается ввод не более 900 символов!" sqref="K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textLength" operator="lessThanOrEqual" allowBlank="1" showInputMessage="1" showErrorMessage="1" errorTitle="Ошибка" error="Допускается ввод не более 900 символов!" sqref="M381">
      <formula1>900</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textLength" operator="lessThanOrEqual" allowBlank="1" showInputMessage="1" showErrorMessage="1" errorTitle="Ошибка" error="Допускается ввод не более 900 символов!" sqref="K3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decimal" allowBlank="1" showErrorMessage="1" errorTitle="Ошибка" error="Допускается ввод только неотрицательных чисел!" sqref="AE378">
      <formula1>0</formula1>
      <formula2>9.99999999999999E+23</formula2>
    </dataValidation>
    <dataValidation type="decimal" allowBlank="1" showErrorMessage="1" errorTitle="Ошибка" error="Допускается ввод только неотрицательных чисел!" sqref="AC378">
      <formula1>0</formula1>
      <formula2>9.99999999999999E+23</formula2>
    </dataValidation>
    <dataValidation type="textLength" operator="lessThanOrEqual" allowBlank="1" showInputMessage="1" showErrorMessage="1" errorTitle="Ошибка" error="Допускается ввод не более 900 символов!" sqref="K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textLength" operator="lessThanOrEqual" allowBlank="1" showInputMessage="1" showErrorMessage="1" errorTitle="Ошибка" error="Допускается ввод не более 900 символов!" sqref="K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textLength" operator="lessThanOrEqual" allowBlank="1" showInputMessage="1" showErrorMessage="1" errorTitle="Ошибка" error="Допускается ввод не более 900 символов!" sqref="M376">
      <formula1>900</formula1>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textLength" operator="lessThanOrEqual" allowBlank="1" showInputMessage="1" showErrorMessage="1" errorTitle="Ошибка" error="Допускается ввод не более 900 символов!" sqref="K3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decimal" allowBlank="1" showErrorMessage="1" errorTitle="Ошибка" error="Допускается ввод только неотрицательных чисел!" sqref="AE373">
      <formula1>0</formula1>
      <formula2>9.99999999999999E+23</formula2>
    </dataValidation>
    <dataValidation type="decimal" allowBlank="1" showErrorMessage="1" errorTitle="Ошибка" error="Допускается ввод только неотрицательных чисел!" sqref="AC373">
      <formula1>0</formula1>
      <formula2>9.99999999999999E+23</formula2>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textLength" operator="lessThanOrEqual" allowBlank="1" showInputMessage="1" showErrorMessage="1" errorTitle="Ошибка" error="Допускается ввод не более 900 символов!" sqref="K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textLength" operator="lessThanOrEqual" allowBlank="1" showInputMessage="1" showErrorMessage="1" errorTitle="Ошибка" error="Допускается ввод не более 900 символов!" sqref="M371">
      <formula1>900</formula1>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textLength" operator="lessThanOrEqual" allowBlank="1" showInputMessage="1" showErrorMessage="1" errorTitle="Ошибка" error="Допускается ввод не более 900 символов!" sqref="K3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decimal" allowBlank="1" showErrorMessage="1" errorTitle="Ошибка" error="Допускается ввод только неотрицательных чисел!" sqref="AE368">
      <formula1>0</formula1>
      <formula2>9.99999999999999E+23</formula2>
    </dataValidation>
    <dataValidation type="decimal" allowBlank="1" showErrorMessage="1" errorTitle="Ошибка" error="Допускается ввод только неотрицательных чисел!" sqref="AC368">
      <formula1>0</formula1>
      <formula2>9.99999999999999E+23</formula2>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textLength" operator="lessThanOrEqual" allowBlank="1" showInputMessage="1" showErrorMessage="1" errorTitle="Ошибка" error="Допускается ввод не более 900 символов!" sqref="K3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textLength" operator="lessThanOrEqual" allowBlank="1" showInputMessage="1" showErrorMessage="1" errorTitle="Ошибка" error="Допускается ввод не более 900 символов!" sqref="M366">
      <formula1>900</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textLength" operator="lessThanOrEqual" allowBlank="1" showInputMessage="1" showErrorMessage="1" errorTitle="Ошибка" error="Допускается ввод не более 900 символов!" sqref="K3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decimal" allowBlank="1" showErrorMessage="1" errorTitle="Ошибка" error="Допускается ввод только неотрицательных чисел!" sqref="AE363">
      <formula1>0</formula1>
      <formula2>9.99999999999999E+23</formula2>
    </dataValidation>
    <dataValidation type="decimal" allowBlank="1" showErrorMessage="1" errorTitle="Ошибка" error="Допускается ввод только неотрицательных чисел!" sqref="AC363">
      <formula1>0</formula1>
      <formula2>9.99999999999999E+23</formula2>
    </dataValidation>
    <dataValidation type="textLength" operator="lessThanOrEqual" allowBlank="1" showInputMessage="1" showErrorMessage="1" errorTitle="Ошибка" error="Допускается ввод не более 900 символов!" sqref="K3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textLength" operator="lessThanOrEqual" allowBlank="1" showInputMessage="1" showErrorMessage="1" errorTitle="Ошибка" error="Допускается ввод не более 900 символов!" sqref="K3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textLength" operator="lessThanOrEqual" allowBlank="1" showInputMessage="1" showErrorMessage="1" errorTitle="Ошибка" error="Допускается ввод не более 900 символов!" sqref="M361">
      <formula1>900</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textLength" operator="lessThanOrEqual" allowBlank="1" showInputMessage="1" showErrorMessage="1" errorTitle="Ошибка" error="Допускается ввод не более 900 символов!" sqref="K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decimal" allowBlank="1" showErrorMessage="1" errorTitle="Ошибка" error="Допускается ввод только неотрицательных чисел!" sqref="AE358">
      <formula1>0</formula1>
      <formula2>9.99999999999999E+23</formula2>
    </dataValidation>
    <dataValidation type="decimal" allowBlank="1" showErrorMessage="1" errorTitle="Ошибка" error="Допускается ввод только неотрицательных чисел!" sqref="AC358">
      <formula1>0</formula1>
      <formula2>9.99999999999999E+23</formula2>
    </dataValidation>
    <dataValidation type="textLength" operator="lessThanOrEqual" allowBlank="1" showInputMessage="1" showErrorMessage="1" errorTitle="Ошибка" error="Допускается ввод не более 900 символов!" sqref="K3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textLength" operator="lessThanOrEqual" allowBlank="1" showInputMessage="1" showErrorMessage="1" errorTitle="Ошибка" error="Допускается ввод не более 900 символов!" sqref="K3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textLength" operator="lessThanOrEqual" allowBlank="1" showInputMessage="1" showErrorMessage="1" errorTitle="Ошибка" error="Допускается ввод не более 900 символов!" sqref="M356">
      <formula1>900</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textLength" operator="lessThanOrEqual" allowBlank="1" showInputMessage="1" showErrorMessage="1" errorTitle="Ошибка" error="Допускается ввод не более 900 символов!" sqref="K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decimal" allowBlank="1" showErrorMessage="1" errorTitle="Ошибка" error="Допускается ввод только неотрицательных чисел!" sqref="AE353">
      <formula1>0</formula1>
      <formula2>9.99999999999999E+23</formula2>
    </dataValidation>
    <dataValidation type="decimal" allowBlank="1" showErrorMessage="1" errorTitle="Ошибка" error="Допускается ввод только неотрицательных чисел!" sqref="AC353">
      <formula1>0</formula1>
      <formula2>9.99999999999999E+23</formula2>
    </dataValidation>
    <dataValidation type="textLength" operator="lessThanOrEqual" allowBlank="1" showInputMessage="1" showErrorMessage="1" errorTitle="Ошибка" error="Допускается ввод не более 900 символов!" sqref="K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textLength" operator="lessThanOrEqual" allowBlank="1" showInputMessage="1" showErrorMessage="1" errorTitle="Ошибка" error="Допускается ввод не более 900 символов!" sqref="K3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textLength" operator="lessThanOrEqual" allowBlank="1" showInputMessage="1" showErrorMessage="1" errorTitle="Ошибка" error="Допускается ввод не более 900 символов!" sqref="M351">
      <formula1>900</formula1>
    </dataValidation>
    <dataValidation type="textLength" operator="lessThanOrEqual" allowBlank="1" showInputMessage="1" showErrorMessage="1" errorTitle="Ошибка" error="Допускается ввод не более 900 символов!" sqref="K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textLength" operator="lessThanOrEqual" allowBlank="1" showInputMessage="1" showErrorMessage="1" errorTitle="Ошибка" error="Допускается ввод не более 900 символов!" sqref="K3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decimal" allowBlank="1" showErrorMessage="1" errorTitle="Ошибка" error="Допускается ввод только неотрицательных чисел!" sqref="AE348">
      <formula1>0</formula1>
      <formula2>9.99999999999999E+23</formula2>
    </dataValidation>
    <dataValidation type="decimal" allowBlank="1" showErrorMessage="1" errorTitle="Ошибка" error="Допускается ввод только неотрицательных чисел!" sqref="AC348">
      <formula1>0</formula1>
      <formula2>9.99999999999999E+23</formula2>
    </dataValidation>
    <dataValidation type="textLength" operator="lessThanOrEqual" allowBlank="1" showInputMessage="1" showErrorMessage="1" errorTitle="Ошибка" error="Допускается ввод не более 900 символов!" sqref="K3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textLength" operator="lessThanOrEqual" allowBlank="1" showInputMessage="1" showErrorMessage="1" errorTitle="Ошибка" error="Допускается ввод не более 900 символов!" sqref="K3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textLength" operator="lessThanOrEqual" allowBlank="1" showInputMessage="1" showErrorMessage="1" errorTitle="Ошибка" error="Допускается ввод не более 900 символов!" sqref="M346">
      <formula1>900</formula1>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decimal" allowBlank="1" showErrorMessage="1" errorTitle="Ошибка" error="Допускается ввод только неотрицательных чисел!" sqref="AE343">
      <formula1>0</formula1>
      <formula2>9.99999999999999E+23</formula2>
    </dataValidation>
    <dataValidation type="decimal" allowBlank="1" showErrorMessage="1" errorTitle="Ошибка" error="Допускается ввод только неотрицательных чисел!" sqref="AC343">
      <formula1>0</formula1>
      <formula2>9.99999999999999E+23</formula2>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textLength" operator="lessThanOrEqual" allowBlank="1" showInputMessage="1" showErrorMessage="1" errorTitle="Ошибка" error="Допускается ввод не более 900 символов!" sqref="K3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textLength" operator="lessThanOrEqual" allowBlank="1" showInputMessage="1" showErrorMessage="1" errorTitle="Ошибка" error="Допускается ввод не более 900 символов!" sqref="M341">
      <formula1>900</formula1>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decimal" allowBlank="1" showErrorMessage="1" errorTitle="Ошибка" error="Допускается ввод только неотрицательных чисел!" sqref="AE338">
      <formula1>0</formula1>
      <formula2>9.99999999999999E+23</formula2>
    </dataValidation>
    <dataValidation type="decimal" allowBlank="1" showErrorMessage="1" errorTitle="Ошибка" error="Допускается ввод только неотрицательных чисел!" sqref="AC338">
      <formula1>0</formula1>
      <formula2>9.99999999999999E+23</formula2>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textLength" operator="lessThanOrEqual" allowBlank="1" showInputMessage="1" showErrorMessage="1" errorTitle="Ошибка" error="Допускается ввод не более 900 символов!" sqref="K3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textLength" operator="lessThanOrEqual" allowBlank="1" showInputMessage="1" showErrorMessage="1" errorTitle="Ошибка" error="Допускается ввод не более 900 символов!" sqref="M336">
      <formula1>900</formula1>
    </dataValidation>
    <dataValidation type="textLength" operator="lessThanOrEqual" allowBlank="1" showInputMessage="1" showErrorMessage="1" errorTitle="Ошибка" error="Допускается ввод не более 900 символов!" sqref="K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999">
      <formula1>0</formula1>
      <formula2>9.99999999999999E+23</formula2>
    </dataValidation>
    <dataValidation type="whole" allowBlank="1" showErrorMessage="1" errorTitle="Ошибка" error="Допускается ввод только неотрицательных целых чисел!" sqref="AF999">
      <formula1>0</formula1>
      <formula2>9.99999999999999E+23</formula2>
    </dataValidation>
    <dataValidation type="whole" allowBlank="1" showErrorMessage="1" errorTitle="Ошибка" error="Допускается ввод только неотрицательных целых чисел!" sqref="AI998">
      <formula1>0</formula1>
      <formula2>9.99999999999999E+23</formula2>
    </dataValidation>
    <dataValidation type="whole" allowBlank="1" showErrorMessage="1" errorTitle="Ошибка" error="Допускается ввод только неотрицательных целых чисел!" sqref="AF998">
      <formula1>0</formula1>
      <formula2>9.99999999999999E+23</formula2>
    </dataValidation>
    <dataValidation type="textLength" operator="lessThanOrEqual" allowBlank="1" showInputMessage="1" showErrorMessage="1" errorTitle="Ошибка" error="Допускается ввод не более 900 символов!" sqref="K9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8">
      <formula1>"a"</formula1>
    </dataValidation>
    <dataValidation type="whole" allowBlank="1" showErrorMessage="1" errorTitle="Ошибка" error="Допускается ввод только неотрицательных целых чисел!" sqref="AI997">
      <formula1>0</formula1>
      <formula2>9.99999999999999E+23</formula2>
    </dataValidation>
    <dataValidation type="whole" allowBlank="1" showErrorMessage="1" errorTitle="Ошибка" error="Допускается ввод только неотрицательных целых чисел!" sqref="AF997">
      <formula1>0</formula1>
      <formula2>9.99999999999999E+23</formula2>
    </dataValidation>
    <dataValidation type="decimal" allowBlank="1" showErrorMessage="1" errorTitle="Ошибка" error="Допускается ввод только неотрицательных чисел!" sqref="AE997">
      <formula1>0</formula1>
      <formula2>9.99999999999999E+23</formula2>
    </dataValidation>
    <dataValidation type="decimal" allowBlank="1" showErrorMessage="1" errorTitle="Ошибка" error="Допускается ввод только неотрицательных чисел!" sqref="AC997">
      <formula1>0</formula1>
      <formula2>9.99999999999999E+23</formula2>
    </dataValidation>
    <dataValidation type="textLength" operator="lessThanOrEqual" allowBlank="1" showInputMessage="1" showErrorMessage="1" errorTitle="Ошибка" error="Допускается ввод не более 900 символов!" sqref="K9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7">
      <formula1>"a"</formula1>
    </dataValidation>
    <dataValidation type="whole" allowBlank="1" showErrorMessage="1" errorTitle="Ошибка" error="Допускается ввод только неотрицательных целых чисел!" sqref="AI996">
      <formula1>0</formula1>
      <formula2>9.99999999999999E+23</formula2>
    </dataValidation>
    <dataValidation type="whole" allowBlank="1" showErrorMessage="1" errorTitle="Ошибка" error="Допускается ввод только неотрицательных целых чисел!" sqref="AF996">
      <formula1>0</formula1>
      <formula2>9.99999999999999E+23</formula2>
    </dataValidation>
    <dataValidation type="textLength" operator="lessThanOrEqual" allowBlank="1" showInputMessage="1" showErrorMessage="1" errorTitle="Ошибка" error="Допускается ввод не более 900 символов!" sqref="K9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6">
      <formula1>"a"</formula1>
    </dataValidation>
    <dataValidation type="whole" allowBlank="1" showErrorMessage="1" errorTitle="Ошибка" error="Допускается ввод только неотрицательных целых чисел!" sqref="AI995">
      <formula1>0</formula1>
      <formula2>9.99999999999999E+23</formula2>
    </dataValidation>
    <dataValidation type="whole" allowBlank="1" showErrorMessage="1" errorTitle="Ошибка" error="Допускается ввод только неотрицательных целых чисел!" sqref="AF995">
      <formula1>0</formula1>
      <formula2>9.99999999999999E+23</formula2>
    </dataValidation>
    <dataValidation type="textLength" operator="lessThanOrEqual" allowBlank="1" showInputMessage="1" showErrorMessage="1" errorTitle="Ошибка" error="Допускается ввод не более 900 символов!" sqref="M995">
      <formula1>900</formula1>
    </dataValidation>
    <dataValidation type="textLength" operator="lessThanOrEqual" allowBlank="1" showInputMessage="1" showErrorMessage="1" errorTitle="Ошибка" error="Допускается ввод не более 900 символов!" sqref="K9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5">
      <formula1>"a"</formula1>
    </dataValidation>
    <dataValidation type="whole" allowBlank="1" showErrorMessage="1" errorTitle="Ошибка" error="Допускается ввод только неотрицательных целых чисел!" sqref="AI983">
      <formula1>0</formula1>
      <formula2>9.99999999999999E+23</formula2>
    </dataValidation>
    <dataValidation type="whole" allowBlank="1" showErrorMessage="1" errorTitle="Ошибка" error="Допускается ввод только неотрицательных целых чисел!" sqref="AF983">
      <formula1>0</formula1>
      <formula2>9.99999999999999E+23</formula2>
    </dataValidation>
    <dataValidation type="whole" allowBlank="1" showErrorMessage="1" errorTitle="Ошибка" error="Допускается ввод только неотрицательных целых чисел!" sqref="AI982">
      <formula1>0</formula1>
      <formula2>9.99999999999999E+23</formula2>
    </dataValidation>
    <dataValidation type="whole" allowBlank="1" showErrorMessage="1" errorTitle="Ошибка" error="Допускается ввод только неотрицательных целых чисел!" sqref="AF982">
      <formula1>0</formula1>
      <formula2>9.99999999999999E+23</formula2>
    </dataValidation>
    <dataValidation type="textLength" operator="lessThanOrEqual" allowBlank="1" showInputMessage="1" showErrorMessage="1" errorTitle="Ошибка" error="Допускается ввод не более 900 символов!" sqref="K9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2">
      <formula1>"a"</formula1>
    </dataValidation>
    <dataValidation type="whole" allowBlank="1" showErrorMessage="1" errorTitle="Ошибка" error="Допускается ввод только неотрицательных целых чисел!" sqref="AI981">
      <formula1>0</formula1>
      <formula2>9.99999999999999E+23</formula2>
    </dataValidation>
    <dataValidation type="whole" allowBlank="1" showErrorMessage="1" errorTitle="Ошибка" error="Допускается ввод только неотрицательных целых чисел!" sqref="AF981">
      <formula1>0</formula1>
      <formula2>9.99999999999999E+23</formula2>
    </dataValidation>
    <dataValidation type="decimal" allowBlank="1" showErrorMessage="1" errorTitle="Ошибка" error="Допускается ввод только неотрицательных чисел!" sqref="AE981">
      <formula1>0</formula1>
      <formula2>9.99999999999999E+23</formula2>
    </dataValidation>
    <dataValidation type="decimal" allowBlank="1" showErrorMessage="1" errorTitle="Ошибка" error="Допускается ввод только неотрицательных чисел!" sqref="AC981">
      <formula1>0</formula1>
      <formula2>9.99999999999999E+23</formula2>
    </dataValidation>
    <dataValidation type="textLength" operator="lessThanOrEqual" allowBlank="1" showInputMessage="1" showErrorMessage="1" errorTitle="Ошибка" error="Допускается ввод не более 900 символов!" sqref="K9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1">
      <formula1>"a"</formula1>
    </dataValidation>
    <dataValidation type="whole" allowBlank="1" showErrorMessage="1" errorTitle="Ошибка" error="Допускается ввод только неотрицательных целых чисел!" sqref="AI980">
      <formula1>0</formula1>
      <formula2>9.99999999999999E+23</formula2>
    </dataValidation>
    <dataValidation type="whole" allowBlank="1" showErrorMessage="1" errorTitle="Ошибка" error="Допускается ввод только неотрицательных целых чисел!" sqref="AF980">
      <formula1>0</formula1>
      <formula2>9.99999999999999E+23</formula2>
    </dataValidation>
    <dataValidation type="textLength" operator="lessThanOrEqual" allowBlank="1" showInputMessage="1" showErrorMessage="1" errorTitle="Ошибка" error="Допускается ввод не более 900 символов!" sqref="K9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0">
      <formula1>"a"</formula1>
    </dataValidation>
    <dataValidation type="whole" allowBlank="1" showErrorMessage="1" errorTitle="Ошибка" error="Допускается ввод только неотрицательных целых чисел!" sqref="AI979">
      <formula1>0</formula1>
      <formula2>9.99999999999999E+23</formula2>
    </dataValidation>
    <dataValidation type="whole" allowBlank="1" showErrorMessage="1" errorTitle="Ошибка" error="Допускается ввод только неотрицательных целых чисел!" sqref="AF979">
      <formula1>0</formula1>
      <formula2>9.99999999999999E+23</formula2>
    </dataValidation>
    <dataValidation type="textLength" operator="lessThanOrEqual" allowBlank="1" showInputMessage="1" showErrorMessage="1" errorTitle="Ошибка" error="Допускается ввод не более 900 символов!" sqref="M979">
      <formula1>900</formula1>
    </dataValidation>
    <dataValidation type="textLength" operator="lessThanOrEqual" allowBlank="1" showInputMessage="1" showErrorMessage="1" errorTitle="Ошибка" error="Допускается ввод не более 900 символов!" sqref="K9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9">
      <formula1>"a"</formula1>
    </dataValidation>
    <dataValidation type="whole" allowBlank="1" showErrorMessage="1" errorTitle="Ошибка" error="Допускается ввод только неотрицательных целых чисел!" sqref="AI962">
      <formula1>0</formula1>
      <formula2>9.99999999999999E+23</formula2>
    </dataValidation>
    <dataValidation type="whole" allowBlank="1" showErrorMessage="1" errorTitle="Ошибка" error="Допускается ввод только неотрицательных целых чисел!" sqref="AF962">
      <formula1>0</formula1>
      <formula2>9.99999999999999E+23</formula2>
    </dataValidation>
    <dataValidation type="whole" allowBlank="1" showErrorMessage="1" errorTitle="Ошибка" error="Допускается ввод только неотрицательных целых чисел!" sqref="AI961">
      <formula1>0</formula1>
      <formula2>9.99999999999999E+23</formula2>
    </dataValidation>
    <dataValidation type="whole" allowBlank="1" showErrorMessage="1" errorTitle="Ошибка" error="Допускается ввод только неотрицательных целых чисел!" sqref="AF961">
      <formula1>0</formula1>
      <formula2>9.99999999999999E+23</formula2>
    </dataValidation>
    <dataValidation type="textLength" operator="lessThanOrEqual" allowBlank="1" showInputMessage="1" showErrorMessage="1" errorTitle="Ошибка" error="Допускается ввод не более 900 символов!" sqref="K9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1">
      <formula1>"a"</formula1>
    </dataValidation>
    <dataValidation type="whole" allowBlank="1" showErrorMessage="1" errorTitle="Ошибка" error="Допускается ввод только неотрицательных целых чисел!" sqref="AI960">
      <formula1>0</formula1>
      <formula2>9.99999999999999E+23</formula2>
    </dataValidation>
    <dataValidation type="whole" allowBlank="1" showErrorMessage="1" errorTitle="Ошибка" error="Допускается ввод только неотрицательных целых чисел!" sqref="AF960">
      <formula1>0</formula1>
      <formula2>9.99999999999999E+23</formula2>
    </dataValidation>
    <dataValidation type="decimal" allowBlank="1" showErrorMessage="1" errorTitle="Ошибка" error="Допускается ввод только неотрицательных чисел!" sqref="AE960">
      <formula1>0</formula1>
      <formula2>9.99999999999999E+23</formula2>
    </dataValidation>
    <dataValidation type="decimal" allowBlank="1" showErrorMessage="1" errorTitle="Ошибка" error="Допускается ввод только неотрицательных чисел!" sqref="AC960">
      <formula1>0</formula1>
      <formula2>9.99999999999999E+23</formula2>
    </dataValidation>
    <dataValidation type="textLength" operator="lessThanOrEqual" allowBlank="1" showInputMessage="1" showErrorMessage="1" errorTitle="Ошибка" error="Допускается ввод не более 900 символов!" sqref="K9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0">
      <formula1>"a"</formula1>
    </dataValidation>
    <dataValidation type="whole" allowBlank="1" showErrorMessage="1" errorTitle="Ошибка" error="Допускается ввод только неотрицательных целых чисел!" sqref="AI959">
      <formula1>0</formula1>
      <formula2>9.99999999999999E+23</formula2>
    </dataValidation>
    <dataValidation type="whole" allowBlank="1" showErrorMessage="1" errorTitle="Ошибка" error="Допускается ввод только неотрицательных целых чисел!" sqref="AF959">
      <formula1>0</formula1>
      <formula2>9.99999999999999E+23</formula2>
    </dataValidation>
    <dataValidation type="textLength" operator="lessThanOrEqual" allowBlank="1" showInputMessage="1" showErrorMessage="1" errorTitle="Ошибка" error="Допускается ввод не более 900 символов!" sqref="K9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9">
      <formula1>"a"</formula1>
    </dataValidation>
    <dataValidation type="whole" allowBlank="1" showErrorMessage="1" errorTitle="Ошибка" error="Допускается ввод только неотрицательных целых чисел!" sqref="AI958">
      <formula1>0</formula1>
      <formula2>9.99999999999999E+23</formula2>
    </dataValidation>
    <dataValidation type="whole" allowBlank="1" showErrorMessage="1" errorTitle="Ошибка" error="Допускается ввод только неотрицательных целых чисел!" sqref="AF958">
      <formula1>0</formula1>
      <formula2>9.99999999999999E+23</formula2>
    </dataValidation>
    <dataValidation type="textLength" operator="lessThanOrEqual" allowBlank="1" showInputMessage="1" showErrorMessage="1" errorTitle="Ошибка" error="Допускается ввод не более 900 символов!" sqref="M958">
      <formula1>900</formula1>
    </dataValidation>
    <dataValidation type="textLength" operator="lessThanOrEqual" allowBlank="1" showInputMessage="1" showErrorMessage="1" errorTitle="Ошибка" error="Допускается ввод не более 900 символов!" sqref="K9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8">
      <formula1>"a"</formula1>
    </dataValidation>
    <dataValidation type="whole" allowBlank="1" showErrorMessage="1" errorTitle="Ошибка" error="Допускается ввод только неотрицательных целых чисел!" sqref="AI907">
      <formula1>0</formula1>
      <formula2>9.99999999999999E+23</formula2>
    </dataValidation>
    <dataValidation type="whole" allowBlank="1" showErrorMessage="1" errorTitle="Ошибка" error="Допускается ввод только неотрицательных целых чисел!" sqref="AF907">
      <formula1>0</formula1>
      <formula2>9.99999999999999E+23</formula2>
    </dataValidation>
    <dataValidation type="whole" allowBlank="1" showErrorMessage="1" errorTitle="Ошибка" error="Допускается ввод только неотрицательных целых чисел!" sqref="AI906">
      <formula1>0</formula1>
      <formula2>9.99999999999999E+23</formula2>
    </dataValidation>
    <dataValidation type="whole" allowBlank="1" showErrorMessage="1" errorTitle="Ошибка" error="Допускается ввод только неотрицательных целых чисел!" sqref="AF906">
      <formula1>0</formula1>
      <formula2>9.99999999999999E+23</formula2>
    </dataValidation>
    <dataValidation type="textLength" operator="lessThanOrEqual" allowBlank="1" showInputMessage="1" showErrorMessage="1" errorTitle="Ошибка" error="Допускается ввод не более 900 символов!" sqref="K9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6">
      <formula1>"a"</formula1>
    </dataValidation>
    <dataValidation type="whole" allowBlank="1" showErrorMessage="1" errorTitle="Ошибка" error="Допускается ввод только неотрицательных целых чисел!" sqref="AI905">
      <formula1>0</formula1>
      <formula2>9.99999999999999E+23</formula2>
    </dataValidation>
    <dataValidation type="whole" allowBlank="1" showErrorMessage="1" errorTitle="Ошибка" error="Допускается ввод только неотрицательных целых чисел!" sqref="AF905">
      <formula1>0</formula1>
      <formula2>9.99999999999999E+23</formula2>
    </dataValidation>
    <dataValidation type="decimal" allowBlank="1" showErrorMessage="1" errorTitle="Ошибка" error="Допускается ввод только неотрицательных чисел!" sqref="AE905">
      <formula1>0</formula1>
      <formula2>9.99999999999999E+23</formula2>
    </dataValidation>
    <dataValidation type="decimal" allowBlank="1" showErrorMessage="1" errorTitle="Ошибка" error="Допускается ввод только неотрицательных чисел!" sqref="AC905">
      <formula1>0</formula1>
      <formula2>9.99999999999999E+23</formula2>
    </dataValidation>
    <dataValidation type="textLength" operator="lessThanOrEqual" allowBlank="1" showInputMessage="1" showErrorMessage="1" errorTitle="Ошибка" error="Допускается ввод не более 900 символов!" sqref="K9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5">
      <formula1>"a"</formula1>
    </dataValidation>
    <dataValidation type="whole" allowBlank="1" showErrorMessage="1" errorTitle="Ошибка" error="Допускается ввод только неотрицательных целых чисел!" sqref="AI904">
      <formula1>0</formula1>
      <formula2>9.99999999999999E+23</formula2>
    </dataValidation>
    <dataValidation type="whole" allowBlank="1" showErrorMessage="1" errorTitle="Ошибка" error="Допускается ввод только неотрицательных целых чисел!" sqref="AF904">
      <formula1>0</formula1>
      <formula2>9.99999999999999E+23</formula2>
    </dataValidation>
    <dataValidation type="textLength" operator="lessThanOrEqual" allowBlank="1" showInputMessage="1" showErrorMessage="1" errorTitle="Ошибка" error="Допускается ввод не более 900 символов!" sqref="K9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4">
      <formula1>"a"</formula1>
    </dataValidation>
    <dataValidation type="whole" allowBlank="1" showErrorMessage="1" errorTitle="Ошибка" error="Допускается ввод только неотрицательных целых чисел!" sqref="AI903">
      <formula1>0</formula1>
      <formula2>9.99999999999999E+23</formula2>
    </dataValidation>
    <dataValidation type="whole" allowBlank="1" showErrorMessage="1" errorTitle="Ошибка" error="Допускается ввод только неотрицательных целых чисел!" sqref="AF903">
      <formula1>0</formula1>
      <formula2>9.99999999999999E+23</formula2>
    </dataValidation>
    <dataValidation type="textLength" operator="lessThanOrEqual" allowBlank="1" showInputMessage="1" showErrorMessage="1" errorTitle="Ошибка" error="Допускается ввод не более 900 символов!" sqref="M903">
      <formula1>900</formula1>
    </dataValidation>
    <dataValidation type="textLength" operator="lessThanOrEqual" allowBlank="1" showInputMessage="1" showErrorMessage="1" errorTitle="Ошибка" error="Допускается ввод не более 900 символов!" sqref="K9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3">
      <formula1>"a"</formula1>
    </dataValidation>
    <dataValidation type="whole" allowBlank="1" showErrorMessage="1" errorTitle="Ошибка" error="Допускается ввод только неотрицательных целых чисел!" sqref="AI859">
      <formula1>0</formula1>
      <formula2>9.99999999999999E+23</formula2>
    </dataValidation>
    <dataValidation type="whole" allowBlank="1" showErrorMessage="1" errorTitle="Ошибка" error="Допускается ввод только неотрицательных целых чисел!" sqref="AF859">
      <formula1>0</formula1>
      <formula2>9.99999999999999E+23</formula2>
    </dataValidation>
    <dataValidation type="whole" allowBlank="1" showErrorMessage="1" errorTitle="Ошибка" error="Допускается ввод только неотрицательных целых чисел!" sqref="AI858">
      <formula1>0</formula1>
      <formula2>9.99999999999999E+23</formula2>
    </dataValidation>
    <dataValidation type="whole" allowBlank="1" showErrorMessage="1" errorTitle="Ошибка" error="Допускается ввод только неотрицательных целых чисел!" sqref="AF858">
      <formula1>0</formula1>
      <formula2>9.99999999999999E+23</formula2>
    </dataValidation>
    <dataValidation type="textLength" operator="lessThanOrEqual" allowBlank="1" showInputMessage="1" showErrorMessage="1" errorTitle="Ошибка" error="Допускается ввод не более 900 символов!" sqref="K8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8">
      <formula1>"a"</formula1>
    </dataValidation>
    <dataValidation type="whole" allowBlank="1" showErrorMessage="1" errorTitle="Ошибка" error="Допускается ввод только неотрицательных целых чисел!" sqref="AI857">
      <formula1>0</formula1>
      <formula2>9.99999999999999E+23</formula2>
    </dataValidation>
    <dataValidation type="whole" allowBlank="1" showErrorMessage="1" errorTitle="Ошибка" error="Допускается ввод только неотрицательных целых чисел!" sqref="AF857">
      <formula1>0</formula1>
      <formula2>9.99999999999999E+23</formula2>
    </dataValidation>
    <dataValidation type="decimal" allowBlank="1" showErrorMessage="1" errorTitle="Ошибка" error="Допускается ввод только неотрицательных чисел!" sqref="AE857">
      <formula1>0</formula1>
      <formula2>9.99999999999999E+23</formula2>
    </dataValidation>
    <dataValidation type="decimal" allowBlank="1" showErrorMessage="1" errorTitle="Ошибка" error="Допускается ввод только неотрицательных чисел!" sqref="AC857">
      <formula1>0</formula1>
      <formula2>9.99999999999999E+23</formula2>
    </dataValidation>
    <dataValidation type="textLength" operator="lessThanOrEqual" allowBlank="1" showInputMessage="1" showErrorMessage="1" errorTitle="Ошибка" error="Допускается ввод не более 900 символов!" sqref="K8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7">
      <formula1>"a"</formula1>
    </dataValidation>
    <dataValidation type="whole" allowBlank="1" showErrorMessage="1" errorTitle="Ошибка" error="Допускается ввод только неотрицательных целых чисел!" sqref="AI856">
      <formula1>0</formula1>
      <formula2>9.99999999999999E+23</formula2>
    </dataValidation>
    <dataValidation type="whole" allowBlank="1" showErrorMessage="1" errorTitle="Ошибка" error="Допускается ввод только неотрицательных целых чисел!" sqref="AF856">
      <formula1>0</formula1>
      <formula2>9.99999999999999E+23</formula2>
    </dataValidation>
    <dataValidation type="textLength" operator="lessThanOrEqual" allowBlank="1" showInputMessage="1" showErrorMessage="1" errorTitle="Ошибка" error="Допускается ввод не более 900 символов!" sqref="K8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6">
      <formula1>"a"</formula1>
    </dataValidation>
    <dataValidation type="whole" allowBlank="1" showErrorMessage="1" errorTitle="Ошибка" error="Допускается ввод только неотрицательных целых чисел!" sqref="AI855">
      <formula1>0</formula1>
      <formula2>9.99999999999999E+23</formula2>
    </dataValidation>
    <dataValidation type="whole" allowBlank="1" showErrorMessage="1" errorTitle="Ошибка" error="Допускается ввод только неотрицательных целых чисел!" sqref="AF855">
      <formula1>0</formula1>
      <formula2>9.99999999999999E+23</formula2>
    </dataValidation>
    <dataValidation type="textLength" operator="lessThanOrEqual" allowBlank="1" showInputMessage="1" showErrorMessage="1" errorTitle="Ошибка" error="Допускается ввод не более 900 символов!" sqref="M855">
      <formula1>900</formula1>
    </dataValidation>
    <dataValidation type="textLength" operator="lessThanOrEqual" allowBlank="1" showInputMessage="1" showErrorMessage="1" errorTitle="Ошибка" error="Допускается ввод не более 900 символов!" sqref="K8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5">
      <formula1>"a"</formula1>
    </dataValidation>
    <dataValidation type="whole" allowBlank="1" showErrorMessage="1" errorTitle="Ошибка" error="Допускается ввод только неотрицательных целых чисел!" sqref="AI828">
      <formula1>0</formula1>
      <formula2>9.99999999999999E+23</formula2>
    </dataValidation>
    <dataValidation type="whole" allowBlank="1" showErrorMessage="1" errorTitle="Ошибка" error="Допускается ввод только неотрицательных целых чисел!" sqref="AF828">
      <formula1>0</formula1>
      <formula2>9.99999999999999E+23</formula2>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textLength" operator="lessThanOrEqual" allowBlank="1" showInputMessage="1" showErrorMessage="1" errorTitle="Ошибка" error="Допускается ввод не более 900 символов!" sqref="K8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7">
      <formula1>"a"</formula1>
    </dataValidation>
    <dataValidation type="whole" allowBlank="1" showErrorMessage="1" errorTitle="Ошибка" error="Допускается ввод только неотрицательных целых чисел!" sqref="AI826">
      <formula1>0</formula1>
      <formula2>9.99999999999999E+23</formula2>
    </dataValidation>
    <dataValidation type="whole" allowBlank="1" showErrorMessage="1" errorTitle="Ошибка" error="Допускается ввод только неотрицательных целых чисел!" sqref="AF826">
      <formula1>0</formula1>
      <formula2>9.99999999999999E+23</formula2>
    </dataValidation>
    <dataValidation type="decimal" allowBlank="1" showErrorMessage="1" errorTitle="Ошибка" error="Допускается ввод только неотрицательных чисел!" sqref="AE826">
      <formula1>0</formula1>
      <formula2>9.99999999999999E+23</formula2>
    </dataValidation>
    <dataValidation type="decimal" allowBlank="1" showErrorMessage="1" errorTitle="Ошибка" error="Допускается ввод только неотрицательных чисел!" sqref="AC826">
      <formula1>0</formula1>
      <formula2>9.99999999999999E+23</formula2>
    </dataValidation>
    <dataValidation type="textLength" operator="lessThanOrEqual" allowBlank="1" showInputMessage="1" showErrorMessage="1" errorTitle="Ошибка" error="Допускается ввод не более 900 символов!" sqref="K8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6">
      <formula1>"a"</formula1>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textLength" operator="lessThanOrEqual" allowBlank="1" showInputMessage="1" showErrorMessage="1" errorTitle="Ошибка" error="Допускается ввод не более 900 символов!" sqref="K8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5">
      <formula1>"a"</formula1>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textLength" operator="lessThanOrEqual" allowBlank="1" showInputMessage="1" showErrorMessage="1" errorTitle="Ошибка" error="Допускается ввод не более 900 символов!" sqref="M824">
      <formula1>900</formula1>
    </dataValidation>
    <dataValidation type="textLength" operator="lessThanOrEqual" allowBlank="1" showInputMessage="1" showErrorMessage="1" errorTitle="Ошибка" error="Допускается ввод не более 900 символов!" sqref="K8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4">
      <formula1>"a"</formula1>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textLength" operator="lessThanOrEqual" allowBlank="1" showInputMessage="1" showErrorMessage="1" errorTitle="Ошибка" error="Допускается ввод не более 900 символов!" sqref="K7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decimal" allowBlank="1" showErrorMessage="1" errorTitle="Ошибка" error="Допускается ввод только неотрицательных чисел!" sqref="AE750">
      <formula1>0</formula1>
      <formula2>9.99999999999999E+23</formula2>
    </dataValidation>
    <dataValidation type="decimal" allowBlank="1" showErrorMessage="1" errorTitle="Ошибка" error="Допускается ввод только неотрицательных чисел!" sqref="AC750">
      <formula1>0</formula1>
      <formula2>9.99999999999999E+23</formula2>
    </dataValidation>
    <dataValidation type="textLength" operator="lessThanOrEqual" allowBlank="1" showInputMessage="1" showErrorMessage="1" errorTitle="Ошибка" error="Допускается ввод не более 900 символов!" sqref="K7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textLength" operator="lessThanOrEqual" allowBlank="1" showInputMessage="1" showErrorMessage="1" errorTitle="Ошибка" error="Допускается ввод не более 900 символов!" sqref="K7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9">
      <formula1>"a"</formula1>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textLength" operator="lessThanOrEqual" allowBlank="1" showInputMessage="1" showErrorMessage="1" errorTitle="Ошибка" error="Допускается ввод не более 900 символов!" sqref="M748">
      <formula1>900</formula1>
    </dataValidation>
    <dataValidation type="textLength" operator="lessThanOrEqual" allowBlank="1" showInputMessage="1" showErrorMessage="1" errorTitle="Ошибка" error="Допускается ввод не более 900 символов!" sqref="K7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8">
      <formula1>"a"</formula1>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textLength" operator="lessThanOrEqual" allowBlank="1" showInputMessage="1" showErrorMessage="1" errorTitle="Ошибка" error="Допускается ввод не более 900 символов!" sqref="K5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decimal" allowBlank="1" showErrorMessage="1" errorTitle="Ошибка" error="Допускается ввод только неотрицательных чисел!" sqref="AE555">
      <formula1>0</formula1>
      <formula2>9.99999999999999E+23</formula2>
    </dataValidation>
    <dataValidation type="decimal" allowBlank="1" showErrorMessage="1" errorTitle="Ошибка" error="Допускается ввод только неотрицательных чисел!" sqref="AC555">
      <formula1>0</formula1>
      <formula2>9.99999999999999E+23</formula2>
    </dataValidation>
    <dataValidation type="textLength" operator="lessThanOrEqual" allowBlank="1" showInputMessage="1" showErrorMessage="1" errorTitle="Ошибка" error="Допускается ввод не более 900 символов!" sqref="K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textLength" operator="lessThanOrEqual" allowBlank="1" showInputMessage="1" showErrorMessage="1" errorTitle="Ошибка" error="Допускается ввод не более 900 символов!" sqref="K5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textLength" operator="lessThanOrEqual" allowBlank="1" showInputMessage="1" showErrorMessage="1" errorTitle="Ошибка" error="Допускается ввод не более 900 символов!" sqref="M553">
      <formula1>900</formula1>
    </dataValidation>
    <dataValidation type="textLength" operator="lessThanOrEqual" allowBlank="1" showInputMessage="1" showErrorMessage="1" errorTitle="Ошибка" error="Допускается ввод не более 900 символов!" sqref="K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textLength" operator="lessThanOrEqual" allowBlank="1" showInputMessage="1" showErrorMessage="1" errorTitle="Ошибка" error="Допускается ввод не более 900 символов!" sqref="K4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decimal" allowBlank="1" showErrorMessage="1" errorTitle="Ошибка" error="Допускается ввод только неотрицательных чисел!" sqref="AE483">
      <formula1>0</formula1>
      <formula2>9.99999999999999E+23</formula2>
    </dataValidation>
    <dataValidation type="decimal" allowBlank="1" showErrorMessage="1" errorTitle="Ошибка" error="Допускается ввод только неотрицательных чисел!" sqref="AC483">
      <formula1>0</formula1>
      <formula2>9.99999999999999E+23</formula2>
    </dataValidation>
    <dataValidation type="textLength" operator="lessThanOrEqual" allowBlank="1" showInputMessage="1" showErrorMessage="1" errorTitle="Ошибка" error="Допускается ввод не более 900 символов!" sqref="K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textLength" operator="lessThanOrEqual" allowBlank="1" showInputMessage="1" showErrorMessage="1" errorTitle="Ошибка" error="Допускается ввод не более 900 символов!" sqref="K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textLength" operator="lessThanOrEqual" allowBlank="1" showInputMessage="1" showErrorMessage="1" errorTitle="Ошибка" error="Допускается ввод не более 900 символов!" sqref="M481">
      <formula1>900</formula1>
    </dataValidation>
    <dataValidation type="textLength" operator="lessThanOrEqual" allowBlank="1" showInputMessage="1" showErrorMessage="1" errorTitle="Ошибка" error="Допускается ввод не более 900 символов!" sqref="K4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textLength" operator="lessThanOrEqual" allowBlank="1" showInputMessage="1" showErrorMessage="1" errorTitle="Ошибка" error="Допускается ввод не более 900 символов!" sqref="K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decimal" allowBlank="1" showErrorMessage="1" errorTitle="Ошибка" error="Допускается ввод только неотрицательных чисел!" sqref="AE394">
      <formula1>0</formula1>
      <formula2>9.99999999999999E+23</formula2>
    </dataValidation>
    <dataValidation type="decimal" allowBlank="1" showErrorMessage="1" errorTitle="Ошибка" error="Допускается ввод только неотрицательных чисел!" sqref="AC394">
      <formula1>0</formula1>
      <formula2>9.99999999999999E+23</formula2>
    </dataValidation>
    <dataValidation type="textLength" operator="lessThanOrEqual" allowBlank="1" showInputMessage="1" showErrorMessage="1" errorTitle="Ошибка" error="Допускается ввод не более 900 символов!" sqref="K3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textLength" operator="lessThanOrEqual" allowBlank="1" showInputMessage="1" showErrorMessage="1" errorTitle="Ошибка" error="Допускается ввод не более 900 символов!" sqref="K3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textLength" operator="lessThanOrEqual" allowBlank="1" showInputMessage="1" showErrorMessage="1" errorTitle="Ошибка" error="Допускается ввод не более 900 символов!" sqref="M392">
      <formula1>900</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textLength" operator="lessThanOrEqual" allowBlank="1" showInputMessage="1" showErrorMessage="1" errorTitle="Ошибка" error="Допускается ввод не более 900 символов!" sqref="K3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decimal" allowBlank="1" showErrorMessage="1" errorTitle="Ошибка" error="Допускается ввод только неотрицательных чисел!" sqref="AE333">
      <formula1>0</formula1>
      <formula2>9.99999999999999E+23</formula2>
    </dataValidation>
    <dataValidation type="decimal" allowBlank="1" showErrorMessage="1" errorTitle="Ошибка" error="Допускается ввод только неотрицательных чисел!" sqref="AC333">
      <formula1>0</formula1>
      <formula2>9.99999999999999E+23</formula2>
    </dataValidation>
    <dataValidation type="textLength" operator="lessThanOrEqual" allowBlank="1" showInputMessage="1" showErrorMessage="1" errorTitle="Ошибка" error="Допускается ввод не более 900 символов!" sqref="K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textLength" operator="lessThanOrEqual" allowBlank="1" showInputMessage="1" showErrorMessage="1" errorTitle="Ошибка" error="Допускается ввод не более 900 символов!" sqref="K3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textLength" operator="lessThanOrEqual" allowBlank="1" showInputMessage="1" showErrorMessage="1" errorTitle="Ошибка" error="Допускается ввод не более 900 символов!" sqref="M331">
      <formula1>900</formula1>
    </dataValidation>
    <dataValidation type="textLength" operator="lessThanOrEqual" allowBlank="1" showInputMessage="1" showErrorMessage="1" errorTitle="Ошибка" error="Допускается ввод не более 900 символов!" sqref="K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textLength" operator="lessThanOrEqual" allowBlank="1" showInputMessage="1" showErrorMessage="1" errorTitle="Ошибка" error="Допускается ввод не более 900 символов!" sqref="K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decimal" allowBlank="1" showErrorMessage="1" errorTitle="Ошибка" error="Допускается ввод только неотрицательных чисел!" sqref="AE242">
      <formula1>0</formula1>
      <formula2>9.99999999999999E+23</formula2>
    </dataValidation>
    <dataValidation type="decimal" allowBlank="1" showErrorMessage="1" errorTitle="Ошибка" error="Допускается ввод только неотрицательных чисел!" sqref="AC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M240">
      <formula1>900</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decimal" allowBlank="1" showErrorMessage="1" errorTitle="Ошибка" error="Допускается ввод только неотрицательных чисел!" sqref="AE161">
      <formula1>0</formula1>
      <formula2>9.99999999999999E+23</formula2>
    </dataValidation>
    <dataValidation type="decimal" allowBlank="1" showErrorMessage="1" errorTitle="Ошибка" error="Допускается ввод только неотрицательных чисел!" sqref="AC161">
      <formula1>0</formula1>
      <formula2>9.99999999999999E+23</formula2>
    </dataValidation>
    <dataValidation type="textLength" operator="lessThanOrEqual" allowBlank="1" showInputMessage="1" showErrorMessage="1" errorTitle="Ошибка" error="Допускается ввод не более 900 символов!" sqref="K1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textLength" operator="lessThanOrEqual" allowBlank="1" showInputMessage="1" showErrorMessage="1" errorTitle="Ошибка" error="Допускается ввод не более 900 символов!" sqref="M159">
      <formula1>900</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decimal" allowBlank="1" showErrorMessage="1" errorTitle="Ошибка" error="Допускается ввод только неотрицательных чисел!" sqref="AE100">
      <formula1>0</formula1>
      <formula2>9.99999999999999E+23</formula2>
    </dataValidation>
    <dataValidation type="decimal" allowBlank="1" showErrorMessage="1" errorTitle="Ошибка" error="Допускается ввод только неотрицательных чисел!" sqref="AC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M98">
      <formula1>900</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decimal" allowBlank="1" showErrorMessage="1" errorTitle="Ошибка" error="Допускается ввод только неотрицательных чисел!" sqref="AE89">
      <formula1>0</formula1>
      <formula2>9.99999999999999E+23</formula2>
    </dataValidation>
    <dataValidation type="decimal" allowBlank="1" showErrorMessage="1" errorTitle="Ошибка" error="Допускается ввод только неотрицательных чисел!" sqref="AC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M87">
      <formula1>900</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textLength" operator="lessThanOrEqual" allowBlank="1" showInputMessage="1" showErrorMessage="1" errorTitle="Ошибка" error="Допускается ввод не более 900 символов!" sqref="K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M46">
      <formula1>900</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textLength" operator="lessThanOrEqual" allowBlank="1" showInputMessage="1" showErrorMessage="1" errorTitle="Ошибка" error="Допускается ввод не более 900 символов!" sqref="M71">
      <formula1>900</formula1>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textLength" operator="lessThanOrEqual" allowBlank="1" showInputMessage="1" showErrorMessage="1" errorTitle="Ошибка" error="Допускается ввод не более 900 символов!" sqref="M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decimal" allowBlank="1" showErrorMessage="1" errorTitle="Ошибка" error="Допускается ввод только неотрицательных чисел!" sqref="AC94">
      <formula1>0</formula1>
      <formula2>9.99999999999999E+23</formula2>
    </dataValidation>
    <dataValidation type="decimal" allowBlank="1" showErrorMessage="1" errorTitle="Ошибка" error="Допускается ввод только неотрицательных чисел!" sqref="AE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textLength" operator="lessThanOrEqual" allowBlank="1" showInputMessage="1" showErrorMessage="1" errorTitle="Ошибка" error="Допускается ввод не более 900 символов!" sqref="M103">
      <formula1>900</formula1>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decimal" allowBlank="1" showErrorMessage="1" errorTitle="Ошибка" error="Допускается ввод только неотрицательных чисел!" sqref="AC105">
      <formula1>0</formula1>
      <formula2>9.99999999999999E+23</formula2>
    </dataValidation>
    <dataValidation type="decimal" allowBlank="1" showErrorMessage="1" errorTitle="Ошибка" error="Допускается ввод только неотрицательных чисел!" sqref="AE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textLength" operator="lessThanOrEqual" allowBlank="1" showInputMessage="1" showErrorMessage="1" errorTitle="Ошибка" error="Допускается ввод не более 900 символов!" sqref="M118">
      <formula1>900</formula1>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decimal" allowBlank="1" showErrorMessage="1" errorTitle="Ошибка" error="Допускается ввод только неотрицательных чисел!" sqref="AC120">
      <formula1>0</formula1>
      <formula2>9.99999999999999E+23</formula2>
    </dataValidation>
    <dataValidation type="decimal" allowBlank="1" showErrorMessage="1" errorTitle="Ошибка" error="Допускается ввод только неотрицательных чисел!" sqref="AE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textLength" operator="lessThanOrEqual" allowBlank="1" showInputMessage="1" showErrorMessage="1" errorTitle="Ошибка" error="Допускается ввод не более 900 символов!" sqref="M123">
      <formula1>900</formula1>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decimal" allowBlank="1" showErrorMessage="1" errorTitle="Ошибка" error="Допускается ввод только неотрицательных чисел!" sqref="AC130">
      <formula1>0</formula1>
      <formula2>9.99999999999999E+23</formula2>
    </dataValidation>
    <dataValidation type="decimal" allowBlank="1" showErrorMessage="1" errorTitle="Ошибка" error="Допускается ввод только неотрицательных чисел!" sqref="AE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decimal" allowBlank="1" showErrorMessage="1" errorTitle="Ошибка" error="Допускается ввод только неотрицательных чисел!" sqref="AC135">
      <formula1>0</formula1>
      <formula2>9.99999999999999E+23</formula2>
    </dataValidation>
    <dataValidation type="decimal" allowBlank="1" showErrorMessage="1" errorTitle="Ошибка" error="Допускается ввод только неотрицательных чисел!" sqref="AE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textLength" operator="lessThanOrEqual" allowBlank="1" showInputMessage="1" showErrorMessage="1" errorTitle="Ошибка" error="Допускается ввод не более 900 символов!" sqref="M148">
      <formula1>900</formula1>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decimal" allowBlank="1" showErrorMessage="1" errorTitle="Ошибка" error="Допускается ввод только неотрицательных чисел!" sqref="AC150">
      <formula1>0</formula1>
      <formula2>9.99999999999999E+23</formula2>
    </dataValidation>
    <dataValidation type="decimal" allowBlank="1" showErrorMessage="1" errorTitle="Ошибка" error="Допускается ввод только неотрицательных чисел!" sqref="AE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textLength" operator="lessThanOrEqual" allowBlank="1" showInputMessage="1" showErrorMessage="1" errorTitle="Ошибка" error="Допускается ввод не более 900 символов!" sqref="M153">
      <formula1>900</formula1>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decimal" allowBlank="1" showErrorMessage="1" errorTitle="Ошибка" error="Допускается ввод только неотрицательных чисел!" sqref="AC155">
      <formula1>0</formula1>
      <formula2>9.99999999999999E+23</formula2>
    </dataValidation>
    <dataValidation type="decimal" allowBlank="1" showErrorMessage="1" errorTitle="Ошибка" error="Допускается ввод только неотрицательных чисел!" sqref="AE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textLength" operator="lessThanOrEqual" allowBlank="1" showInputMessage="1" showErrorMessage="1" errorTitle="Ошибка" error="Допускается ввод не более 900 символов!" sqref="M164">
      <formula1>900</formula1>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decimal" allowBlank="1" showErrorMessage="1" errorTitle="Ошибка" error="Допускается ввод только неотрицательных чисел!" sqref="AC166">
      <formula1>0</formula1>
      <formula2>9.99999999999999E+23</formula2>
    </dataValidation>
    <dataValidation type="decimal" allowBlank="1" showErrorMessage="1" errorTitle="Ошибка" error="Допускается ввод только неотрицательных чисел!" sqref="AE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decimal" allowBlank="1" showErrorMessage="1" errorTitle="Ошибка" error="Допускается ввод только неотрицательных чисел!" sqref="AC176">
      <formula1>0</formula1>
      <formula2>9.99999999999999E+23</formula2>
    </dataValidation>
    <dataValidation type="decimal" allowBlank="1" showErrorMessage="1" errorTitle="Ошибка" error="Допускается ввод только неотрицательных чисел!" sqref="AE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textLength" operator="lessThanOrEqual" allowBlank="1" showInputMessage="1" showErrorMessage="1" errorTitle="Ошибка" error="Допускается ввод не более 900 символов!" sqref="M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decimal" allowBlank="1" showErrorMessage="1" errorTitle="Ошибка" error="Допускается ввод только неотрицательных чисел!" sqref="AC181">
      <formula1>0</formula1>
      <formula2>9.99999999999999E+23</formula2>
    </dataValidation>
    <dataValidation type="decimal" allowBlank="1" showErrorMessage="1" errorTitle="Ошибка" error="Допускается ввод только неотрицательных чисел!" sqref="AE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textLength" operator="lessThanOrEqual" allowBlank="1" showInputMessage="1" showErrorMessage="1" errorTitle="Ошибка" error="Допускается ввод не более 900 символов!" sqref="K184">
      <formula1>900</formula1>
    </dataValidation>
    <dataValidation type="textLength" operator="lessThanOrEqual" allowBlank="1" showInputMessage="1" showErrorMessage="1" errorTitle="Ошибка" error="Допускается ввод не более 900 символов!" sqref="M184">
      <formula1>900</formula1>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decimal" allowBlank="1" showErrorMessage="1" errorTitle="Ошибка" error="Допускается ввод только неотрицательных чисел!" sqref="AC186">
      <formula1>0</formula1>
      <formula2>9.99999999999999E+23</formula2>
    </dataValidation>
    <dataValidation type="decimal" allowBlank="1" showErrorMessage="1" errorTitle="Ошибка" error="Допускается ввод только неотрицательных чисел!" sqref="AE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textLength" operator="lessThanOrEqual" allowBlank="1" showInputMessage="1" showErrorMessage="1" errorTitle="Ошибка" error="Допускается ввод не более 900 символов!" sqref="M189">
      <formula1>900</formula1>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decimal" allowBlank="1" showErrorMessage="1" errorTitle="Ошибка" error="Допускается ввод только неотрицательных чисел!" sqref="AC191">
      <formula1>0</formula1>
      <formula2>9.99999999999999E+23</formula2>
    </dataValidation>
    <dataValidation type="decimal" allowBlank="1" showErrorMessage="1" errorTitle="Ошибка" error="Допускается ввод только неотрицательных чисел!" sqref="AE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textLength" operator="lessThanOrEqual" allowBlank="1" showInputMessage="1" showErrorMessage="1" errorTitle="Ошибка" error="Допускается ввод не более 900 символов!" sqref="M194">
      <formula1>900</formula1>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decimal" allowBlank="1" showErrorMessage="1" errorTitle="Ошибка" error="Допускается ввод только неотрицательных чисел!" sqref="AC196">
      <formula1>0</formula1>
      <formula2>9.99999999999999E+23</formula2>
    </dataValidation>
    <dataValidation type="decimal" allowBlank="1" showErrorMessage="1" errorTitle="Ошибка" error="Допускается ввод только неотрицательных чисел!" sqref="AE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decimal" allowBlank="1" showErrorMessage="1" errorTitle="Ошибка" error="Допускается ввод только неотрицательных чисел!" sqref="AC201">
      <formula1>0</formula1>
      <formula2>9.99999999999999E+23</formula2>
    </dataValidation>
    <dataValidation type="decimal" allowBlank="1" showErrorMessage="1" errorTitle="Ошибка" error="Допускается ввод только неотрицательных чисел!" sqref="AE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decimal" allowBlank="1" showErrorMessage="1" errorTitle="Ошибка" error="Допускается ввод только неотрицательных чисел!" sqref="AC206">
      <formula1>0</formula1>
      <formula2>9.99999999999999E+23</formula2>
    </dataValidation>
    <dataValidation type="decimal" allowBlank="1" showErrorMessage="1" errorTitle="Ошибка" error="Допускается ввод только неотрицательных чисел!" sqref="AE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textLength" operator="lessThanOrEqual" allowBlank="1" showInputMessage="1" showErrorMessage="1" errorTitle="Ошибка" error="Допускается ввод не более 900 символов!" sqref="M209">
      <formula1>900</formula1>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decimal" allowBlank="1" showErrorMessage="1" errorTitle="Ошибка" error="Допускается ввод только неотрицательных чисел!" sqref="AC211">
      <formula1>0</formula1>
      <formula2>9.99999999999999E+23</formula2>
    </dataValidation>
    <dataValidation type="decimal" allowBlank="1" showErrorMessage="1" errorTitle="Ошибка" error="Допускается ввод только неотрицательных чисел!" sqref="AE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textLength" operator="lessThanOrEqual" allowBlank="1" showInputMessage="1" showErrorMessage="1" errorTitle="Ошибка" error="Допускается ввод не более 900 символов!" sqref="M214">
      <formula1>900</formula1>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textLength" operator="lessThanOrEqual" allowBlank="1" showInputMessage="1" showErrorMessage="1" errorTitle="Ошибка" error="Допускается ввод не более 900 символов!" sqref="K216">
      <formula1>900</formula1>
    </dataValidation>
    <dataValidation type="decimal" allowBlank="1" showErrorMessage="1" errorTitle="Ошибка" error="Допускается ввод только неотрицательных чисел!" sqref="AC216">
      <formula1>0</formula1>
      <formula2>9.99999999999999E+23</formula2>
    </dataValidation>
    <dataValidation type="decimal" allowBlank="1" showErrorMessage="1" errorTitle="Ошибка" error="Допускается ввод только неотрицательных чисел!" sqref="AE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textLength" operator="lessThanOrEqual" allowBlank="1" showInputMessage="1" showErrorMessage="1" errorTitle="Ошибка" error="Допускается ввод не более 900 символов!" sqref="M219">
      <formula1>900</formula1>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decimal" allowBlank="1" showErrorMessage="1" errorTitle="Ошибка" error="Допускается ввод только неотрицательных чисел!" sqref="AC221">
      <formula1>0</formula1>
      <formula2>9.99999999999999E+23</formula2>
    </dataValidation>
    <dataValidation type="decimal" allowBlank="1" showErrorMessage="1" errorTitle="Ошибка" error="Допускается ввод только неотрицательных чисел!" sqref="AE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textLength" operator="lessThanOrEqual" allowBlank="1" showInputMessage="1" showErrorMessage="1" errorTitle="Ошибка" error="Допускается ввод не более 900 символов!" sqref="M224">
      <formula1>900</formula1>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decimal" allowBlank="1" showErrorMessage="1" errorTitle="Ошибка" error="Допускается ввод только неотрицательных чисел!" sqref="AC226">
      <formula1>0</formula1>
      <formula2>9.99999999999999E+23</formula2>
    </dataValidation>
    <dataValidation type="decimal" allowBlank="1" showErrorMessage="1" errorTitle="Ошибка" error="Допускается ввод только неотрицательных чисел!" sqref="AE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textLength" operator="lessThanOrEqual" allowBlank="1" showInputMessage="1" showErrorMessage="1" errorTitle="Ошибка" error="Допускается ввод не более 900 символов!" sqref="M229">
      <formula1>900</formula1>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decimal" allowBlank="1" showErrorMessage="1" errorTitle="Ошибка" error="Допускается ввод только неотрицательных чисел!" sqref="AC231">
      <formula1>0</formula1>
      <formula2>9.99999999999999E+23</formula2>
    </dataValidation>
    <dataValidation type="decimal" allowBlank="1" showErrorMessage="1" errorTitle="Ошибка" error="Допускается ввод только неотрицательных чисел!" sqref="AE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textLength" operator="lessThanOrEqual" allowBlank="1" showInputMessage="1" showErrorMessage="1" errorTitle="Ошибка" error="Допускается ввод не более 900 символов!" sqref="K232">
      <formula1>900</formula1>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textLength" operator="lessThanOrEqual" allowBlank="1" showInputMessage="1" showErrorMessage="1" errorTitle="Ошибка" error="Допускается ввод не более 900 символов!" sqref="M234">
      <formula1>900</formula1>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decimal" allowBlank="1" showErrorMessage="1" errorTitle="Ошибка" error="Допускается ввод только неотрицательных чисел!" sqref="AC236">
      <formula1>0</formula1>
      <formula2>9.99999999999999E+23</formula2>
    </dataValidation>
    <dataValidation type="decimal" allowBlank="1" showErrorMessage="1" errorTitle="Ошибка" error="Допускается ввод только неотрицательных чисел!" sqref="AE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textLength" operator="lessThanOrEqual" allowBlank="1" showInputMessage="1" showErrorMessage="1" errorTitle="Ошибка" error="Допускается ввод не более 900 символов!" sqref="M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decimal" allowBlank="1" showErrorMessage="1" errorTitle="Ошибка" error="Допускается ввод только неотрицательных чисел!" sqref="AC247">
      <formula1>0</formula1>
      <formula2>9.99999999999999E+23</formula2>
    </dataValidation>
    <dataValidation type="decimal" allowBlank="1" showErrorMessage="1" errorTitle="Ошибка" error="Допускается ввод только неотрицательных чисел!" sqref="AE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textLength" operator="lessThanOrEqual" allowBlank="1" showInputMessage="1" showErrorMessage="1" errorTitle="Ошибка" error="Допускается ввод не более 900 символов!" sqref="M250">
      <formula1>900</formula1>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decimal" allowBlank="1" showErrorMessage="1" errorTitle="Ошибка" error="Допускается ввод только неотрицательных чисел!" sqref="AC252">
      <formula1>0</formula1>
      <formula2>9.99999999999999E+23</formula2>
    </dataValidation>
    <dataValidation type="decimal" allowBlank="1" showErrorMessage="1" errorTitle="Ошибка" error="Допускается ввод только неотрицательных чисел!" sqref="AE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textLength" operator="lessThanOrEqual" allowBlank="1" showInputMessage="1" showErrorMessage="1" errorTitle="Ошибка" error="Допускается ввод не более 900 символов!" sqref="M255">
      <formula1>900</formula1>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decimal" allowBlank="1" showErrorMessage="1" errorTitle="Ошибка" error="Допускается ввод только неотрицательных чисел!" sqref="AC257">
      <formula1>0</formula1>
      <formula2>9.99999999999999E+23</formula2>
    </dataValidation>
    <dataValidation type="decimal" allowBlank="1" showErrorMessage="1" errorTitle="Ошибка" error="Допускается ввод только неотрицательных чисел!" sqref="AE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textLength" operator="lessThanOrEqual" allowBlank="1" showInputMessage="1" showErrorMessage="1" errorTitle="Ошибка" error="Допускается ввод не более 900 символов!" sqref="M260">
      <formula1>900</formula1>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textLength" operator="lessThanOrEqual" allowBlank="1" showInputMessage="1" showErrorMessage="1" errorTitle="Ошибка" error="Допускается ввод не более 900 символов!" sqref="M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textLength" operator="lessThanOrEqual" allowBlank="1" showInputMessage="1" showErrorMessage="1" errorTitle="Ошибка" error="Допускается ввод не более 900 символов!" sqref="M270">
      <formula1>900</formula1>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textLength" operator="lessThanOrEqual" allowBlank="1" showInputMessage="1" showErrorMessage="1" errorTitle="Ошибка" error="Допускается ввод не более 900 символов!" sqref="M275">
      <formula1>900</formula1>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decimal" allowBlank="1" showErrorMessage="1" errorTitle="Ошибка" error="Допускается ввод только неотрицательных чисел!" sqref="AC277">
      <formula1>0</formula1>
      <formula2>9.99999999999999E+23</formula2>
    </dataValidation>
    <dataValidation type="decimal" allowBlank="1" showErrorMessage="1" errorTitle="Ошибка" error="Допускается ввод только неотрицательных чисел!" sqref="AE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textLength" operator="lessThanOrEqual" allowBlank="1" showInputMessage="1" showErrorMessage="1" errorTitle="Ошибка" error="Допускается ввод не более 900 символов!" sqref="M280">
      <formula1>900</formula1>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textLength" operator="lessThanOrEqual" allowBlank="1" showInputMessage="1" showErrorMessage="1" errorTitle="Ошибка" error="Допускается ввод не более 900 символов!" sqref="K282">
      <formula1>900</formula1>
    </dataValidation>
    <dataValidation type="decimal" allowBlank="1" showErrorMessage="1" errorTitle="Ошибка" error="Допускается ввод только неотрицательных чисел!" sqref="AC282">
      <formula1>0</formula1>
      <formula2>9.99999999999999E+23</formula2>
    </dataValidation>
    <dataValidation type="decimal" allowBlank="1" showErrorMessage="1" errorTitle="Ошибка" error="Допускается ввод только неотрицательных чисел!" sqref="AE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textLength" operator="lessThanOrEqual" allowBlank="1" showInputMessage="1" showErrorMessage="1" errorTitle="Ошибка" error="Допускается ввод не более 900 символов!" sqref="M285">
      <formula1>900</formula1>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textLength" operator="lessThanOrEqual" allowBlank="1" showInputMessage="1" showErrorMessage="1" errorTitle="Ошибка" error="Допускается ввод не более 900 символов!" sqref="K286">
      <formula1>900</formula1>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decimal" allowBlank="1" showErrorMessage="1" errorTitle="Ошибка" error="Допускается ввод только неотрицательных чисел!" sqref="AC287">
      <formula1>0</formula1>
      <formula2>9.99999999999999E+23</formula2>
    </dataValidation>
    <dataValidation type="decimal" allowBlank="1" showErrorMessage="1" errorTitle="Ошибка" error="Допускается ввод только неотрицательных чисел!" sqref="AE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textLength" operator="lessThanOrEqual" allowBlank="1" showInputMessage="1" showErrorMessage="1" errorTitle="Ошибка" error="Допускается ввод не более 900 символов!" sqref="M290">
      <formula1>900</formula1>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textLength" operator="lessThanOrEqual" allowBlank="1" showInputMessage="1" showErrorMessage="1" errorTitle="Ошибка" error="Допускается ввод не более 900 символов!" sqref="K292">
      <formula1>900</formula1>
    </dataValidation>
    <dataValidation type="decimal" allowBlank="1" showErrorMessage="1" errorTitle="Ошибка" error="Допускается ввод только неотрицательных чисел!" sqref="AC292">
      <formula1>0</formula1>
      <formula2>9.99999999999999E+23</formula2>
    </dataValidation>
    <dataValidation type="decimal" allowBlank="1" showErrorMessage="1" errorTitle="Ошибка" error="Допускается ввод только неотрицательных чисел!" sqref="AE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textLength" operator="lessThanOrEqual" allowBlank="1" showInputMessage="1" showErrorMessage="1" errorTitle="Ошибка" error="Допускается ввод не более 900 символов!" sqref="M295">
      <formula1>900</formula1>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decimal" allowBlank="1" showErrorMessage="1" errorTitle="Ошибка" error="Допускается ввод только неотрицательных чисел!" sqref="AC297">
      <formula1>0</formula1>
      <formula2>9.99999999999999E+23</formula2>
    </dataValidation>
    <dataValidation type="decimal" allowBlank="1" showErrorMessage="1" errorTitle="Ошибка" error="Допускается ввод только неотрицательных чисел!" sqref="AE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textLength" operator="lessThanOrEqual" allowBlank="1" showInputMessage="1" showErrorMessage="1" errorTitle="Ошибка" error="Допускается ввод не более 900 символов!" sqref="M300">
      <formula1>900</formula1>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decimal" allowBlank="1" showErrorMessage="1" errorTitle="Ошибка" error="Допускается ввод только неотрицательных чисел!" sqref="AC302">
      <formula1>0</formula1>
      <formula2>9.99999999999999E+23</formula2>
    </dataValidation>
    <dataValidation type="decimal" allowBlank="1" showErrorMessage="1" errorTitle="Ошибка" error="Допускается ввод только неотрицательных чисел!" sqref="AE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textLength" operator="lessThanOrEqual" allowBlank="1" showInputMessage="1" showErrorMessage="1" errorTitle="Ошибка" error="Допускается ввод не более 900 символов!" sqref="M305">
      <formula1>900</formula1>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decimal" allowBlank="1" showErrorMessage="1" errorTitle="Ошибка" error="Допускается ввод только неотрицательных чисел!" sqref="AC307">
      <formula1>0</formula1>
      <formula2>9.99999999999999E+23</formula2>
    </dataValidation>
    <dataValidation type="decimal" allowBlank="1" showErrorMessage="1" errorTitle="Ошибка" error="Допускается ввод только неотрицательных чисел!" sqref="AE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textLength" operator="lessThanOrEqual" allowBlank="1" showInputMessage="1" showErrorMessage="1" errorTitle="Ошибка" error="Допускается ввод не более 900 символов!" sqref="K310">
      <formula1>900</formula1>
    </dataValidation>
    <dataValidation type="textLength" operator="lessThanOrEqual" allowBlank="1" showInputMessage="1" showErrorMessage="1" errorTitle="Ошибка" error="Допускается ввод не более 900 символов!" sqref="M310">
      <formula1>900</formula1>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decimal" allowBlank="1" showErrorMessage="1" errorTitle="Ошибка" error="Допускается ввод только неотрицательных чисел!" sqref="AC312">
      <formula1>0</formula1>
      <formula2>9.99999999999999E+23</formula2>
    </dataValidation>
    <dataValidation type="decimal" allowBlank="1" showErrorMessage="1" errorTitle="Ошибка" error="Допускается ввод только неотрицательных чисел!" sqref="AE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textLength" operator="lessThanOrEqual" allowBlank="1" showInputMessage="1" showErrorMessage="1" errorTitle="Ошибка" error="Допускается ввод не более 900 символов!" sqref="M315">
      <formula1>900</formula1>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decimal" allowBlank="1" showErrorMessage="1" errorTitle="Ошибка" error="Допускается ввод только неотрицательных чисел!" sqref="AC317">
      <formula1>0</formula1>
      <formula2>9.99999999999999E+23</formula2>
    </dataValidation>
    <dataValidation type="decimal" allowBlank="1" showErrorMessage="1" errorTitle="Ошибка" error="Допускается ввод только неотрицательных чисел!" sqref="AE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textLength" operator="lessThanOrEqual" allowBlank="1" showInputMessage="1" showErrorMessage="1" errorTitle="Ошибка" error="Допускается ввод не более 900 символов!" sqref="M320">
      <formula1>900</formula1>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textLength" operator="lessThanOrEqual" allowBlank="1" showInputMessage="1" showErrorMessage="1" errorTitle="Ошибка" error="Допускается ввод не более 900 символов!" sqref="K321">
      <formula1>900</formula1>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decimal" allowBlank="1" showErrorMessage="1" errorTitle="Ошибка" error="Допускается ввод только неотрицательных чисел!" sqref="AC322">
      <formula1>0</formula1>
      <formula2>9.99999999999999E+23</formula2>
    </dataValidation>
    <dataValidation type="decimal" allowBlank="1" showErrorMessage="1" errorTitle="Ошибка" error="Допускается ввод только неотрицательных чисел!" sqref="AE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textLength" operator="lessThanOrEqual" allowBlank="1" showInputMessage="1" showErrorMessage="1" errorTitle="Ошибка" error="Допускается ввод не более 900 символов!" sqref="K325">
      <formula1>900</formula1>
    </dataValidation>
    <dataValidation type="textLength" operator="lessThanOrEqual" allowBlank="1" showInputMessage="1" showErrorMessage="1" errorTitle="Ошибка" error="Допускается ввод не более 900 символов!" sqref="M325">
      <formula1>900</formula1>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decimal" allowBlank="1" showErrorMessage="1" errorTitle="Ошибка" error="Допускается ввод только неотрицательных чисел!" sqref="AC327">
      <formula1>0</formula1>
      <formula2>9.99999999999999E+23</formula2>
    </dataValidation>
    <dataValidation type="decimal" allowBlank="1" showErrorMessage="1" errorTitle="Ошибка" error="Допускается ввод только неотрицательных чисел!" sqref="AE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textLength" operator="lessThanOrEqual" allowBlank="1" showInputMessage="1" showErrorMessage="1" errorTitle="Ошибка" error="Допускается ввод не более 900 символов!" sqref="K328">
      <formula1>900</formula1>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P59"/>
  <sheetViews>
    <sheetView showGridLines="0" zoomScale="85" workbookViewId="0">
      <pane xSplit="9" ySplit="13" topLeftCell="J14" activePane="bottomRight" state="frozen"/>
      <selection pane="topRight" activeCell="J1" sqref="J1"/>
      <selection pane="bottomLeft" activeCell="A14" sqref="A14"/>
      <selection pane="bottomRight" activeCell="AB1" sqref="AB1:AB59"/>
    </sheetView>
  </sheetViews>
  <sheetFormatPr defaultColWidth="9.140625" defaultRowHeight="10.5" customHeight="1"/>
  <cols>
    <col min="1" max="4" width="4.140625" style="1029" hidden="1" customWidth="1"/>
    <col min="5" max="5" width="3" style="1029" customWidth="1"/>
    <col min="6" max="6" width="6" style="1029" customWidth="1"/>
    <col min="7" max="7" width="60" style="1029" customWidth="1"/>
    <col min="8" max="9" width="21.7109375" style="1029" hidden="1" customWidth="1"/>
    <col min="10" max="10" width="0.140625" style="1029" customWidth="1"/>
    <col min="11" max="28" width="21.7109375" style="1029" hidden="1" customWidth="1"/>
    <col min="29" max="29" width="0.140625" style="1029" customWidth="1"/>
    <col min="30" max="30" width="1" style="1029" customWidth="1"/>
    <col min="31" max="41" width="8" style="1029" customWidth="1"/>
    <col min="42" max="42" width="9.140625" style="1029" hidden="1"/>
  </cols>
  <sheetData>
    <row r="1" spans="5:42" ht="10.5" hidden="1" customHeight="1">
      <c r="K1"/>
      <c r="L1"/>
      <c r="M1"/>
      <c r="N1"/>
      <c r="O1"/>
      <c r="P1"/>
      <c r="Q1"/>
      <c r="R1"/>
      <c r="S1"/>
      <c r="T1"/>
      <c r="U1"/>
      <c r="V1"/>
      <c r="W1"/>
      <c r="X1"/>
      <c r="Y1"/>
      <c r="Z1"/>
      <c r="AA1"/>
      <c r="AB1"/>
      <c r="AC1"/>
      <c r="AP1" s="555" t="s">
        <v>14</v>
      </c>
    </row>
    <row r="2" spans="5:42" ht="10.5" hidden="1" customHeight="1">
      <c r="K2"/>
      <c r="L2"/>
      <c r="M2"/>
      <c r="N2"/>
      <c r="O2"/>
      <c r="P2"/>
      <c r="Q2"/>
      <c r="R2"/>
      <c r="S2"/>
      <c r="T2"/>
      <c r="U2"/>
      <c r="V2"/>
      <c r="W2"/>
      <c r="X2"/>
      <c r="Y2"/>
      <c r="Z2"/>
      <c r="AA2"/>
      <c r="AB2"/>
      <c r="AC2"/>
      <c r="AP2" s="538">
        <v>0</v>
      </c>
    </row>
    <row r="3" spans="5:42" ht="10.5" hidden="1" customHeight="1">
      <c r="K3"/>
      <c r="L3"/>
      <c r="M3"/>
      <c r="N3"/>
      <c r="O3"/>
      <c r="P3"/>
      <c r="Q3"/>
      <c r="R3"/>
      <c r="S3"/>
      <c r="T3"/>
      <c r="U3"/>
      <c r="V3"/>
      <c r="W3"/>
      <c r="X3"/>
      <c r="Y3"/>
      <c r="Z3"/>
      <c r="AA3"/>
      <c r="AB3"/>
      <c r="AC3"/>
      <c r="AP3" s="536">
        <v>0</v>
      </c>
    </row>
    <row r="4" spans="5:42" ht="3" customHeight="1">
      <c r="K4"/>
      <c r="L4"/>
      <c r="M4"/>
      <c r="N4"/>
      <c r="O4"/>
      <c r="P4"/>
      <c r="Q4"/>
      <c r="R4"/>
      <c r="S4"/>
      <c r="T4"/>
      <c r="U4"/>
      <c r="V4"/>
      <c r="W4"/>
      <c r="X4"/>
      <c r="Y4"/>
      <c r="Z4"/>
      <c r="AA4"/>
      <c r="AB4"/>
      <c r="AC4"/>
      <c r="AP4" s="538">
        <v>3</v>
      </c>
    </row>
    <row r="5" spans="5:42" ht="27.4" customHeight="1">
      <c r="F5" s="1178"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1178"/>
      <c r="H5" s="1178"/>
      <c r="I5" s="1178"/>
      <c r="J5" s="1178"/>
      <c r="K5" s="125"/>
      <c r="L5" s="125"/>
      <c r="M5" s="125"/>
      <c r="N5" s="125"/>
      <c r="O5" s="125"/>
      <c r="P5" s="125"/>
      <c r="Q5" s="125"/>
      <c r="R5" s="125"/>
      <c r="S5" s="125"/>
      <c r="T5" s="125"/>
      <c r="U5" s="125"/>
      <c r="V5" s="125"/>
      <c r="W5" s="125"/>
      <c r="X5" s="125"/>
      <c r="Y5" s="125"/>
      <c r="Z5" s="125"/>
      <c r="AA5" s="125"/>
      <c r="AB5" s="125"/>
      <c r="AC5" s="125"/>
      <c r="AP5" s="538">
        <v>26</v>
      </c>
    </row>
    <row r="6" spans="5:42" ht="10.5" customHeight="1">
      <c r="F6" s="1127" t="str">
        <f>IF(org=0,"Не определено",org)</f>
        <v>АО "НИЖЕГОРОДСКИЙ ВОДОКАНАЛ"</v>
      </c>
      <c r="G6" s="1127"/>
      <c r="H6" s="1127"/>
      <c r="I6" s="1127"/>
      <c r="J6" s="1127"/>
      <c r="K6" s="77"/>
      <c r="L6" s="77"/>
      <c r="M6" s="77"/>
      <c r="N6" s="77"/>
      <c r="O6" s="77"/>
      <c r="P6" s="77"/>
      <c r="Q6" s="77"/>
      <c r="R6" s="77"/>
      <c r="S6" s="77"/>
      <c r="T6" s="77"/>
      <c r="U6" s="77"/>
      <c r="V6" s="77"/>
      <c r="W6" s="77"/>
      <c r="X6" s="77"/>
      <c r="Y6" s="77"/>
      <c r="Z6" s="77"/>
      <c r="AA6" s="77"/>
      <c r="AB6" s="77"/>
      <c r="AC6" s="77"/>
      <c r="AP6" s="538">
        <v>10</v>
      </c>
    </row>
    <row r="7" spans="5:42" ht="11.45" customHeight="1">
      <c r="E7" s="556"/>
      <c r="F7" s="960"/>
      <c r="G7" s="960"/>
      <c r="H7" s="960"/>
      <c r="I7" s="960"/>
      <c r="J7" s="960"/>
      <c r="K7" s="464" t="s">
        <v>22</v>
      </c>
      <c r="L7" s="464"/>
      <c r="M7" s="464" t="s">
        <v>22</v>
      </c>
      <c r="N7" s="464" t="s">
        <v>22</v>
      </c>
      <c r="O7" s="464" t="s">
        <v>22</v>
      </c>
      <c r="P7" s="464" t="s">
        <v>22</v>
      </c>
      <c r="Q7" s="464" t="s">
        <v>22</v>
      </c>
      <c r="R7" s="464" t="s">
        <v>22</v>
      </c>
      <c r="S7" s="464" t="s">
        <v>22</v>
      </c>
      <c r="T7" s="464" t="s">
        <v>22</v>
      </c>
      <c r="U7" s="464" t="s">
        <v>22</v>
      </c>
      <c r="V7" s="464" t="s">
        <v>22</v>
      </c>
      <c r="W7" s="464" t="s">
        <v>22</v>
      </c>
      <c r="X7" s="464" t="s">
        <v>22</v>
      </c>
      <c r="Y7" s="464" t="s">
        <v>22</v>
      </c>
      <c r="Z7" s="464" t="s">
        <v>22</v>
      </c>
      <c r="AA7" s="464" t="s">
        <v>22</v>
      </c>
      <c r="AB7" s="464" t="s">
        <v>22</v>
      </c>
      <c r="AC7" s="464"/>
      <c r="AP7" s="538">
        <v>11</v>
      </c>
    </row>
    <row r="8" spans="5:42" ht="4.1500000000000004" customHeight="1">
      <c r="F8" s="961"/>
      <c r="G8" s="961"/>
      <c r="H8" s="961"/>
      <c r="I8" s="961"/>
      <c r="J8" s="961"/>
      <c r="K8" s="465" t="s">
        <v>1021</v>
      </c>
      <c r="L8" s="465"/>
      <c r="M8" s="465"/>
      <c r="N8" s="465"/>
      <c r="O8" s="465"/>
      <c r="P8" s="465"/>
      <c r="Q8" s="465"/>
      <c r="R8" s="465"/>
      <c r="S8" s="465"/>
      <c r="T8" s="465"/>
      <c r="U8" s="465"/>
      <c r="V8" s="465"/>
      <c r="W8" s="465"/>
      <c r="X8" s="465"/>
      <c r="Y8" s="465"/>
      <c r="Z8" s="465"/>
      <c r="AA8" s="465"/>
      <c r="AB8" s="465"/>
      <c r="AC8" s="465"/>
      <c r="AP8" s="577">
        <v>4</v>
      </c>
    </row>
    <row r="9" spans="5:42" ht="10.5" customHeight="1">
      <c r="E9" s="556"/>
      <c r="F9" s="1366" t="s">
        <v>311</v>
      </c>
      <c r="G9" s="1367"/>
      <c r="H9" s="1367"/>
      <c r="I9" s="1367"/>
      <c r="J9" s="1367"/>
      <c r="K9" s="466"/>
      <c r="L9" s="466"/>
      <c r="M9" s="466"/>
      <c r="N9" s="466"/>
      <c r="O9" s="466"/>
      <c r="P9" s="466"/>
      <c r="Q9" s="466"/>
      <c r="R9" s="466"/>
      <c r="S9" s="466"/>
      <c r="T9" s="466"/>
      <c r="U9" s="466"/>
      <c r="V9" s="466"/>
      <c r="W9" s="466"/>
      <c r="X9" s="466"/>
      <c r="Y9" s="466"/>
      <c r="Z9" s="466"/>
      <c r="AA9" s="466"/>
      <c r="AB9" s="466"/>
      <c r="AC9" s="466"/>
      <c r="AD9" s="962"/>
      <c r="AP9" s="538">
        <v>10</v>
      </c>
    </row>
    <row r="10" spans="5:42" ht="25.15" customHeight="1">
      <c r="F10" s="1370" t="s">
        <v>87</v>
      </c>
      <c r="G10" s="1373" t="s">
        <v>1190</v>
      </c>
      <c r="H10" s="1321" t="s">
        <v>1191</v>
      </c>
      <c r="I10" s="1321"/>
      <c r="J10" s="1321"/>
      <c r="K10" s="1321" t="s">
        <v>1191</v>
      </c>
      <c r="L10" s="1321"/>
      <c r="M10" s="1321"/>
      <c r="N10" s="1321"/>
      <c r="O10" s="1321"/>
      <c r="P10" s="1321"/>
      <c r="Q10" s="1321"/>
      <c r="R10" s="1321"/>
      <c r="S10" s="1321"/>
      <c r="T10" s="1321"/>
      <c r="U10" s="1321"/>
      <c r="V10" s="1321"/>
      <c r="W10" s="1321"/>
      <c r="X10" s="1321"/>
      <c r="Y10" s="1321"/>
      <c r="Z10" s="1321"/>
      <c r="AA10" s="1321"/>
      <c r="AB10" s="1321"/>
      <c r="AC10" s="1321"/>
      <c r="AD10" s="467"/>
      <c r="AP10" s="538">
        <v>24</v>
      </c>
    </row>
    <row r="11" spans="5:42" ht="25.5" customHeight="1">
      <c r="F11" s="1371"/>
      <c r="G11" s="1373"/>
      <c r="H11" s="1365" t="e">
        <f>INDEX(IP_MAIN_LIST_NAME_IP,MATCH(H8,IP_MAIN_LIST_IP_ID,0))&amp;" ("&amp;INDEX(IP_MAIN_START_DATE,MATCH(H8,IP_MAIN_LIST_IP_ID,0))&amp;"-"&amp;INDEX(IP_MAIN_END_DATE,MATCH(H8,IP_MAIN_LIST_IP_ID,0))&amp;")"</f>
        <v>#N/A</v>
      </c>
      <c r="I11" s="1365"/>
      <c r="J11" s="1365"/>
      <c r="K11" s="1365" t="str">
        <f>INDEX(IP_MAIN_LIST_NAME_IP,MATCH(K8,IP_MAIN_LIST_IP_ID,0))&amp;" ("&amp;INDEX(IP_MAIN_START_DATE,MATCH(K8,IP_MAIN_LIST_IP_ID,0))&amp;"-"&amp;INDEX(IP_MAIN_END_DATE,MATCH(K8,IP_MAIN_LIST_IP_ID,0))&amp;")"</f>
        <v>Инвестиционная программа от 19.12.2013 АО "НИЖЕГОРОДСКИЙ ВОДОКАНАЛ"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Нижний Новгород на 2014-2030 годы (01.01.2014-31.12.2030)</v>
      </c>
      <c r="L11" s="1365"/>
      <c r="M11" s="1365"/>
      <c r="N11" s="1365"/>
      <c r="O11" s="1365"/>
      <c r="P11" s="1365"/>
      <c r="Q11" s="1365"/>
      <c r="R11" s="1365"/>
      <c r="S11" s="1365"/>
      <c r="T11" s="1365"/>
      <c r="U11" s="1365"/>
      <c r="V11" s="1365"/>
      <c r="W11" s="1365"/>
      <c r="X11" s="1365"/>
      <c r="Y11" s="1365"/>
      <c r="Z11" s="1365"/>
      <c r="AA11" s="1365"/>
      <c r="AB11" s="1365"/>
      <c r="AC11" s="1365"/>
      <c r="AD11" s="467"/>
      <c r="AP11" s="538">
        <v>24</v>
      </c>
    </row>
    <row r="12" spans="5:42" ht="10.5" customHeight="1">
      <c r="F12" s="1372"/>
      <c r="G12" s="1373"/>
      <c r="H12" s="65" t="s">
        <v>1192</v>
      </c>
      <c r="I12" s="468"/>
      <c r="J12" s="65"/>
      <c r="K12" s="65" t="s">
        <v>1192</v>
      </c>
      <c r="L12" s="468">
        <v>2014</v>
      </c>
      <c r="M12" s="468">
        <v>2015</v>
      </c>
      <c r="N12" s="468">
        <v>2016</v>
      </c>
      <c r="O12" s="468">
        <v>2017</v>
      </c>
      <c r="P12" s="468">
        <v>2018</v>
      </c>
      <c r="Q12" s="468">
        <v>2019</v>
      </c>
      <c r="R12" s="468">
        <v>2020</v>
      </c>
      <c r="S12" s="468">
        <v>2021</v>
      </c>
      <c r="T12" s="468">
        <v>2022</v>
      </c>
      <c r="U12" s="468">
        <v>2023</v>
      </c>
      <c r="V12" s="468">
        <v>2024</v>
      </c>
      <c r="W12" s="468">
        <v>2025</v>
      </c>
      <c r="X12" s="468">
        <v>2026</v>
      </c>
      <c r="Y12" s="468">
        <v>2027</v>
      </c>
      <c r="Z12" s="468">
        <v>2028</v>
      </c>
      <c r="AA12" s="468">
        <v>2029</v>
      </c>
      <c r="AB12" s="468">
        <v>2030</v>
      </c>
      <c r="AC12" s="65"/>
      <c r="AD12" s="771"/>
      <c r="AP12" s="538">
        <v>10</v>
      </c>
    </row>
    <row r="13" spans="5:42" ht="10.5" hidden="1" customHeight="1">
      <c r="F13" s="65">
        <v>1</v>
      </c>
      <c r="G13" s="65">
        <v>2</v>
      </c>
      <c r="H13" s="65">
        <v>3</v>
      </c>
      <c r="I13" s="65">
        <v>4</v>
      </c>
      <c r="J13" s="65">
        <v>5</v>
      </c>
      <c r="K13" s="65">
        <v>3</v>
      </c>
      <c r="L13" s="65">
        <v>4</v>
      </c>
      <c r="M13" s="65">
        <v>4</v>
      </c>
      <c r="N13" s="65">
        <v>4</v>
      </c>
      <c r="O13" s="65">
        <v>4</v>
      </c>
      <c r="P13" s="65">
        <v>4</v>
      </c>
      <c r="Q13" s="65">
        <v>4</v>
      </c>
      <c r="R13" s="65">
        <v>4</v>
      </c>
      <c r="S13" s="65">
        <v>4</v>
      </c>
      <c r="T13" s="65">
        <v>4</v>
      </c>
      <c r="U13" s="65">
        <v>4</v>
      </c>
      <c r="V13" s="65">
        <v>4</v>
      </c>
      <c r="W13" s="65">
        <v>4</v>
      </c>
      <c r="X13" s="65">
        <v>4</v>
      </c>
      <c r="Y13" s="65">
        <v>4</v>
      </c>
      <c r="Z13" s="65">
        <v>4</v>
      </c>
      <c r="AA13" s="65">
        <v>4</v>
      </c>
      <c r="AB13" s="65">
        <v>4</v>
      </c>
      <c r="AC13" s="65">
        <v>5</v>
      </c>
      <c r="AD13" s="771"/>
      <c r="AP13" s="538">
        <v>0</v>
      </c>
    </row>
    <row r="14" spans="5:42" ht="11.45" customHeight="1">
      <c r="F14" s="113" t="s">
        <v>1193</v>
      </c>
      <c r="G14" s="1368" t="s">
        <v>1194</v>
      </c>
      <c r="H14" s="1368"/>
      <c r="I14" s="1368"/>
      <c r="J14" s="1368"/>
      <c r="K14" s="393"/>
      <c r="L14" s="393"/>
      <c r="M14" s="393"/>
      <c r="N14" s="393"/>
      <c r="O14" s="393"/>
      <c r="P14" s="393"/>
      <c r="Q14" s="393"/>
      <c r="R14" s="393"/>
      <c r="S14" s="393"/>
      <c r="T14" s="393"/>
      <c r="U14" s="393"/>
      <c r="V14" s="393"/>
      <c r="W14" s="393"/>
      <c r="X14" s="393"/>
      <c r="Y14" s="393"/>
      <c r="Z14" s="393"/>
      <c r="AA14" s="393"/>
      <c r="AB14" s="393"/>
      <c r="AC14" s="393"/>
      <c r="AD14" s="771"/>
      <c r="AP14" s="538">
        <v>11</v>
      </c>
    </row>
    <row r="15" spans="5:42" ht="11.45" customHeight="1">
      <c r="F15" s="65">
        <v>1</v>
      </c>
      <c r="G15" s="102" t="s">
        <v>1195</v>
      </c>
      <c r="H15" s="273">
        <f t="shared" ref="H15:H36" si="0">SUM(I15:J15)</f>
        <v>0</v>
      </c>
      <c r="I15" s="273">
        <f>SUM(I16:I27)</f>
        <v>0</v>
      </c>
      <c r="J15" s="113"/>
      <c r="K15" s="273">
        <f t="shared" ref="K15:K36" si="1">SUM(L15:AC15)</f>
        <v>0</v>
      </c>
      <c r="L15" s="273">
        <f t="shared" ref="L15:AB15" si="2">SUM(L16:L27)</f>
        <v>0</v>
      </c>
      <c r="M15" s="273">
        <f t="shared" si="2"/>
        <v>0</v>
      </c>
      <c r="N15" s="273">
        <f t="shared" si="2"/>
        <v>0</v>
      </c>
      <c r="O15" s="273">
        <f t="shared" si="2"/>
        <v>0</v>
      </c>
      <c r="P15" s="273">
        <f t="shared" si="2"/>
        <v>0</v>
      </c>
      <c r="Q15" s="273">
        <f t="shared" si="2"/>
        <v>0</v>
      </c>
      <c r="R15" s="273">
        <f t="shared" si="2"/>
        <v>0</v>
      </c>
      <c r="S15" s="273">
        <f t="shared" si="2"/>
        <v>0</v>
      </c>
      <c r="T15" s="273">
        <f t="shared" si="2"/>
        <v>0</v>
      </c>
      <c r="U15" s="273">
        <f t="shared" si="2"/>
        <v>0</v>
      </c>
      <c r="V15" s="273">
        <f t="shared" si="2"/>
        <v>0</v>
      </c>
      <c r="W15" s="273">
        <f t="shared" si="2"/>
        <v>0</v>
      </c>
      <c r="X15" s="273">
        <f t="shared" si="2"/>
        <v>0</v>
      </c>
      <c r="Y15" s="273">
        <f t="shared" si="2"/>
        <v>0</v>
      </c>
      <c r="Z15" s="273">
        <f t="shared" si="2"/>
        <v>0</v>
      </c>
      <c r="AA15" s="273">
        <f t="shared" si="2"/>
        <v>0</v>
      </c>
      <c r="AB15" s="273">
        <f t="shared" si="2"/>
        <v>0</v>
      </c>
      <c r="AC15" s="113"/>
      <c r="AD15" s="771"/>
      <c r="AP15" s="538">
        <v>11</v>
      </c>
    </row>
    <row r="16" spans="5:42" ht="24" customHeight="1">
      <c r="F16" s="65" t="s">
        <v>1196</v>
      </c>
      <c r="G16" s="432" t="s">
        <v>1197</v>
      </c>
      <c r="H16" s="273">
        <f t="shared" si="0"/>
        <v>0</v>
      </c>
      <c r="I16" s="469"/>
      <c r="J16" s="113"/>
      <c r="K16" s="273">
        <f t="shared" si="1"/>
        <v>0</v>
      </c>
      <c r="L16" s="469"/>
      <c r="M16" s="469"/>
      <c r="N16" s="469"/>
      <c r="O16" s="469"/>
      <c r="P16" s="469"/>
      <c r="Q16" s="469"/>
      <c r="R16" s="469"/>
      <c r="S16" s="469"/>
      <c r="T16" s="469"/>
      <c r="U16" s="469"/>
      <c r="V16" s="469"/>
      <c r="W16" s="469"/>
      <c r="X16" s="469"/>
      <c r="Y16" s="469"/>
      <c r="Z16" s="469"/>
      <c r="AA16" s="469"/>
      <c r="AB16" s="469"/>
      <c r="AC16" s="113"/>
      <c r="AD16" s="771"/>
      <c r="AP16" s="538">
        <v>23</v>
      </c>
    </row>
    <row r="17" spans="6:42" ht="24" customHeight="1">
      <c r="F17" s="65" t="s">
        <v>1198</v>
      </c>
      <c r="G17" s="432" t="s">
        <v>1199</v>
      </c>
      <c r="H17" s="273">
        <f t="shared" si="0"/>
        <v>0</v>
      </c>
      <c r="I17" s="469"/>
      <c r="J17" s="113"/>
      <c r="K17" s="273">
        <f t="shared" si="1"/>
        <v>0</v>
      </c>
      <c r="L17" s="469"/>
      <c r="M17" s="469"/>
      <c r="N17" s="469"/>
      <c r="O17" s="469"/>
      <c r="P17" s="469"/>
      <c r="Q17" s="469"/>
      <c r="R17" s="469"/>
      <c r="S17" s="469"/>
      <c r="T17" s="469"/>
      <c r="U17" s="469"/>
      <c r="V17" s="469"/>
      <c r="W17" s="469"/>
      <c r="X17" s="469"/>
      <c r="Y17" s="469"/>
      <c r="Z17" s="469"/>
      <c r="AA17" s="469"/>
      <c r="AB17" s="469"/>
      <c r="AC17" s="113"/>
      <c r="AD17" s="771"/>
      <c r="AP17" s="538">
        <v>23</v>
      </c>
    </row>
    <row r="18" spans="6:42" ht="35.65" customHeight="1">
      <c r="F18" s="65" t="s">
        <v>1200</v>
      </c>
      <c r="G18" s="432" t="s">
        <v>1201</v>
      </c>
      <c r="H18" s="273">
        <f t="shared" si="0"/>
        <v>0</v>
      </c>
      <c r="I18" s="469"/>
      <c r="J18" s="113"/>
      <c r="K18" s="273">
        <f t="shared" si="1"/>
        <v>0</v>
      </c>
      <c r="L18" s="469"/>
      <c r="M18" s="469"/>
      <c r="N18" s="469"/>
      <c r="O18" s="469"/>
      <c r="P18" s="469"/>
      <c r="Q18" s="469"/>
      <c r="R18" s="469"/>
      <c r="S18" s="469"/>
      <c r="T18" s="469"/>
      <c r="U18" s="469"/>
      <c r="V18" s="469"/>
      <c r="W18" s="469"/>
      <c r="X18" s="469"/>
      <c r="Y18" s="469"/>
      <c r="Z18" s="469"/>
      <c r="AA18" s="469"/>
      <c r="AB18" s="469"/>
      <c r="AC18" s="113"/>
      <c r="AD18" s="771"/>
      <c r="AP18" s="538">
        <v>34</v>
      </c>
    </row>
    <row r="19" spans="6:42" ht="35.65" customHeight="1">
      <c r="F19" s="65" t="s">
        <v>1202</v>
      </c>
      <c r="G19" s="432" t="s">
        <v>1203</v>
      </c>
      <c r="H19" s="273">
        <f t="shared" si="0"/>
        <v>0</v>
      </c>
      <c r="I19" s="469"/>
      <c r="J19" s="113"/>
      <c r="K19" s="273">
        <f t="shared" si="1"/>
        <v>0</v>
      </c>
      <c r="L19" s="469"/>
      <c r="M19" s="469"/>
      <c r="N19" s="469"/>
      <c r="O19" s="469"/>
      <c r="P19" s="469"/>
      <c r="Q19" s="469"/>
      <c r="R19" s="469"/>
      <c r="S19" s="469"/>
      <c r="T19" s="469"/>
      <c r="U19" s="469"/>
      <c r="V19" s="469"/>
      <c r="W19" s="469"/>
      <c r="X19" s="469"/>
      <c r="Y19" s="469"/>
      <c r="Z19" s="469"/>
      <c r="AA19" s="469"/>
      <c r="AB19" s="469"/>
      <c r="AC19" s="113"/>
      <c r="AD19" s="771"/>
      <c r="AP19" s="538">
        <v>34</v>
      </c>
    </row>
    <row r="20" spans="6:42" ht="48.2" customHeight="1">
      <c r="F20" s="65" t="s">
        <v>1204</v>
      </c>
      <c r="G20" s="432" t="s">
        <v>1205</v>
      </c>
      <c r="H20" s="273">
        <f t="shared" si="0"/>
        <v>0</v>
      </c>
      <c r="I20" s="469"/>
      <c r="J20" s="113"/>
      <c r="K20" s="273">
        <f t="shared" si="1"/>
        <v>0</v>
      </c>
      <c r="L20" s="469"/>
      <c r="M20" s="469"/>
      <c r="N20" s="469"/>
      <c r="O20" s="469"/>
      <c r="P20" s="469"/>
      <c r="Q20" s="469"/>
      <c r="R20" s="469"/>
      <c r="S20" s="469"/>
      <c r="T20" s="469"/>
      <c r="U20" s="469"/>
      <c r="V20" s="469"/>
      <c r="W20" s="469"/>
      <c r="X20" s="469"/>
      <c r="Y20" s="469"/>
      <c r="Z20" s="469"/>
      <c r="AA20" s="469"/>
      <c r="AB20" s="469"/>
      <c r="AC20" s="113"/>
      <c r="AD20" s="771"/>
      <c r="AP20" s="538">
        <v>46</v>
      </c>
    </row>
    <row r="21" spans="6:42" ht="35.65" customHeight="1">
      <c r="F21" s="65" t="s">
        <v>1206</v>
      </c>
      <c r="G21" s="432" t="s">
        <v>1207</v>
      </c>
      <c r="H21" s="273">
        <f t="shared" si="0"/>
        <v>0</v>
      </c>
      <c r="I21" s="469"/>
      <c r="J21" s="113"/>
      <c r="K21" s="273">
        <f t="shared" si="1"/>
        <v>0</v>
      </c>
      <c r="L21" s="469"/>
      <c r="M21" s="469"/>
      <c r="N21" s="469"/>
      <c r="O21" s="469"/>
      <c r="P21" s="469"/>
      <c r="Q21" s="469"/>
      <c r="R21" s="469"/>
      <c r="S21" s="469"/>
      <c r="T21" s="469"/>
      <c r="U21" s="469"/>
      <c r="V21" s="469"/>
      <c r="W21" s="469"/>
      <c r="X21" s="469"/>
      <c r="Y21" s="469"/>
      <c r="Z21" s="469"/>
      <c r="AA21" s="469"/>
      <c r="AB21" s="469"/>
      <c r="AC21" s="113"/>
      <c r="AD21" s="771"/>
      <c r="AP21" s="538">
        <v>34</v>
      </c>
    </row>
    <row r="22" spans="6:42" ht="35.65" customHeight="1">
      <c r="F22" s="65" t="s">
        <v>1208</v>
      </c>
      <c r="G22" s="432" t="s">
        <v>1209</v>
      </c>
      <c r="H22" s="273">
        <f t="shared" si="0"/>
        <v>0</v>
      </c>
      <c r="I22" s="469"/>
      <c r="J22" s="113"/>
      <c r="K22" s="273">
        <f t="shared" si="1"/>
        <v>0</v>
      </c>
      <c r="L22" s="469"/>
      <c r="M22" s="469"/>
      <c r="N22" s="469"/>
      <c r="O22" s="469"/>
      <c r="P22" s="469"/>
      <c r="Q22" s="469"/>
      <c r="R22" s="469"/>
      <c r="S22" s="469"/>
      <c r="T22" s="469"/>
      <c r="U22" s="469"/>
      <c r="V22" s="469"/>
      <c r="W22" s="469"/>
      <c r="X22" s="469"/>
      <c r="Y22" s="469"/>
      <c r="Z22" s="469"/>
      <c r="AA22" s="469"/>
      <c r="AB22" s="469"/>
      <c r="AC22" s="113"/>
      <c r="AD22" s="771"/>
      <c r="AP22" s="538">
        <v>34</v>
      </c>
    </row>
    <row r="23" spans="6:42" ht="24" customHeight="1">
      <c r="F23" s="65" t="s">
        <v>1210</v>
      </c>
      <c r="G23" s="432" t="s">
        <v>1211</v>
      </c>
      <c r="H23" s="273">
        <f t="shared" si="0"/>
        <v>0</v>
      </c>
      <c r="I23" s="469"/>
      <c r="J23" s="113"/>
      <c r="K23" s="273">
        <f t="shared" si="1"/>
        <v>0</v>
      </c>
      <c r="L23" s="469"/>
      <c r="M23" s="469"/>
      <c r="N23" s="469"/>
      <c r="O23" s="469"/>
      <c r="P23" s="469"/>
      <c r="Q23" s="469"/>
      <c r="R23" s="469"/>
      <c r="S23" s="469"/>
      <c r="T23" s="469"/>
      <c r="U23" s="469"/>
      <c r="V23" s="469"/>
      <c r="W23" s="469"/>
      <c r="X23" s="469"/>
      <c r="Y23" s="469"/>
      <c r="Z23" s="469"/>
      <c r="AA23" s="469"/>
      <c r="AB23" s="469"/>
      <c r="AC23" s="113"/>
      <c r="AD23" s="771"/>
      <c r="AP23" s="538">
        <v>23</v>
      </c>
    </row>
    <row r="24" spans="6:42" ht="24" customHeight="1">
      <c r="F24" s="65" t="s">
        <v>1212</v>
      </c>
      <c r="G24" s="432" t="s">
        <v>1213</v>
      </c>
      <c r="H24" s="273">
        <f t="shared" si="0"/>
        <v>0</v>
      </c>
      <c r="I24" s="469"/>
      <c r="J24" s="113"/>
      <c r="K24" s="273">
        <f t="shared" si="1"/>
        <v>0</v>
      </c>
      <c r="L24" s="469"/>
      <c r="M24" s="469"/>
      <c r="N24" s="469"/>
      <c r="O24" s="469"/>
      <c r="P24" s="469"/>
      <c r="Q24" s="469"/>
      <c r="R24" s="469"/>
      <c r="S24" s="469"/>
      <c r="T24" s="469"/>
      <c r="U24" s="469"/>
      <c r="V24" s="469"/>
      <c r="W24" s="469"/>
      <c r="X24" s="469"/>
      <c r="Y24" s="469"/>
      <c r="Z24" s="469"/>
      <c r="AA24" s="469"/>
      <c r="AB24" s="469"/>
      <c r="AC24" s="113"/>
      <c r="AD24" s="771"/>
      <c r="AP24" s="538">
        <v>23</v>
      </c>
    </row>
    <row r="25" spans="6:42" ht="35.65" customHeight="1">
      <c r="F25" s="65" t="s">
        <v>1214</v>
      </c>
      <c r="G25" s="432" t="s">
        <v>1215</v>
      </c>
      <c r="H25" s="273">
        <f t="shared" si="0"/>
        <v>0</v>
      </c>
      <c r="I25" s="469"/>
      <c r="J25" s="113"/>
      <c r="K25" s="273">
        <f t="shared" si="1"/>
        <v>0</v>
      </c>
      <c r="L25" s="469"/>
      <c r="M25" s="469"/>
      <c r="N25" s="469"/>
      <c r="O25" s="469"/>
      <c r="P25" s="469"/>
      <c r="Q25" s="469"/>
      <c r="R25" s="469"/>
      <c r="S25" s="469"/>
      <c r="T25" s="469"/>
      <c r="U25" s="469"/>
      <c r="V25" s="469"/>
      <c r="W25" s="469"/>
      <c r="X25" s="469"/>
      <c r="Y25" s="469"/>
      <c r="Z25" s="469"/>
      <c r="AA25" s="469"/>
      <c r="AB25" s="469"/>
      <c r="AC25" s="113"/>
      <c r="AD25" s="771"/>
      <c r="AP25" s="538">
        <v>34</v>
      </c>
    </row>
    <row r="26" spans="6:42" ht="35.65" customHeight="1">
      <c r="F26" s="65" t="s">
        <v>1216</v>
      </c>
      <c r="G26" s="432" t="s">
        <v>1217</v>
      </c>
      <c r="H26" s="273">
        <f t="shared" si="0"/>
        <v>0</v>
      </c>
      <c r="I26" s="469"/>
      <c r="J26" s="113"/>
      <c r="K26" s="273">
        <f t="shared" si="1"/>
        <v>0</v>
      </c>
      <c r="L26" s="469"/>
      <c r="M26" s="469"/>
      <c r="N26" s="469"/>
      <c r="O26" s="469"/>
      <c r="P26" s="469"/>
      <c r="Q26" s="469"/>
      <c r="R26" s="469"/>
      <c r="S26" s="469"/>
      <c r="T26" s="469"/>
      <c r="U26" s="469"/>
      <c r="V26" s="469"/>
      <c r="W26" s="469"/>
      <c r="X26" s="469"/>
      <c r="Y26" s="469"/>
      <c r="Z26" s="469"/>
      <c r="AA26" s="469"/>
      <c r="AB26" s="469"/>
      <c r="AC26" s="113"/>
      <c r="AD26" s="771"/>
      <c r="AP26" s="538">
        <v>34</v>
      </c>
    </row>
    <row r="27" spans="6:42" ht="11.45" customHeight="1">
      <c r="F27" s="65" t="s">
        <v>1218</v>
      </c>
      <c r="G27" s="432" t="s">
        <v>1219</v>
      </c>
      <c r="H27" s="273">
        <f t="shared" si="0"/>
        <v>0</v>
      </c>
      <c r="I27" s="469"/>
      <c r="J27" s="113"/>
      <c r="K27" s="273">
        <f t="shared" si="1"/>
        <v>0</v>
      </c>
      <c r="L27" s="469"/>
      <c r="M27" s="469"/>
      <c r="N27" s="469"/>
      <c r="O27" s="469"/>
      <c r="P27" s="469"/>
      <c r="Q27" s="469"/>
      <c r="R27" s="469"/>
      <c r="S27" s="469"/>
      <c r="T27" s="469"/>
      <c r="U27" s="469"/>
      <c r="V27" s="469"/>
      <c r="W27" s="469"/>
      <c r="X27" s="469"/>
      <c r="Y27" s="469"/>
      <c r="Z27" s="469"/>
      <c r="AA27" s="469"/>
      <c r="AB27" s="469"/>
      <c r="AC27" s="113"/>
      <c r="AD27" s="771"/>
      <c r="AP27" s="538">
        <v>11</v>
      </c>
    </row>
    <row r="28" spans="6:42" ht="11.45" customHeight="1">
      <c r="F28" s="65">
        <v>2</v>
      </c>
      <c r="G28" s="102" t="s">
        <v>1220</v>
      </c>
      <c r="H28" s="273">
        <f t="shared" si="0"/>
        <v>0</v>
      </c>
      <c r="I28" s="273">
        <f>SUM(I29:I31)</f>
        <v>0</v>
      </c>
      <c r="J28" s="113"/>
      <c r="K28" s="273">
        <f t="shared" si="1"/>
        <v>0</v>
      </c>
      <c r="L28" s="273">
        <f t="shared" ref="L28:AB28" si="3">SUM(L29:L31)</f>
        <v>0</v>
      </c>
      <c r="M28" s="273">
        <f t="shared" si="3"/>
        <v>0</v>
      </c>
      <c r="N28" s="273">
        <f t="shared" si="3"/>
        <v>0</v>
      </c>
      <c r="O28" s="273">
        <f t="shared" si="3"/>
        <v>0</v>
      </c>
      <c r="P28" s="273">
        <f t="shared" si="3"/>
        <v>0</v>
      </c>
      <c r="Q28" s="273">
        <f t="shared" si="3"/>
        <v>0</v>
      </c>
      <c r="R28" s="273">
        <f t="shared" si="3"/>
        <v>0</v>
      </c>
      <c r="S28" s="273">
        <f t="shared" si="3"/>
        <v>0</v>
      </c>
      <c r="T28" s="273">
        <f t="shared" si="3"/>
        <v>0</v>
      </c>
      <c r="U28" s="273">
        <f t="shared" si="3"/>
        <v>0</v>
      </c>
      <c r="V28" s="273">
        <f t="shared" si="3"/>
        <v>0</v>
      </c>
      <c r="W28" s="273">
        <f t="shared" si="3"/>
        <v>0</v>
      </c>
      <c r="X28" s="273">
        <f t="shared" si="3"/>
        <v>0</v>
      </c>
      <c r="Y28" s="273">
        <f t="shared" si="3"/>
        <v>0</v>
      </c>
      <c r="Z28" s="273">
        <f t="shared" si="3"/>
        <v>0</v>
      </c>
      <c r="AA28" s="273">
        <f t="shared" si="3"/>
        <v>0</v>
      </c>
      <c r="AB28" s="273">
        <f t="shared" si="3"/>
        <v>0</v>
      </c>
      <c r="AC28" s="113"/>
      <c r="AD28" s="771"/>
      <c r="AP28" s="538">
        <v>11</v>
      </c>
    </row>
    <row r="29" spans="6:42" ht="11.45" customHeight="1">
      <c r="F29" s="65" t="s">
        <v>729</v>
      </c>
      <c r="G29" s="432" t="s">
        <v>1221</v>
      </c>
      <c r="H29" s="273">
        <f t="shared" si="0"/>
        <v>0</v>
      </c>
      <c r="I29" s="469"/>
      <c r="J29" s="113"/>
      <c r="K29" s="273">
        <f t="shared" si="1"/>
        <v>0</v>
      </c>
      <c r="L29" s="469"/>
      <c r="M29" s="469"/>
      <c r="N29" s="469"/>
      <c r="O29" s="469"/>
      <c r="P29" s="469"/>
      <c r="Q29" s="469"/>
      <c r="R29" s="469"/>
      <c r="S29" s="469"/>
      <c r="T29" s="469"/>
      <c r="U29" s="469"/>
      <c r="V29" s="469"/>
      <c r="W29" s="469"/>
      <c r="X29" s="469"/>
      <c r="Y29" s="469"/>
      <c r="Z29" s="469"/>
      <c r="AA29" s="469"/>
      <c r="AB29" s="469"/>
      <c r="AC29" s="113"/>
      <c r="AD29" s="771"/>
      <c r="AP29" s="538">
        <v>11</v>
      </c>
    </row>
    <row r="30" spans="6:42" ht="11.45" customHeight="1">
      <c r="F30" s="65" t="s">
        <v>318</v>
      </c>
      <c r="G30" s="432" t="s">
        <v>1222</v>
      </c>
      <c r="H30" s="273">
        <f t="shared" si="0"/>
        <v>0</v>
      </c>
      <c r="I30" s="469"/>
      <c r="J30" s="113"/>
      <c r="K30" s="273">
        <f t="shared" si="1"/>
        <v>0</v>
      </c>
      <c r="L30" s="469"/>
      <c r="M30" s="469"/>
      <c r="N30" s="469"/>
      <c r="O30" s="469"/>
      <c r="P30" s="469"/>
      <c r="Q30" s="469"/>
      <c r="R30" s="469"/>
      <c r="S30" s="469"/>
      <c r="T30" s="469"/>
      <c r="U30" s="469"/>
      <c r="V30" s="469"/>
      <c r="W30" s="469"/>
      <c r="X30" s="469"/>
      <c r="Y30" s="469"/>
      <c r="Z30" s="469"/>
      <c r="AA30" s="469"/>
      <c r="AB30" s="469"/>
      <c r="AC30" s="113"/>
      <c r="AD30" s="771"/>
      <c r="AP30" s="538">
        <v>11</v>
      </c>
    </row>
    <row r="31" spans="6:42" ht="11.45" customHeight="1">
      <c r="F31" s="65" t="s">
        <v>321</v>
      </c>
      <c r="G31" s="432" t="s">
        <v>1223</v>
      </c>
      <c r="H31" s="273">
        <f t="shared" si="0"/>
        <v>0</v>
      </c>
      <c r="I31" s="469"/>
      <c r="J31" s="113"/>
      <c r="K31" s="273">
        <f t="shared" si="1"/>
        <v>0</v>
      </c>
      <c r="L31" s="469"/>
      <c r="M31" s="469"/>
      <c r="N31" s="469"/>
      <c r="O31" s="469"/>
      <c r="P31" s="469"/>
      <c r="Q31" s="469"/>
      <c r="R31" s="469"/>
      <c r="S31" s="469"/>
      <c r="T31" s="469"/>
      <c r="U31" s="469"/>
      <c r="V31" s="469"/>
      <c r="W31" s="469"/>
      <c r="X31" s="469"/>
      <c r="Y31" s="469"/>
      <c r="Z31" s="469"/>
      <c r="AA31" s="469"/>
      <c r="AB31" s="469"/>
      <c r="AC31" s="113"/>
      <c r="AD31" s="771"/>
      <c r="AP31" s="538">
        <v>11</v>
      </c>
    </row>
    <row r="32" spans="6:42" ht="11.45" customHeight="1">
      <c r="F32" s="65">
        <v>3</v>
      </c>
      <c r="G32" s="102" t="s">
        <v>1224</v>
      </c>
      <c r="H32" s="273">
        <f t="shared" si="0"/>
        <v>0</v>
      </c>
      <c r="I32" s="273">
        <f>SUM(I33:I34)</f>
        <v>0</v>
      </c>
      <c r="J32" s="113"/>
      <c r="K32" s="273">
        <f t="shared" si="1"/>
        <v>0</v>
      </c>
      <c r="L32" s="273">
        <f t="shared" ref="L32:AB32" si="4">SUM(L33:L34)</f>
        <v>0</v>
      </c>
      <c r="M32" s="273">
        <f t="shared" si="4"/>
        <v>0</v>
      </c>
      <c r="N32" s="273">
        <f t="shared" si="4"/>
        <v>0</v>
      </c>
      <c r="O32" s="273">
        <f t="shared" si="4"/>
        <v>0</v>
      </c>
      <c r="P32" s="273">
        <f t="shared" si="4"/>
        <v>0</v>
      </c>
      <c r="Q32" s="273">
        <f t="shared" si="4"/>
        <v>0</v>
      </c>
      <c r="R32" s="273">
        <f t="shared" si="4"/>
        <v>0</v>
      </c>
      <c r="S32" s="273">
        <f t="shared" si="4"/>
        <v>0</v>
      </c>
      <c r="T32" s="273">
        <f t="shared" si="4"/>
        <v>0</v>
      </c>
      <c r="U32" s="273">
        <f t="shared" si="4"/>
        <v>0</v>
      </c>
      <c r="V32" s="273">
        <f t="shared" si="4"/>
        <v>0</v>
      </c>
      <c r="W32" s="273">
        <f t="shared" si="4"/>
        <v>0</v>
      </c>
      <c r="X32" s="273">
        <f t="shared" si="4"/>
        <v>0</v>
      </c>
      <c r="Y32" s="273">
        <f t="shared" si="4"/>
        <v>0</v>
      </c>
      <c r="Z32" s="273">
        <f t="shared" si="4"/>
        <v>0</v>
      </c>
      <c r="AA32" s="273">
        <f t="shared" si="4"/>
        <v>0</v>
      </c>
      <c r="AB32" s="273">
        <f t="shared" si="4"/>
        <v>0</v>
      </c>
      <c r="AC32" s="113"/>
      <c r="AD32" s="771"/>
      <c r="AP32" s="538">
        <v>11</v>
      </c>
    </row>
    <row r="33" spans="6:42" ht="48.2" customHeight="1">
      <c r="F33" s="65" t="s">
        <v>335</v>
      </c>
      <c r="G33" s="432" t="s">
        <v>1225</v>
      </c>
      <c r="H33" s="273">
        <f t="shared" si="0"/>
        <v>0</v>
      </c>
      <c r="I33" s="469"/>
      <c r="J33" s="113"/>
      <c r="K33" s="273">
        <f t="shared" si="1"/>
        <v>0</v>
      </c>
      <c r="L33" s="469"/>
      <c r="M33" s="469"/>
      <c r="N33" s="469"/>
      <c r="O33" s="469"/>
      <c r="P33" s="469"/>
      <c r="Q33" s="469"/>
      <c r="R33" s="469"/>
      <c r="S33" s="469"/>
      <c r="T33" s="469"/>
      <c r="U33" s="469"/>
      <c r="V33" s="469"/>
      <c r="W33" s="469"/>
      <c r="X33" s="469"/>
      <c r="Y33" s="469"/>
      <c r="Z33" s="469"/>
      <c r="AA33" s="469"/>
      <c r="AB33" s="469"/>
      <c r="AC33" s="113"/>
      <c r="AD33" s="771"/>
      <c r="AP33" s="538">
        <v>46</v>
      </c>
    </row>
    <row r="34" spans="6:42" ht="11.45" customHeight="1">
      <c r="F34" s="65" t="s">
        <v>343</v>
      </c>
      <c r="G34" s="432" t="s">
        <v>1226</v>
      </c>
      <c r="H34" s="273">
        <f t="shared" si="0"/>
        <v>0</v>
      </c>
      <c r="I34" s="469"/>
      <c r="J34" s="113"/>
      <c r="K34" s="273">
        <f t="shared" si="1"/>
        <v>0</v>
      </c>
      <c r="L34" s="469"/>
      <c r="M34" s="469"/>
      <c r="N34" s="469"/>
      <c r="O34" s="469"/>
      <c r="P34" s="469"/>
      <c r="Q34" s="469"/>
      <c r="R34" s="469"/>
      <c r="S34" s="469"/>
      <c r="T34" s="469"/>
      <c r="U34" s="469"/>
      <c r="V34" s="469"/>
      <c r="W34" s="469"/>
      <c r="X34" s="469"/>
      <c r="Y34" s="469"/>
      <c r="Z34" s="469"/>
      <c r="AA34" s="469"/>
      <c r="AB34" s="469"/>
      <c r="AC34" s="113"/>
      <c r="AD34" s="771"/>
      <c r="AP34" s="538">
        <v>11</v>
      </c>
    </row>
    <row r="35" spans="6:42" ht="11.45" customHeight="1">
      <c r="F35" s="65">
        <v>4</v>
      </c>
      <c r="G35" s="102" t="s">
        <v>1227</v>
      </c>
      <c r="H35" s="273">
        <f t="shared" si="0"/>
        <v>0</v>
      </c>
      <c r="I35" s="469"/>
      <c r="J35" s="113"/>
      <c r="K35" s="273">
        <f t="shared" si="1"/>
        <v>0</v>
      </c>
      <c r="L35" s="469"/>
      <c r="M35" s="469"/>
      <c r="N35" s="469"/>
      <c r="O35" s="469"/>
      <c r="P35" s="469"/>
      <c r="Q35" s="469"/>
      <c r="R35" s="469"/>
      <c r="S35" s="469"/>
      <c r="T35" s="469"/>
      <c r="U35" s="469"/>
      <c r="V35" s="469"/>
      <c r="W35" s="469"/>
      <c r="X35" s="469"/>
      <c r="Y35" s="469"/>
      <c r="Z35" s="469"/>
      <c r="AA35" s="469"/>
      <c r="AB35" s="469"/>
      <c r="AC35" s="113"/>
      <c r="AD35" s="771"/>
      <c r="AP35" s="538">
        <v>11</v>
      </c>
    </row>
    <row r="36" spans="6:42" ht="11.45" customHeight="1">
      <c r="F36" s="65"/>
      <c r="G36" s="393" t="s">
        <v>1228</v>
      </c>
      <c r="H36" s="273">
        <f t="shared" si="0"/>
        <v>0</v>
      </c>
      <c r="I36" s="273">
        <f>SUM(I15,I28,I32,I35)</f>
        <v>0</v>
      </c>
      <c r="J36" s="113"/>
      <c r="K36" s="273">
        <f t="shared" si="1"/>
        <v>0</v>
      </c>
      <c r="L36" s="273">
        <f t="shared" ref="L36:AB36" si="5">SUM(L15,L28,L32,L35)</f>
        <v>0</v>
      </c>
      <c r="M36" s="273">
        <f t="shared" si="5"/>
        <v>0</v>
      </c>
      <c r="N36" s="273">
        <f t="shared" si="5"/>
        <v>0</v>
      </c>
      <c r="O36" s="273">
        <f t="shared" si="5"/>
        <v>0</v>
      </c>
      <c r="P36" s="273">
        <f t="shared" si="5"/>
        <v>0</v>
      </c>
      <c r="Q36" s="273">
        <f t="shared" si="5"/>
        <v>0</v>
      </c>
      <c r="R36" s="273">
        <f t="shared" si="5"/>
        <v>0</v>
      </c>
      <c r="S36" s="273">
        <f t="shared" si="5"/>
        <v>0</v>
      </c>
      <c r="T36" s="273">
        <f t="shared" si="5"/>
        <v>0</v>
      </c>
      <c r="U36" s="273">
        <f t="shared" si="5"/>
        <v>0</v>
      </c>
      <c r="V36" s="273">
        <f t="shared" si="5"/>
        <v>0</v>
      </c>
      <c r="W36" s="273">
        <f t="shared" si="5"/>
        <v>0</v>
      </c>
      <c r="X36" s="273">
        <f t="shared" si="5"/>
        <v>0</v>
      </c>
      <c r="Y36" s="273">
        <f t="shared" si="5"/>
        <v>0</v>
      </c>
      <c r="Z36" s="273">
        <f t="shared" si="5"/>
        <v>0</v>
      </c>
      <c r="AA36" s="273">
        <f t="shared" si="5"/>
        <v>0</v>
      </c>
      <c r="AB36" s="273">
        <f t="shared" si="5"/>
        <v>0</v>
      </c>
      <c r="AC36" s="113"/>
      <c r="AD36" s="771"/>
      <c r="AP36" s="538">
        <v>11</v>
      </c>
    </row>
    <row r="37" spans="6:42" ht="29.25" customHeight="1">
      <c r="F37" s="113" t="s">
        <v>1229</v>
      </c>
      <c r="G37" s="1369" t="s">
        <v>1230</v>
      </c>
      <c r="H37" s="1369"/>
      <c r="I37" s="1369"/>
      <c r="J37" s="1369"/>
      <c r="K37" s="97"/>
      <c r="L37" s="97"/>
      <c r="M37" s="97"/>
      <c r="N37" s="97"/>
      <c r="O37" s="97"/>
      <c r="P37" s="97"/>
      <c r="Q37" s="97"/>
      <c r="R37" s="97"/>
      <c r="S37" s="97"/>
      <c r="T37" s="97"/>
      <c r="U37" s="97"/>
      <c r="V37" s="97"/>
      <c r="W37" s="97"/>
      <c r="X37" s="97"/>
      <c r="Y37" s="97"/>
      <c r="Z37" s="97"/>
      <c r="AA37" s="97"/>
      <c r="AB37" s="97"/>
      <c r="AC37" s="97"/>
      <c r="AD37" s="771"/>
      <c r="AP37" s="538">
        <v>28</v>
      </c>
    </row>
    <row r="38" spans="6:42" ht="24" customHeight="1">
      <c r="F38" s="65" t="s">
        <v>114</v>
      </c>
      <c r="G38" s="102" t="s">
        <v>1231</v>
      </c>
      <c r="H38" s="273">
        <f t="shared" ref="H38:H58" si="6">SUM(I38:J38)</f>
        <v>0</v>
      </c>
      <c r="I38" s="273">
        <f>SUM(I39,I44,I47)</f>
        <v>0</v>
      </c>
      <c r="J38" s="113"/>
      <c r="K38" s="273">
        <f t="shared" ref="K38:K58" si="7">SUM(L38:AC38)</f>
        <v>0</v>
      </c>
      <c r="L38" s="273">
        <f t="shared" ref="L38:AB38" si="8">SUM(L39,L44,L47)</f>
        <v>0</v>
      </c>
      <c r="M38" s="273">
        <f t="shared" si="8"/>
        <v>0</v>
      </c>
      <c r="N38" s="273">
        <f t="shared" si="8"/>
        <v>0</v>
      </c>
      <c r="O38" s="273">
        <f t="shared" si="8"/>
        <v>0</v>
      </c>
      <c r="P38" s="273">
        <f t="shared" si="8"/>
        <v>0</v>
      </c>
      <c r="Q38" s="273">
        <f t="shared" si="8"/>
        <v>0</v>
      </c>
      <c r="R38" s="273">
        <f t="shared" si="8"/>
        <v>0</v>
      </c>
      <c r="S38" s="273">
        <f t="shared" si="8"/>
        <v>0</v>
      </c>
      <c r="T38" s="273">
        <f t="shared" si="8"/>
        <v>0</v>
      </c>
      <c r="U38" s="273">
        <f t="shared" si="8"/>
        <v>0</v>
      </c>
      <c r="V38" s="273">
        <f t="shared" si="8"/>
        <v>0</v>
      </c>
      <c r="W38" s="273">
        <f t="shared" si="8"/>
        <v>0</v>
      </c>
      <c r="X38" s="273">
        <f t="shared" si="8"/>
        <v>0</v>
      </c>
      <c r="Y38" s="273">
        <f t="shared" si="8"/>
        <v>0</v>
      </c>
      <c r="Z38" s="273">
        <f t="shared" si="8"/>
        <v>0</v>
      </c>
      <c r="AA38" s="273">
        <f t="shared" si="8"/>
        <v>0</v>
      </c>
      <c r="AB38" s="273">
        <f t="shared" si="8"/>
        <v>0</v>
      </c>
      <c r="AC38" s="113"/>
      <c r="AD38" s="771"/>
      <c r="AP38" s="538">
        <v>23</v>
      </c>
    </row>
    <row r="39" spans="6:42" ht="11.45" customHeight="1">
      <c r="F39" s="65" t="s">
        <v>1196</v>
      </c>
      <c r="G39" s="432" t="s">
        <v>1195</v>
      </c>
      <c r="H39" s="273">
        <f t="shared" si="6"/>
        <v>0</v>
      </c>
      <c r="I39" s="273">
        <f>SUM(I40:I43)</f>
        <v>0</v>
      </c>
      <c r="J39" s="113"/>
      <c r="K39" s="273">
        <f t="shared" si="7"/>
        <v>0</v>
      </c>
      <c r="L39" s="273">
        <f t="shared" ref="L39:AB39" si="9">SUM(L40:L43)</f>
        <v>0</v>
      </c>
      <c r="M39" s="273">
        <f t="shared" si="9"/>
        <v>0</v>
      </c>
      <c r="N39" s="273">
        <f t="shared" si="9"/>
        <v>0</v>
      </c>
      <c r="O39" s="273">
        <f t="shared" si="9"/>
        <v>0</v>
      </c>
      <c r="P39" s="273">
        <f t="shared" si="9"/>
        <v>0</v>
      </c>
      <c r="Q39" s="273">
        <f t="shared" si="9"/>
        <v>0</v>
      </c>
      <c r="R39" s="273">
        <f t="shared" si="9"/>
        <v>0</v>
      </c>
      <c r="S39" s="273">
        <f t="shared" si="9"/>
        <v>0</v>
      </c>
      <c r="T39" s="273">
        <f t="shared" si="9"/>
        <v>0</v>
      </c>
      <c r="U39" s="273">
        <f t="shared" si="9"/>
        <v>0</v>
      </c>
      <c r="V39" s="273">
        <f t="shared" si="9"/>
        <v>0</v>
      </c>
      <c r="W39" s="273">
        <f t="shared" si="9"/>
        <v>0</v>
      </c>
      <c r="X39" s="273">
        <f t="shared" si="9"/>
        <v>0</v>
      </c>
      <c r="Y39" s="273">
        <f t="shared" si="9"/>
        <v>0</v>
      </c>
      <c r="Z39" s="273">
        <f t="shared" si="9"/>
        <v>0</v>
      </c>
      <c r="AA39" s="273">
        <f t="shared" si="9"/>
        <v>0</v>
      </c>
      <c r="AB39" s="273">
        <f t="shared" si="9"/>
        <v>0</v>
      </c>
      <c r="AC39" s="113"/>
      <c r="AD39" s="771"/>
      <c r="AP39" s="538">
        <v>11</v>
      </c>
    </row>
    <row r="40" spans="6:42" ht="24" customHeight="1">
      <c r="F40" s="65" t="s">
        <v>1232</v>
      </c>
      <c r="G40" s="470" t="s">
        <v>1233</v>
      </c>
      <c r="H40" s="273">
        <f t="shared" si="6"/>
        <v>0</v>
      </c>
      <c r="I40" s="469"/>
      <c r="J40" s="113"/>
      <c r="K40" s="273">
        <f t="shared" si="7"/>
        <v>0</v>
      </c>
      <c r="L40" s="469"/>
      <c r="M40" s="469"/>
      <c r="N40" s="469"/>
      <c r="O40" s="469"/>
      <c r="P40" s="469"/>
      <c r="Q40" s="469"/>
      <c r="R40" s="469"/>
      <c r="S40" s="469"/>
      <c r="T40" s="469"/>
      <c r="U40" s="469"/>
      <c r="V40" s="469"/>
      <c r="W40" s="469"/>
      <c r="X40" s="469"/>
      <c r="Y40" s="469"/>
      <c r="Z40" s="469"/>
      <c r="AA40" s="469"/>
      <c r="AB40" s="469"/>
      <c r="AC40" s="113"/>
      <c r="AD40" s="771"/>
      <c r="AP40" s="538">
        <v>23</v>
      </c>
    </row>
    <row r="41" spans="6:42" ht="11.45" customHeight="1">
      <c r="F41" s="65" t="s">
        <v>1234</v>
      </c>
      <c r="G41" s="470" t="s">
        <v>1235</v>
      </c>
      <c r="H41" s="273">
        <f t="shared" si="6"/>
        <v>0</v>
      </c>
      <c r="I41" s="469"/>
      <c r="J41" s="113"/>
      <c r="K41" s="273">
        <f t="shared" si="7"/>
        <v>0</v>
      </c>
      <c r="L41" s="469"/>
      <c r="M41" s="469"/>
      <c r="N41" s="469"/>
      <c r="O41" s="469"/>
      <c r="P41" s="469"/>
      <c r="Q41" s="469"/>
      <c r="R41" s="469"/>
      <c r="S41" s="469"/>
      <c r="T41" s="469"/>
      <c r="U41" s="469"/>
      <c r="V41" s="469"/>
      <c r="W41" s="469"/>
      <c r="X41" s="469"/>
      <c r="Y41" s="469"/>
      <c r="Z41" s="469"/>
      <c r="AA41" s="469"/>
      <c r="AB41" s="469"/>
      <c r="AC41" s="113"/>
      <c r="AD41" s="771"/>
      <c r="AP41" s="538">
        <v>11</v>
      </c>
    </row>
    <row r="42" spans="6:42" ht="11.45" customHeight="1">
      <c r="F42" s="65" t="s">
        <v>1236</v>
      </c>
      <c r="G42" s="470" t="s">
        <v>1237</v>
      </c>
      <c r="H42" s="273">
        <f t="shared" si="6"/>
        <v>0</v>
      </c>
      <c r="I42" s="469"/>
      <c r="J42" s="113"/>
      <c r="K42" s="273">
        <f t="shared" si="7"/>
        <v>0</v>
      </c>
      <c r="L42" s="469"/>
      <c r="M42" s="469"/>
      <c r="N42" s="469"/>
      <c r="O42" s="469"/>
      <c r="P42" s="469"/>
      <c r="Q42" s="469"/>
      <c r="R42" s="469"/>
      <c r="S42" s="469"/>
      <c r="T42" s="469"/>
      <c r="U42" s="469"/>
      <c r="V42" s="469"/>
      <c r="W42" s="469"/>
      <c r="X42" s="469"/>
      <c r="Y42" s="469"/>
      <c r="Z42" s="469"/>
      <c r="AA42" s="469"/>
      <c r="AB42" s="469"/>
      <c r="AC42" s="113"/>
      <c r="AD42" s="771"/>
      <c r="AP42" s="538">
        <v>11</v>
      </c>
    </row>
    <row r="43" spans="6:42" ht="35.65" customHeight="1">
      <c r="F43" s="65" t="s">
        <v>1238</v>
      </c>
      <c r="G43" s="470" t="s">
        <v>1239</v>
      </c>
      <c r="H43" s="273">
        <f t="shared" si="6"/>
        <v>0</v>
      </c>
      <c r="I43" s="469"/>
      <c r="J43" s="113"/>
      <c r="K43" s="273">
        <f t="shared" si="7"/>
        <v>0</v>
      </c>
      <c r="L43" s="469"/>
      <c r="M43" s="469"/>
      <c r="N43" s="469"/>
      <c r="O43" s="469"/>
      <c r="P43" s="469"/>
      <c r="Q43" s="469"/>
      <c r="R43" s="469"/>
      <c r="S43" s="469"/>
      <c r="T43" s="469"/>
      <c r="U43" s="469"/>
      <c r="V43" s="469"/>
      <c r="W43" s="469"/>
      <c r="X43" s="469"/>
      <c r="Y43" s="469"/>
      <c r="Z43" s="469"/>
      <c r="AA43" s="469"/>
      <c r="AB43" s="469"/>
      <c r="AC43" s="113"/>
      <c r="AD43" s="771"/>
      <c r="AP43" s="538">
        <v>34</v>
      </c>
    </row>
    <row r="44" spans="6:42" ht="11.45" customHeight="1">
      <c r="F44" s="65" t="s">
        <v>1198</v>
      </c>
      <c r="G44" s="432" t="s">
        <v>1224</v>
      </c>
      <c r="H44" s="273">
        <f t="shared" si="6"/>
        <v>0</v>
      </c>
      <c r="I44" s="273">
        <f>SUM(I45:I46)</f>
        <v>0</v>
      </c>
      <c r="J44" s="113"/>
      <c r="K44" s="273">
        <f t="shared" si="7"/>
        <v>0</v>
      </c>
      <c r="L44" s="273">
        <f t="shared" ref="L44:AB44" si="10">SUM(L45:L46)</f>
        <v>0</v>
      </c>
      <c r="M44" s="273">
        <f t="shared" si="10"/>
        <v>0</v>
      </c>
      <c r="N44" s="273">
        <f t="shared" si="10"/>
        <v>0</v>
      </c>
      <c r="O44" s="273">
        <f t="shared" si="10"/>
        <v>0</v>
      </c>
      <c r="P44" s="273">
        <f t="shared" si="10"/>
        <v>0</v>
      </c>
      <c r="Q44" s="273">
        <f t="shared" si="10"/>
        <v>0</v>
      </c>
      <c r="R44" s="273">
        <f t="shared" si="10"/>
        <v>0</v>
      </c>
      <c r="S44" s="273">
        <f t="shared" si="10"/>
        <v>0</v>
      </c>
      <c r="T44" s="273">
        <f t="shared" si="10"/>
        <v>0</v>
      </c>
      <c r="U44" s="273">
        <f t="shared" si="10"/>
        <v>0</v>
      </c>
      <c r="V44" s="273">
        <f t="shared" si="10"/>
        <v>0</v>
      </c>
      <c r="W44" s="273">
        <f t="shared" si="10"/>
        <v>0</v>
      </c>
      <c r="X44" s="273">
        <f t="shared" si="10"/>
        <v>0</v>
      </c>
      <c r="Y44" s="273">
        <f t="shared" si="10"/>
        <v>0</v>
      </c>
      <c r="Z44" s="273">
        <f t="shared" si="10"/>
        <v>0</v>
      </c>
      <c r="AA44" s="273">
        <f t="shared" si="10"/>
        <v>0</v>
      </c>
      <c r="AB44" s="273">
        <f t="shared" si="10"/>
        <v>0</v>
      </c>
      <c r="AC44" s="113"/>
      <c r="AD44" s="771"/>
      <c r="AP44" s="538">
        <v>11</v>
      </c>
    </row>
    <row r="45" spans="6:42" ht="48.2" customHeight="1">
      <c r="F45" s="65" t="s">
        <v>1240</v>
      </c>
      <c r="G45" s="470" t="s">
        <v>1225</v>
      </c>
      <c r="H45" s="273">
        <f t="shared" si="6"/>
        <v>0</v>
      </c>
      <c r="I45" s="469"/>
      <c r="J45" s="113"/>
      <c r="K45" s="273">
        <f t="shared" si="7"/>
        <v>0</v>
      </c>
      <c r="L45" s="469"/>
      <c r="M45" s="469"/>
      <c r="N45" s="469"/>
      <c r="O45" s="469"/>
      <c r="P45" s="469"/>
      <c r="Q45" s="469"/>
      <c r="R45" s="469"/>
      <c r="S45" s="469"/>
      <c r="T45" s="469"/>
      <c r="U45" s="469"/>
      <c r="V45" s="469"/>
      <c r="W45" s="469"/>
      <c r="X45" s="469"/>
      <c r="Y45" s="469"/>
      <c r="Z45" s="469"/>
      <c r="AA45" s="469"/>
      <c r="AB45" s="469"/>
      <c r="AC45" s="113"/>
      <c r="AD45" s="771"/>
      <c r="AP45" s="538">
        <v>46</v>
      </c>
    </row>
    <row r="46" spans="6:42" ht="11.45" customHeight="1">
      <c r="F46" s="65" t="s">
        <v>1241</v>
      </c>
      <c r="G46" s="470" t="s">
        <v>1226</v>
      </c>
      <c r="H46" s="273">
        <f t="shared" si="6"/>
        <v>0</v>
      </c>
      <c r="I46" s="469"/>
      <c r="J46" s="113"/>
      <c r="K46" s="273">
        <f t="shared" si="7"/>
        <v>0</v>
      </c>
      <c r="L46" s="469"/>
      <c r="M46" s="469"/>
      <c r="N46" s="469"/>
      <c r="O46" s="469"/>
      <c r="P46" s="469"/>
      <c r="Q46" s="469"/>
      <c r="R46" s="469"/>
      <c r="S46" s="469"/>
      <c r="T46" s="469"/>
      <c r="U46" s="469"/>
      <c r="V46" s="469"/>
      <c r="W46" s="469"/>
      <c r="X46" s="469"/>
      <c r="Y46" s="469"/>
      <c r="Z46" s="469"/>
      <c r="AA46" s="469"/>
      <c r="AB46" s="469"/>
      <c r="AC46" s="113"/>
      <c r="AD46" s="771"/>
      <c r="AP46" s="538">
        <v>11</v>
      </c>
    </row>
    <row r="47" spans="6:42" ht="11.45" customHeight="1">
      <c r="F47" s="65" t="s">
        <v>1200</v>
      </c>
      <c r="G47" s="432" t="s">
        <v>1242</v>
      </c>
      <c r="H47" s="273">
        <f t="shared" si="6"/>
        <v>0</v>
      </c>
      <c r="I47" s="469"/>
      <c r="J47" s="113"/>
      <c r="K47" s="273">
        <f t="shared" si="7"/>
        <v>0</v>
      </c>
      <c r="L47" s="469"/>
      <c r="M47" s="469"/>
      <c r="N47" s="469"/>
      <c r="O47" s="469"/>
      <c r="P47" s="469"/>
      <c r="Q47" s="469"/>
      <c r="R47" s="469"/>
      <c r="S47" s="469"/>
      <c r="T47" s="469"/>
      <c r="U47" s="469"/>
      <c r="V47" s="469"/>
      <c r="W47" s="469"/>
      <c r="X47" s="469"/>
      <c r="Y47" s="469"/>
      <c r="Z47" s="469"/>
      <c r="AA47" s="469"/>
      <c r="AB47" s="469"/>
      <c r="AC47" s="113"/>
      <c r="AD47" s="771"/>
      <c r="AP47" s="538">
        <v>11</v>
      </c>
    </row>
    <row r="48" spans="6:42" ht="24" customHeight="1">
      <c r="F48" s="65" t="s">
        <v>102</v>
      </c>
      <c r="G48" s="102" t="s">
        <v>1243</v>
      </c>
      <c r="H48" s="273">
        <f t="shared" si="6"/>
        <v>0</v>
      </c>
      <c r="I48" s="273">
        <f>SUM(I49,I54,I57)</f>
        <v>0</v>
      </c>
      <c r="J48" s="113"/>
      <c r="K48" s="273">
        <f t="shared" si="7"/>
        <v>0</v>
      </c>
      <c r="L48" s="273">
        <f t="shared" ref="L48:AB48" si="11">SUM(L49,L54,L57)</f>
        <v>0</v>
      </c>
      <c r="M48" s="273">
        <f t="shared" si="11"/>
        <v>0</v>
      </c>
      <c r="N48" s="273">
        <f t="shared" si="11"/>
        <v>0</v>
      </c>
      <c r="O48" s="273">
        <f t="shared" si="11"/>
        <v>0</v>
      </c>
      <c r="P48" s="273">
        <f t="shared" si="11"/>
        <v>0</v>
      </c>
      <c r="Q48" s="273">
        <f t="shared" si="11"/>
        <v>0</v>
      </c>
      <c r="R48" s="273">
        <f t="shared" si="11"/>
        <v>0</v>
      </c>
      <c r="S48" s="273">
        <f t="shared" si="11"/>
        <v>0</v>
      </c>
      <c r="T48" s="273">
        <f t="shared" si="11"/>
        <v>0</v>
      </c>
      <c r="U48" s="273">
        <f t="shared" si="11"/>
        <v>0</v>
      </c>
      <c r="V48" s="273">
        <f t="shared" si="11"/>
        <v>0</v>
      </c>
      <c r="W48" s="273">
        <f t="shared" si="11"/>
        <v>0</v>
      </c>
      <c r="X48" s="273">
        <f t="shared" si="11"/>
        <v>0</v>
      </c>
      <c r="Y48" s="273">
        <f t="shared" si="11"/>
        <v>0</v>
      </c>
      <c r="Z48" s="273">
        <f t="shared" si="11"/>
        <v>0</v>
      </c>
      <c r="AA48" s="273">
        <f t="shared" si="11"/>
        <v>0</v>
      </c>
      <c r="AB48" s="273">
        <f t="shared" si="11"/>
        <v>0</v>
      </c>
      <c r="AC48" s="113"/>
      <c r="AD48" s="771"/>
      <c r="AP48" s="538">
        <v>23</v>
      </c>
    </row>
    <row r="49" spans="1:42" ht="11.45" customHeight="1">
      <c r="F49" s="65" t="s">
        <v>729</v>
      </c>
      <c r="G49" s="432" t="s">
        <v>1195</v>
      </c>
      <c r="H49" s="273">
        <f t="shared" si="6"/>
        <v>0</v>
      </c>
      <c r="I49" s="273">
        <f>SUM(I50:I53)</f>
        <v>0</v>
      </c>
      <c r="J49" s="113"/>
      <c r="K49" s="273">
        <f t="shared" si="7"/>
        <v>0</v>
      </c>
      <c r="L49" s="273">
        <f t="shared" ref="L49:AB49" si="12">SUM(L50:L53)</f>
        <v>0</v>
      </c>
      <c r="M49" s="273">
        <f t="shared" si="12"/>
        <v>0</v>
      </c>
      <c r="N49" s="273">
        <f t="shared" si="12"/>
        <v>0</v>
      </c>
      <c r="O49" s="273">
        <f t="shared" si="12"/>
        <v>0</v>
      </c>
      <c r="P49" s="273">
        <f t="shared" si="12"/>
        <v>0</v>
      </c>
      <c r="Q49" s="273">
        <f t="shared" si="12"/>
        <v>0</v>
      </c>
      <c r="R49" s="273">
        <f t="shared" si="12"/>
        <v>0</v>
      </c>
      <c r="S49" s="273">
        <f t="shared" si="12"/>
        <v>0</v>
      </c>
      <c r="T49" s="273">
        <f t="shared" si="12"/>
        <v>0</v>
      </c>
      <c r="U49" s="273">
        <f t="shared" si="12"/>
        <v>0</v>
      </c>
      <c r="V49" s="273">
        <f t="shared" si="12"/>
        <v>0</v>
      </c>
      <c r="W49" s="273">
        <f t="shared" si="12"/>
        <v>0</v>
      </c>
      <c r="X49" s="273">
        <f t="shared" si="12"/>
        <v>0</v>
      </c>
      <c r="Y49" s="273">
        <f t="shared" si="12"/>
        <v>0</v>
      </c>
      <c r="Z49" s="273">
        <f t="shared" si="12"/>
        <v>0</v>
      </c>
      <c r="AA49" s="273">
        <f t="shared" si="12"/>
        <v>0</v>
      </c>
      <c r="AB49" s="273">
        <f t="shared" si="12"/>
        <v>0</v>
      </c>
      <c r="AC49" s="113"/>
      <c r="AD49" s="771"/>
      <c r="AP49" s="538">
        <v>11</v>
      </c>
    </row>
    <row r="50" spans="1:42" ht="24" customHeight="1">
      <c r="F50" s="65" t="s">
        <v>732</v>
      </c>
      <c r="G50" s="470" t="s">
        <v>1233</v>
      </c>
      <c r="H50" s="273">
        <f t="shared" si="6"/>
        <v>0</v>
      </c>
      <c r="I50" s="469"/>
      <c r="J50" s="113"/>
      <c r="K50" s="273">
        <f t="shared" si="7"/>
        <v>0</v>
      </c>
      <c r="L50" s="469"/>
      <c r="M50" s="469"/>
      <c r="N50" s="469"/>
      <c r="O50" s="469"/>
      <c r="P50" s="469"/>
      <c r="Q50" s="469"/>
      <c r="R50" s="469"/>
      <c r="S50" s="469"/>
      <c r="T50" s="469"/>
      <c r="U50" s="469"/>
      <c r="V50" s="469"/>
      <c r="W50" s="469"/>
      <c r="X50" s="469"/>
      <c r="Y50" s="469"/>
      <c r="Z50" s="469"/>
      <c r="AA50" s="469"/>
      <c r="AB50" s="469"/>
      <c r="AC50" s="113"/>
      <c r="AD50" s="771"/>
      <c r="AP50" s="538">
        <v>23</v>
      </c>
    </row>
    <row r="51" spans="1:42" ht="11.45" customHeight="1">
      <c r="F51" s="65" t="s">
        <v>735</v>
      </c>
      <c r="G51" s="470" t="s">
        <v>1235</v>
      </c>
      <c r="H51" s="273">
        <f t="shared" si="6"/>
        <v>0</v>
      </c>
      <c r="I51" s="469"/>
      <c r="J51" s="113"/>
      <c r="K51" s="273">
        <f t="shared" si="7"/>
        <v>0</v>
      </c>
      <c r="L51" s="469"/>
      <c r="M51" s="469"/>
      <c r="N51" s="469"/>
      <c r="O51" s="469"/>
      <c r="P51" s="469"/>
      <c r="Q51" s="469"/>
      <c r="R51" s="469"/>
      <c r="S51" s="469"/>
      <c r="T51" s="469"/>
      <c r="U51" s="469"/>
      <c r="V51" s="469"/>
      <c r="W51" s="469"/>
      <c r="X51" s="469"/>
      <c r="Y51" s="469"/>
      <c r="Z51" s="469"/>
      <c r="AA51" s="469"/>
      <c r="AB51" s="469"/>
      <c r="AC51" s="113"/>
      <c r="AD51" s="771"/>
      <c r="AP51" s="538">
        <v>11</v>
      </c>
    </row>
    <row r="52" spans="1:42" ht="11.45" customHeight="1">
      <c r="F52" s="65" t="s">
        <v>1244</v>
      </c>
      <c r="G52" s="470" t="s">
        <v>1237</v>
      </c>
      <c r="H52" s="273">
        <f t="shared" si="6"/>
        <v>0</v>
      </c>
      <c r="I52" s="469"/>
      <c r="J52" s="113"/>
      <c r="K52" s="273">
        <f t="shared" si="7"/>
        <v>0</v>
      </c>
      <c r="L52" s="469"/>
      <c r="M52" s="469"/>
      <c r="N52" s="469"/>
      <c r="O52" s="469"/>
      <c r="P52" s="469"/>
      <c r="Q52" s="469"/>
      <c r="R52" s="469"/>
      <c r="S52" s="469"/>
      <c r="T52" s="469"/>
      <c r="U52" s="469"/>
      <c r="V52" s="469"/>
      <c r="W52" s="469"/>
      <c r="X52" s="469"/>
      <c r="Y52" s="469"/>
      <c r="Z52" s="469"/>
      <c r="AA52" s="469"/>
      <c r="AB52" s="469"/>
      <c r="AC52" s="113"/>
      <c r="AD52" s="771"/>
      <c r="AP52" s="538">
        <v>11</v>
      </c>
    </row>
    <row r="53" spans="1:42" ht="35.65" customHeight="1">
      <c r="F53" s="65" t="s">
        <v>1245</v>
      </c>
      <c r="G53" s="470" t="s">
        <v>1239</v>
      </c>
      <c r="H53" s="273">
        <f t="shared" si="6"/>
        <v>0</v>
      </c>
      <c r="I53" s="469"/>
      <c r="J53" s="113"/>
      <c r="K53" s="273">
        <f t="shared" si="7"/>
        <v>0</v>
      </c>
      <c r="L53" s="469"/>
      <c r="M53" s="469"/>
      <c r="N53" s="469"/>
      <c r="O53" s="469"/>
      <c r="P53" s="469"/>
      <c r="Q53" s="469"/>
      <c r="R53" s="469"/>
      <c r="S53" s="469"/>
      <c r="T53" s="469"/>
      <c r="U53" s="469"/>
      <c r="V53" s="469"/>
      <c r="W53" s="469"/>
      <c r="X53" s="469"/>
      <c r="Y53" s="469"/>
      <c r="Z53" s="469"/>
      <c r="AA53" s="469"/>
      <c r="AB53" s="469"/>
      <c r="AC53" s="113"/>
      <c r="AD53" s="771"/>
      <c r="AP53" s="538">
        <v>34</v>
      </c>
    </row>
    <row r="54" spans="1:42" ht="11.45" customHeight="1">
      <c r="F54" s="65" t="s">
        <v>318</v>
      </c>
      <c r="G54" s="432" t="s">
        <v>1224</v>
      </c>
      <c r="H54" s="273">
        <f t="shared" si="6"/>
        <v>0</v>
      </c>
      <c r="I54" s="273">
        <f>SUM(I55:I56)</f>
        <v>0</v>
      </c>
      <c r="J54" s="113"/>
      <c r="K54" s="273">
        <f t="shared" si="7"/>
        <v>0</v>
      </c>
      <c r="L54" s="273">
        <f t="shared" ref="L54:AB54" si="13">SUM(L55:L56)</f>
        <v>0</v>
      </c>
      <c r="M54" s="273">
        <f t="shared" si="13"/>
        <v>0</v>
      </c>
      <c r="N54" s="273">
        <f t="shared" si="13"/>
        <v>0</v>
      </c>
      <c r="O54" s="273">
        <f t="shared" si="13"/>
        <v>0</v>
      </c>
      <c r="P54" s="273">
        <f t="shared" si="13"/>
        <v>0</v>
      </c>
      <c r="Q54" s="273">
        <f t="shared" si="13"/>
        <v>0</v>
      </c>
      <c r="R54" s="273">
        <f t="shared" si="13"/>
        <v>0</v>
      </c>
      <c r="S54" s="273">
        <f t="shared" si="13"/>
        <v>0</v>
      </c>
      <c r="T54" s="273">
        <f t="shared" si="13"/>
        <v>0</v>
      </c>
      <c r="U54" s="273">
        <f t="shared" si="13"/>
        <v>0</v>
      </c>
      <c r="V54" s="273">
        <f t="shared" si="13"/>
        <v>0</v>
      </c>
      <c r="W54" s="273">
        <f t="shared" si="13"/>
        <v>0</v>
      </c>
      <c r="X54" s="273">
        <f t="shared" si="13"/>
        <v>0</v>
      </c>
      <c r="Y54" s="273">
        <f t="shared" si="13"/>
        <v>0</v>
      </c>
      <c r="Z54" s="273">
        <f t="shared" si="13"/>
        <v>0</v>
      </c>
      <c r="AA54" s="273">
        <f t="shared" si="13"/>
        <v>0</v>
      </c>
      <c r="AB54" s="273">
        <f t="shared" si="13"/>
        <v>0</v>
      </c>
      <c r="AC54" s="113"/>
      <c r="AD54" s="771"/>
      <c r="AP54" s="538">
        <v>11</v>
      </c>
    </row>
    <row r="55" spans="1:42" ht="48.2" customHeight="1">
      <c r="F55" s="65" t="s">
        <v>739</v>
      </c>
      <c r="G55" s="470" t="s">
        <v>1225</v>
      </c>
      <c r="H55" s="273">
        <f t="shared" si="6"/>
        <v>0</v>
      </c>
      <c r="I55" s="469"/>
      <c r="J55" s="113"/>
      <c r="K55" s="273">
        <f t="shared" si="7"/>
        <v>0</v>
      </c>
      <c r="L55" s="469"/>
      <c r="M55" s="469"/>
      <c r="N55" s="469"/>
      <c r="O55" s="469"/>
      <c r="P55" s="469"/>
      <c r="Q55" s="469"/>
      <c r="R55" s="469"/>
      <c r="S55" s="469"/>
      <c r="T55" s="469"/>
      <c r="U55" s="469"/>
      <c r="V55" s="469"/>
      <c r="W55" s="469"/>
      <c r="X55" s="469"/>
      <c r="Y55" s="469"/>
      <c r="Z55" s="469"/>
      <c r="AA55" s="469"/>
      <c r="AB55" s="469"/>
      <c r="AC55" s="113"/>
      <c r="AD55" s="771"/>
      <c r="AP55" s="538">
        <v>46</v>
      </c>
    </row>
    <row r="56" spans="1:42" ht="11.45" customHeight="1">
      <c r="F56" s="65" t="s">
        <v>741</v>
      </c>
      <c r="G56" s="470" t="s">
        <v>1226</v>
      </c>
      <c r="H56" s="273">
        <f t="shared" si="6"/>
        <v>0</v>
      </c>
      <c r="I56" s="469"/>
      <c r="J56" s="113"/>
      <c r="K56" s="273">
        <f t="shared" si="7"/>
        <v>0</v>
      </c>
      <c r="L56" s="469"/>
      <c r="M56" s="469"/>
      <c r="N56" s="469"/>
      <c r="O56" s="469"/>
      <c r="P56" s="469"/>
      <c r="Q56" s="469"/>
      <c r="R56" s="469"/>
      <c r="S56" s="469"/>
      <c r="T56" s="469"/>
      <c r="U56" s="469"/>
      <c r="V56" s="469"/>
      <c r="W56" s="469"/>
      <c r="X56" s="469"/>
      <c r="Y56" s="469"/>
      <c r="Z56" s="469"/>
      <c r="AA56" s="469"/>
      <c r="AB56" s="469"/>
      <c r="AC56" s="113"/>
      <c r="AD56" s="771"/>
      <c r="AP56" s="538">
        <v>11</v>
      </c>
    </row>
    <row r="57" spans="1:42" ht="11.45" customHeight="1">
      <c r="F57" s="65" t="s">
        <v>321</v>
      </c>
      <c r="G57" s="432" t="s">
        <v>1242</v>
      </c>
      <c r="H57" s="273">
        <f t="shared" si="6"/>
        <v>0</v>
      </c>
      <c r="I57" s="469"/>
      <c r="J57" s="113"/>
      <c r="K57" s="273">
        <f t="shared" si="7"/>
        <v>0</v>
      </c>
      <c r="L57" s="469"/>
      <c r="M57" s="469"/>
      <c r="N57" s="469"/>
      <c r="O57" s="469"/>
      <c r="P57" s="469"/>
      <c r="Q57" s="469"/>
      <c r="R57" s="469"/>
      <c r="S57" s="469"/>
      <c r="T57" s="469"/>
      <c r="U57" s="469"/>
      <c r="V57" s="469"/>
      <c r="W57" s="469"/>
      <c r="X57" s="469"/>
      <c r="Y57" s="469"/>
      <c r="Z57" s="469"/>
      <c r="AA57" s="469"/>
      <c r="AB57" s="469"/>
      <c r="AC57" s="113"/>
      <c r="AD57" s="771"/>
      <c r="AP57" s="538">
        <v>11</v>
      </c>
    </row>
    <row r="58" spans="1:42" ht="11.45" customHeight="1">
      <c r="F58" s="65"/>
      <c r="G58" s="97" t="s">
        <v>1228</v>
      </c>
      <c r="H58" s="273">
        <f t="shared" si="6"/>
        <v>0</v>
      </c>
      <c r="I58" s="273">
        <f>SUM(I38,I48)</f>
        <v>0</v>
      </c>
      <c r="J58" s="113"/>
      <c r="K58" s="273">
        <f t="shared" si="7"/>
        <v>0</v>
      </c>
      <c r="L58" s="273">
        <f t="shared" ref="L58:AB58" si="14">SUM(L38,L48)</f>
        <v>0</v>
      </c>
      <c r="M58" s="273">
        <f t="shared" si="14"/>
        <v>0</v>
      </c>
      <c r="N58" s="273">
        <f t="shared" si="14"/>
        <v>0</v>
      </c>
      <c r="O58" s="273">
        <f t="shared" si="14"/>
        <v>0</v>
      </c>
      <c r="P58" s="273">
        <f t="shared" si="14"/>
        <v>0</v>
      </c>
      <c r="Q58" s="273">
        <f t="shared" si="14"/>
        <v>0</v>
      </c>
      <c r="R58" s="273">
        <f t="shared" si="14"/>
        <v>0</v>
      </c>
      <c r="S58" s="273">
        <f t="shared" si="14"/>
        <v>0</v>
      </c>
      <c r="T58" s="273">
        <f t="shared" si="14"/>
        <v>0</v>
      </c>
      <c r="U58" s="273">
        <f t="shared" si="14"/>
        <v>0</v>
      </c>
      <c r="V58" s="273">
        <f t="shared" si="14"/>
        <v>0</v>
      </c>
      <c r="W58" s="273">
        <f t="shared" si="14"/>
        <v>0</v>
      </c>
      <c r="X58" s="273">
        <f t="shared" si="14"/>
        <v>0</v>
      </c>
      <c r="Y58" s="273">
        <f t="shared" si="14"/>
        <v>0</v>
      </c>
      <c r="Z58" s="273">
        <f t="shared" si="14"/>
        <v>0</v>
      </c>
      <c r="AA58" s="273">
        <f t="shared" si="14"/>
        <v>0</v>
      </c>
      <c r="AB58" s="273">
        <f t="shared" si="14"/>
        <v>0</v>
      </c>
      <c r="AC58" s="113"/>
      <c r="AD58" s="771"/>
      <c r="AP58" s="538">
        <v>11</v>
      </c>
    </row>
    <row r="59" spans="1:42" ht="10.5" hidden="1" customHeight="1">
      <c r="A59" s="456" t="s">
        <v>81</v>
      </c>
      <c r="B59" s="456">
        <v>0</v>
      </c>
      <c r="C59" s="456">
        <v>0</v>
      </c>
      <c r="D59" s="555">
        <v>0</v>
      </c>
      <c r="E59" s="538">
        <v>3</v>
      </c>
      <c r="F59" s="538">
        <v>6</v>
      </c>
      <c r="G59" s="538">
        <v>60</v>
      </c>
      <c r="H59" s="538">
        <v>0</v>
      </c>
      <c r="I59" s="538">
        <v>0</v>
      </c>
      <c r="J59" s="538">
        <v>0</v>
      </c>
      <c r="K59" s="3">
        <v>0</v>
      </c>
      <c r="L59" s="3">
        <v>0</v>
      </c>
      <c r="M59" s="3">
        <v>0</v>
      </c>
      <c r="N59" s="3">
        <v>0</v>
      </c>
      <c r="O59" s="3">
        <v>0</v>
      </c>
      <c r="P59" s="3">
        <v>0</v>
      </c>
      <c r="Q59" s="3">
        <v>0</v>
      </c>
      <c r="R59" s="3">
        <v>0</v>
      </c>
      <c r="S59" s="3">
        <v>0</v>
      </c>
      <c r="T59" s="3">
        <v>0</v>
      </c>
      <c r="U59" s="3">
        <v>0</v>
      </c>
      <c r="V59" s="3">
        <v>0</v>
      </c>
      <c r="W59" s="3">
        <v>0</v>
      </c>
      <c r="X59" s="3">
        <v>0</v>
      </c>
      <c r="Y59" s="3">
        <v>0</v>
      </c>
      <c r="Z59" s="3">
        <v>0</v>
      </c>
      <c r="AA59" s="3">
        <v>0</v>
      </c>
      <c r="AB59" s="3">
        <v>0</v>
      </c>
      <c r="AC59" s="3">
        <v>0</v>
      </c>
      <c r="AD59" s="538">
        <v>1</v>
      </c>
      <c r="AE59" s="538">
        <v>8</v>
      </c>
      <c r="AF59" s="538">
        <v>8</v>
      </c>
      <c r="AG59" s="538">
        <v>8</v>
      </c>
      <c r="AH59" s="538">
        <v>8</v>
      </c>
      <c r="AI59" s="538">
        <v>8</v>
      </c>
      <c r="AJ59" s="538">
        <v>8</v>
      </c>
      <c r="AK59" s="538">
        <v>8</v>
      </c>
      <c r="AL59" s="538">
        <v>8</v>
      </c>
      <c r="AM59" s="538">
        <v>8</v>
      </c>
      <c r="AN59" s="538">
        <v>8</v>
      </c>
      <c r="AO59" s="538">
        <v>8</v>
      </c>
      <c r="AP59" s="538">
        <v>10</v>
      </c>
    </row>
  </sheetData>
  <sheetProtection formatColumns="0" formatRows="0" insertRows="0" deleteColumns="0" deleteRows="0" sort="0" autoFilter="0"/>
  <mergeCells count="11">
    <mergeCell ref="G14:J14"/>
    <mergeCell ref="G37:J37"/>
    <mergeCell ref="F10:F12"/>
    <mergeCell ref="H10:J10"/>
    <mergeCell ref="H11:J11"/>
    <mergeCell ref="G10:G12"/>
    <mergeCell ref="K10:AC10"/>
    <mergeCell ref="K11:AC11"/>
    <mergeCell ref="F5:J5"/>
    <mergeCell ref="F6:J6"/>
    <mergeCell ref="F9:J9"/>
  </mergeCells>
  <dataValidations count="1">
    <dataValidation type="decimal" allowBlank="1" showErrorMessage="1" errorTitle="Ошибка" error="Допускается ввод только неотрицательных чисел!" sqref="I29:I31 I33:I35 I40:I43 I45:I47 I50:I53 I55:I57 I16:I27 L16:AB16 L17:AB17 L18:AB18 L19:AB19 L20:AB20 L21:AB21 L22:AB22 L23:AB23 L24:AB24 L25:AB25 L26:AB26 L27:AB27 L29:AB29 L30:AB30 L31:AB31 L33:AB33 L34:AB34 L35:AB35 L40:AB40 L41:AB41 L42:AB42 L43:AB43 L45:AB45 L46:AB46 L47:AB47 L50:AB50 L51:AB51 L52:AB52 L53:AB53 L55:AB55 L56:AB56 L57:AB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8"/>
  <sheetViews>
    <sheetView showGridLines="0" zoomScale="90" workbookViewId="0">
      <pane xSplit="14" ySplit="17" topLeftCell="CC21" activePane="bottomRight" state="frozen"/>
      <selection pane="topRight" activeCell="O1" sqref="O1"/>
      <selection pane="bottomLeft" activeCell="A18" sqref="A18"/>
      <selection pane="bottomRight" activeCell="CK23" sqref="CK23"/>
    </sheetView>
  </sheetViews>
  <sheetFormatPr defaultColWidth="9.140625" defaultRowHeight="12" customHeight="1"/>
  <cols>
    <col min="1" max="4" width="4.7109375" style="1029" hidden="1" customWidth="1"/>
    <col min="5" max="5" width="3" style="1029" customWidth="1"/>
    <col min="6" max="6" width="6" style="1029" customWidth="1"/>
    <col min="7" max="7" width="18" style="1029" customWidth="1"/>
    <col min="8" max="8" width="27" style="1029" customWidth="1"/>
    <col min="9" max="9" width="18.28515625" style="1029" customWidth="1"/>
    <col min="10" max="14" width="0.85546875" style="1029" hidden="1" customWidth="1"/>
    <col min="15" max="28" width="21.7109375" style="1029" hidden="1" customWidth="1"/>
    <col min="29" max="71" width="0.85546875" style="1029" hidden="1" customWidth="1"/>
    <col min="72" max="79" width="21.7109375" style="1029" customWidth="1"/>
    <col min="80" max="81" width="29.140625" style="1029" customWidth="1"/>
    <col min="82" max="89" width="21.7109375" style="1029" customWidth="1"/>
    <col min="90" max="102" width="0.7109375" style="1029" customWidth="1"/>
    <col min="103" max="114" width="21.7109375" style="1029" hidden="1" customWidth="1"/>
    <col min="115" max="178" width="0.7109375" style="1029" hidden="1" customWidth="1"/>
    <col min="179" max="179" width="0.140625" style="1029" customWidth="1"/>
    <col min="180" max="184" width="8" style="1029" customWidth="1"/>
    <col min="185" max="185" width="9.140625" style="1029" hidden="1"/>
  </cols>
  <sheetData>
    <row r="1" spans="5:185" ht="12" hidden="1" customHeight="1">
      <c r="GC1" s="471" t="s">
        <v>14</v>
      </c>
    </row>
    <row r="2" spans="5:185" ht="12" hidden="1" customHeight="1">
      <c r="GC2" s="471">
        <v>0</v>
      </c>
    </row>
    <row r="3" spans="5:185" ht="12" hidden="1" customHeight="1">
      <c r="GC3" s="471">
        <v>0</v>
      </c>
    </row>
    <row r="4" spans="5:185" ht="10.5" customHeight="1">
      <c r="GC4" s="472">
        <v>10</v>
      </c>
    </row>
    <row r="5" spans="5:185" ht="27.4" customHeight="1">
      <c r="E5" s="473"/>
      <c r="F5" s="137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1121"/>
      <c r="H5" s="1121"/>
      <c r="I5" s="1121"/>
      <c r="J5" s="1121"/>
      <c r="K5" s="1121"/>
      <c r="L5" s="1121"/>
      <c r="M5" s="1121"/>
      <c r="N5" s="1121"/>
      <c r="O5" s="1121"/>
      <c r="P5" s="1121"/>
      <c r="Q5" s="1121"/>
      <c r="R5" s="1121"/>
      <c r="S5" s="1121"/>
      <c r="T5" s="1121"/>
      <c r="U5" s="1121"/>
      <c r="V5" s="1121"/>
      <c r="W5" s="1121"/>
      <c r="X5" s="1121"/>
      <c r="Y5" s="1121"/>
      <c r="Z5" s="1121"/>
      <c r="AA5" s="1121"/>
      <c r="AB5" s="1121"/>
      <c r="AC5" s="1121"/>
      <c r="AD5" s="1121"/>
      <c r="AE5" s="1121"/>
      <c r="AF5" s="1121"/>
      <c r="AG5" s="1121"/>
      <c r="AH5" s="1121"/>
      <c r="AI5" s="1121"/>
      <c r="AJ5" s="1121"/>
      <c r="AK5" s="1121"/>
      <c r="AL5" s="1121"/>
      <c r="AM5" s="1121"/>
      <c r="AN5" s="1121"/>
      <c r="AO5" s="1121"/>
      <c r="AP5" s="1121"/>
      <c r="AQ5" s="1121"/>
      <c r="AR5" s="1121"/>
      <c r="AS5" s="1121"/>
      <c r="AT5" s="1121"/>
      <c r="AU5" s="1121"/>
      <c r="AV5" s="1121"/>
      <c r="AW5" s="1121"/>
      <c r="AX5" s="1121"/>
      <c r="AY5" s="1121"/>
      <c r="AZ5" s="1121"/>
      <c r="BA5" s="1121"/>
      <c r="BB5" s="1121"/>
      <c r="BC5" s="1121"/>
      <c r="BD5" s="1121"/>
      <c r="BE5" s="1121"/>
      <c r="BF5" s="1121"/>
      <c r="BG5" s="1121"/>
      <c r="BH5" s="1121"/>
      <c r="BI5" s="1121"/>
      <c r="BJ5" s="1121"/>
      <c r="BK5" s="1121"/>
      <c r="BL5" s="1121"/>
      <c r="BM5" s="1121"/>
      <c r="BN5" s="1121"/>
      <c r="BO5" s="1121"/>
      <c r="BP5" s="1121"/>
      <c r="BQ5" s="1121"/>
      <c r="BR5" s="1121"/>
      <c r="BS5" s="1121"/>
      <c r="GC5" s="474">
        <v>26</v>
      </c>
    </row>
    <row r="6" spans="5:185" ht="18.75" customHeight="1">
      <c r="E6" s="96"/>
      <c r="F6" s="1159" t="str">
        <f>IF(org=0,"Не определено",org)</f>
        <v>АО "НИЖЕГОРОДСКИЙ ВОДОКАНАЛ"</v>
      </c>
      <c r="G6" s="1160"/>
      <c r="H6" s="1160"/>
      <c r="I6" s="1160"/>
      <c r="J6" s="1160"/>
      <c r="K6" s="1160"/>
      <c r="L6" s="1160"/>
      <c r="M6" s="1160"/>
      <c r="N6" s="1160"/>
      <c r="O6" s="1160"/>
      <c r="P6" s="1160"/>
      <c r="Q6" s="1160"/>
      <c r="R6" s="1160"/>
      <c r="S6" s="1160"/>
      <c r="T6" s="1160"/>
      <c r="U6" s="1160"/>
      <c r="V6" s="1160"/>
      <c r="W6" s="1160"/>
      <c r="X6" s="1160"/>
      <c r="Y6" s="1160"/>
      <c r="Z6" s="1160"/>
      <c r="AA6" s="1160"/>
      <c r="AB6" s="1160"/>
      <c r="AC6" s="1160"/>
      <c r="AD6" s="1160"/>
      <c r="AE6" s="1160"/>
      <c r="AF6" s="1160"/>
      <c r="AG6" s="1160"/>
      <c r="AH6" s="1160"/>
      <c r="AI6" s="1160"/>
      <c r="AJ6" s="1160"/>
      <c r="AK6" s="1160"/>
      <c r="AL6" s="1160"/>
      <c r="AM6" s="1160"/>
      <c r="AN6" s="1160"/>
      <c r="AO6" s="1160"/>
      <c r="AP6" s="1160"/>
      <c r="AQ6" s="1160"/>
      <c r="AR6" s="1160"/>
      <c r="AS6" s="1160"/>
      <c r="AT6" s="1160"/>
      <c r="AU6" s="1160"/>
      <c r="AV6" s="1160"/>
      <c r="AW6" s="1160"/>
      <c r="AX6" s="1160"/>
      <c r="AY6" s="1160"/>
      <c r="AZ6" s="1160"/>
      <c r="BA6" s="1160"/>
      <c r="BB6" s="1160"/>
      <c r="BC6" s="1160"/>
      <c r="BD6" s="1160"/>
      <c r="BE6" s="1160"/>
      <c r="BF6" s="1160"/>
      <c r="BG6" s="1160"/>
      <c r="BH6" s="1160"/>
      <c r="BI6" s="1160"/>
      <c r="BJ6" s="1160"/>
      <c r="BK6" s="1160"/>
      <c r="BL6" s="1160"/>
      <c r="BM6" s="1160"/>
      <c r="BN6" s="1160"/>
      <c r="BO6" s="1160"/>
      <c r="BP6" s="1160"/>
      <c r="BQ6" s="1160"/>
      <c r="BR6" s="1160"/>
      <c r="BS6" s="1160"/>
      <c r="GC6" s="475">
        <v>18</v>
      </c>
    </row>
    <row r="7" spans="5:185" ht="10.5" customHeight="1">
      <c r="GC7" s="476">
        <v>10</v>
      </c>
    </row>
    <row r="8" spans="5:185" ht="11.25" hidden="1" customHeight="1">
      <c r="O8" s="1391" t="s">
        <v>1246</v>
      </c>
      <c r="P8" s="1392"/>
      <c r="Q8" s="1392"/>
      <c r="R8" s="1392"/>
      <c r="S8" s="1392"/>
      <c r="T8" s="1392"/>
      <c r="U8" s="1392"/>
      <c r="V8" s="1392"/>
      <c r="W8" s="1392"/>
      <c r="X8" s="1392"/>
      <c r="Y8" s="1392"/>
      <c r="Z8" s="1392"/>
      <c r="AA8" s="1392"/>
      <c r="AB8" s="1392"/>
      <c r="AC8" s="1392"/>
      <c r="AD8" s="1392"/>
      <c r="AE8" s="1392"/>
      <c r="AF8" s="1392"/>
      <c r="AG8" s="1392"/>
      <c r="AH8" s="1392"/>
      <c r="AI8" s="1392"/>
      <c r="AJ8" s="1392"/>
      <c r="AK8" s="1392"/>
      <c r="AL8" s="1392"/>
      <c r="AM8" s="1392"/>
      <c r="AN8" s="1392"/>
      <c r="AO8" s="1392"/>
      <c r="AP8" s="1392"/>
      <c r="AQ8" s="1392"/>
      <c r="AR8" s="1392"/>
      <c r="AS8" s="1392"/>
      <c r="AT8" s="1392"/>
      <c r="AU8" s="1392"/>
      <c r="AV8" s="1392"/>
      <c r="AW8" s="1392"/>
      <c r="AX8" s="1392"/>
      <c r="AY8" s="1392"/>
      <c r="AZ8" s="1392"/>
      <c r="BA8" s="1392"/>
      <c r="BB8" s="1392"/>
      <c r="BC8" s="1392"/>
      <c r="BD8" s="1392"/>
      <c r="BE8" s="1392"/>
      <c r="BF8" s="1392"/>
      <c r="BG8" s="1392"/>
      <c r="BH8" s="1392"/>
      <c r="BI8" s="1392"/>
      <c r="BJ8" s="1392"/>
      <c r="BK8" s="1392"/>
      <c r="BL8" s="1392"/>
      <c r="BM8" s="1392"/>
      <c r="BN8" s="1392"/>
      <c r="BO8" s="1392"/>
      <c r="BP8" s="1392"/>
      <c r="BQ8" s="1392"/>
      <c r="BR8" s="1392"/>
      <c r="BS8" s="1393"/>
      <c r="BT8" s="1380"/>
      <c r="BU8" s="1381"/>
      <c r="BV8" s="1381"/>
      <c r="BW8" s="1381"/>
      <c r="BX8" s="1381"/>
      <c r="BY8" s="1381"/>
      <c r="BZ8" s="1381"/>
      <c r="CA8" s="1381"/>
      <c r="CB8" s="1381"/>
      <c r="CC8" s="1381"/>
      <c r="CD8" s="1381"/>
      <c r="CE8" s="1381"/>
      <c r="CF8" s="1381"/>
      <c r="CG8" s="1381"/>
      <c r="CH8" s="1381"/>
      <c r="CI8" s="1381"/>
      <c r="CJ8" s="1381"/>
      <c r="CK8" s="1381"/>
      <c r="CL8" s="1381"/>
      <c r="CM8" s="1381"/>
      <c r="CN8" s="1381"/>
      <c r="CO8" s="1381"/>
      <c r="CP8" s="1381"/>
      <c r="CQ8" s="1381"/>
      <c r="CR8" s="1381"/>
      <c r="CS8" s="1381"/>
      <c r="CT8" s="1381"/>
      <c r="CU8" s="1381"/>
      <c r="CV8" s="1381"/>
      <c r="CW8" s="1381"/>
      <c r="CX8" s="1382"/>
      <c r="CY8" s="1383"/>
      <c r="CZ8" s="1384"/>
      <c r="DA8" s="1384"/>
      <c r="DB8" s="1384"/>
      <c r="DC8" s="1384"/>
      <c r="DD8" s="1384"/>
      <c r="DE8" s="1384"/>
      <c r="DF8" s="1384"/>
      <c r="DG8" s="1384"/>
      <c r="DH8" s="1384"/>
      <c r="DI8" s="1384"/>
      <c r="DJ8" s="1384"/>
      <c r="DK8" s="1384"/>
      <c r="DL8" s="1384"/>
      <c r="DM8" s="1384"/>
      <c r="DN8" s="1384"/>
      <c r="DO8" s="1384"/>
      <c r="DP8" s="1384"/>
      <c r="DQ8" s="1384"/>
      <c r="DR8" s="1384"/>
      <c r="DS8" s="1384"/>
      <c r="DT8" s="1384"/>
      <c r="DU8" s="1384"/>
      <c r="DV8" s="1384"/>
      <c r="DW8" s="1384"/>
      <c r="DX8" s="1385"/>
      <c r="DY8" s="1386" t="s">
        <v>1247</v>
      </c>
      <c r="DZ8" s="1387"/>
      <c r="EA8" s="1387"/>
      <c r="EB8" s="1387"/>
      <c r="EC8" s="1387"/>
      <c r="ED8" s="1387"/>
      <c r="EE8" s="1387"/>
      <c r="EF8" s="1387"/>
      <c r="EG8" s="1387"/>
      <c r="EH8" s="1387"/>
      <c r="EI8" s="1387"/>
      <c r="EJ8" s="1387"/>
      <c r="EK8" s="1387"/>
      <c r="EL8" s="1387"/>
      <c r="EM8" s="1387"/>
      <c r="EN8" s="1387"/>
      <c r="EO8" s="1387"/>
      <c r="EP8" s="1387"/>
      <c r="EQ8" s="1387"/>
      <c r="ER8" s="1387"/>
      <c r="ES8" s="1387"/>
      <c r="ET8" s="1387"/>
      <c r="EU8" s="1387"/>
      <c r="EV8" s="1387"/>
      <c r="EW8" s="1387"/>
      <c r="EX8" s="1387"/>
      <c r="EY8" s="1387"/>
      <c r="EZ8" s="1387"/>
      <c r="FA8" s="1387"/>
      <c r="FB8" s="1387"/>
      <c r="FC8" s="1387"/>
      <c r="FD8" s="1387"/>
      <c r="FE8" s="1387"/>
      <c r="FF8" s="1387"/>
      <c r="FG8" s="1387"/>
      <c r="FH8" s="1387"/>
      <c r="FI8" s="1387"/>
      <c r="FJ8" s="1387"/>
      <c r="FK8" s="1387"/>
      <c r="FL8" s="1387"/>
      <c r="FM8" s="1387"/>
      <c r="FN8" s="1387"/>
      <c r="FO8" s="1387"/>
      <c r="FP8" s="1387"/>
      <c r="FQ8" s="1387"/>
      <c r="FR8" s="1387"/>
      <c r="FS8" s="1387"/>
      <c r="FT8" s="1387"/>
      <c r="FU8" s="1387"/>
      <c r="FV8" s="1387"/>
      <c r="FW8" s="1388"/>
      <c r="GC8" s="476">
        <v>0</v>
      </c>
    </row>
    <row r="9" spans="5:185" ht="11.25" hidden="1" customHeight="1">
      <c r="FW9" s="1389"/>
      <c r="GC9" s="476">
        <v>0</v>
      </c>
    </row>
    <row r="10" spans="5:185" ht="11.45" customHeight="1">
      <c r="F10" s="1324" t="s">
        <v>311</v>
      </c>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74"/>
      <c r="AV10" s="1374"/>
      <c r="AW10" s="1374"/>
      <c r="AX10" s="1374"/>
      <c r="AY10" s="1374"/>
      <c r="AZ10" s="1374"/>
      <c r="BA10" s="1374"/>
      <c r="BB10" s="1374"/>
      <c r="BC10" s="1374"/>
      <c r="BD10" s="1374"/>
      <c r="BE10" s="1374"/>
      <c r="BF10" s="1374"/>
      <c r="BG10" s="1374"/>
      <c r="BH10" s="1374"/>
      <c r="BI10" s="1374"/>
      <c r="BJ10" s="1374"/>
      <c r="BK10" s="1374"/>
      <c r="BL10" s="1374"/>
      <c r="BM10" s="1374"/>
      <c r="BN10" s="1374"/>
      <c r="BO10" s="1374"/>
      <c r="BP10" s="1374"/>
      <c r="BQ10" s="1374"/>
      <c r="BR10" s="1374"/>
      <c r="BS10" s="1374"/>
      <c r="BT10" s="1374"/>
      <c r="BU10" s="1374"/>
      <c r="BV10" s="1374"/>
      <c r="BW10" s="1374"/>
      <c r="BX10" s="1374"/>
      <c r="BY10" s="1374"/>
      <c r="BZ10" s="1374"/>
      <c r="CA10" s="1374"/>
      <c r="CB10" s="1374"/>
      <c r="CC10" s="1374"/>
      <c r="CD10" s="1374"/>
      <c r="CE10" s="1374"/>
      <c r="CF10" s="1374"/>
      <c r="CG10" s="1374"/>
      <c r="CH10" s="1374"/>
      <c r="CI10" s="1374"/>
      <c r="CJ10" s="1374"/>
      <c r="CK10" s="1374"/>
      <c r="CL10" s="1374"/>
      <c r="CM10" s="1374"/>
      <c r="CN10" s="1374"/>
      <c r="CO10" s="1374"/>
      <c r="CP10" s="1374"/>
      <c r="CQ10" s="1374"/>
      <c r="CR10" s="1374"/>
      <c r="CS10" s="1374"/>
      <c r="CT10" s="1374"/>
      <c r="CU10" s="1374"/>
      <c r="CV10" s="1374"/>
      <c r="CW10" s="1374"/>
      <c r="CX10" s="1374"/>
      <c r="CY10" s="1374"/>
      <c r="CZ10" s="1374"/>
      <c r="DA10" s="1374"/>
      <c r="DB10" s="1374"/>
      <c r="DC10" s="1374"/>
      <c r="DD10" s="1374"/>
      <c r="DE10" s="1374"/>
      <c r="DF10" s="1374"/>
      <c r="DG10" s="1374"/>
      <c r="DH10" s="1374"/>
      <c r="DI10" s="1374"/>
      <c r="DJ10" s="1374"/>
      <c r="DK10" s="1374"/>
      <c r="DL10" s="1374"/>
      <c r="DM10" s="1374"/>
      <c r="DN10" s="1374"/>
      <c r="DO10" s="1374"/>
      <c r="DP10" s="1374"/>
      <c r="DQ10" s="1374"/>
      <c r="DR10" s="1374"/>
      <c r="DS10" s="1374"/>
      <c r="DT10" s="1374"/>
      <c r="DU10" s="1374"/>
      <c r="DV10" s="1374"/>
      <c r="DW10" s="1374"/>
      <c r="DX10" s="1374"/>
      <c r="DY10" s="1374"/>
      <c r="DZ10" s="1374"/>
      <c r="EA10" s="1374"/>
      <c r="EB10" s="1374"/>
      <c r="EC10" s="1374"/>
      <c r="ED10" s="1374"/>
      <c r="EE10" s="1374"/>
      <c r="EF10" s="1374"/>
      <c r="EG10" s="1374"/>
      <c r="EH10" s="1374"/>
      <c r="EI10" s="1374"/>
      <c r="EJ10" s="1374"/>
      <c r="EK10" s="1374"/>
      <c r="EL10" s="1374"/>
      <c r="EM10" s="1374"/>
      <c r="EN10" s="1374"/>
      <c r="EO10" s="1374"/>
      <c r="EP10" s="1374"/>
      <c r="EQ10" s="1374"/>
      <c r="ER10" s="1374"/>
      <c r="ES10" s="1374"/>
      <c r="ET10" s="1374"/>
      <c r="EU10" s="1374"/>
      <c r="EV10" s="1374"/>
      <c r="EW10" s="1374"/>
      <c r="EX10" s="1374"/>
      <c r="EY10" s="1374"/>
      <c r="EZ10" s="1374"/>
      <c r="FA10" s="1374"/>
      <c r="FB10" s="1374"/>
      <c r="FC10" s="1374"/>
      <c r="FD10" s="1374"/>
      <c r="FE10" s="1374"/>
      <c r="FF10" s="1374"/>
      <c r="FG10" s="1374"/>
      <c r="FH10" s="1374"/>
      <c r="FI10" s="1374"/>
      <c r="FJ10" s="1374"/>
      <c r="FK10" s="1374"/>
      <c r="FL10" s="1374"/>
      <c r="FM10" s="1374"/>
      <c r="FN10" s="1374"/>
      <c r="FO10" s="1374"/>
      <c r="FP10" s="1374"/>
      <c r="FQ10" s="1374"/>
      <c r="FR10" s="1374"/>
      <c r="FS10" s="1374"/>
      <c r="FT10" s="1374"/>
      <c r="FU10" s="1374"/>
      <c r="FV10" s="1327"/>
      <c r="FW10" s="1389"/>
      <c r="GC10" s="476">
        <v>11</v>
      </c>
    </row>
    <row r="11" spans="5:185" ht="12.75" customHeight="1">
      <c r="E11" s="477"/>
      <c r="F11" s="1150" t="s">
        <v>87</v>
      </c>
      <c r="G11" s="1150" t="s">
        <v>1248</v>
      </c>
      <c r="H11" s="1150" t="s">
        <v>1249</v>
      </c>
      <c r="I11" s="1150" t="s">
        <v>1250</v>
      </c>
      <c r="J11" s="1379"/>
      <c r="K11" s="1379"/>
      <c r="L11" s="1379"/>
      <c r="M11" s="1379"/>
      <c r="N11" s="1379"/>
      <c r="O11" s="1154" t="s">
        <v>1251</v>
      </c>
      <c r="P11" s="1154"/>
      <c r="Q11" s="1154"/>
      <c r="R11" s="1154"/>
      <c r="S11" s="1154"/>
      <c r="T11" s="1154"/>
      <c r="U11" s="1154"/>
      <c r="V11" s="1154"/>
      <c r="W11" s="1154"/>
      <c r="X11" s="1154"/>
      <c r="Y11" s="1154"/>
      <c r="Z11" s="1154"/>
      <c r="AA11" s="1154"/>
      <c r="AB11" s="1154"/>
      <c r="AC11" s="1377"/>
      <c r="AD11" s="1377"/>
      <c r="AE11" s="1377"/>
      <c r="AF11" s="1377"/>
      <c r="AG11" s="1377"/>
      <c r="AH11" s="1377"/>
      <c r="AI11" s="1377"/>
      <c r="AJ11" s="1377"/>
      <c r="AK11" s="1377"/>
      <c r="AL11" s="1377"/>
      <c r="AM11" s="1377"/>
      <c r="AN11" s="1377"/>
      <c r="AO11" s="1377"/>
      <c r="AP11" s="1377"/>
      <c r="AQ11" s="1377"/>
      <c r="AR11" s="1377"/>
      <c r="AS11" s="1377"/>
      <c r="AT11" s="1377"/>
      <c r="AU11" s="1377"/>
      <c r="AV11" s="1377"/>
      <c r="AW11" s="1377"/>
      <c r="AX11" s="1377"/>
      <c r="AY11" s="1377"/>
      <c r="AZ11" s="1377"/>
      <c r="BA11" s="1377"/>
      <c r="BB11" s="1377"/>
      <c r="BC11" s="1377"/>
      <c r="BD11" s="1377"/>
      <c r="BE11" s="1377"/>
      <c r="BF11" s="1377"/>
      <c r="BG11" s="1377"/>
      <c r="BH11" s="1377"/>
      <c r="BI11" s="1377"/>
      <c r="BJ11" s="1377"/>
      <c r="BK11" s="1377"/>
      <c r="BL11" s="1377"/>
      <c r="BM11" s="1377"/>
      <c r="BN11" s="1377"/>
      <c r="BO11" s="1377"/>
      <c r="BP11" s="1377"/>
      <c r="BQ11" s="1377"/>
      <c r="BR11" s="1377"/>
      <c r="BS11" s="1394"/>
      <c r="BT11" s="1292" t="s">
        <v>1251</v>
      </c>
      <c r="BU11" s="1293"/>
      <c r="BV11" s="1293"/>
      <c r="BW11" s="1293"/>
      <c r="BX11" s="1293"/>
      <c r="BY11" s="1293"/>
      <c r="BZ11" s="1293"/>
      <c r="CA11" s="1293"/>
      <c r="CB11" s="1293"/>
      <c r="CC11" s="1293"/>
      <c r="CD11" s="1293"/>
      <c r="CE11" s="1293"/>
      <c r="CF11" s="1293"/>
      <c r="CG11" s="1293"/>
      <c r="CH11" s="1293"/>
      <c r="CI11" s="1293"/>
      <c r="CJ11" s="1293"/>
      <c r="CK11" s="1376"/>
      <c r="CL11" s="1378"/>
      <c r="CM11" s="1377"/>
      <c r="CN11" s="1377"/>
      <c r="CO11" s="1377"/>
      <c r="CP11" s="1377"/>
      <c r="CQ11" s="1377"/>
      <c r="CR11" s="1377"/>
      <c r="CS11" s="1377"/>
      <c r="CT11" s="1377"/>
      <c r="CU11" s="1377"/>
      <c r="CV11" s="1377"/>
      <c r="CW11" s="1377"/>
      <c r="CX11" s="1394"/>
      <c r="CY11" s="1292" t="s">
        <v>1251</v>
      </c>
      <c r="CZ11" s="1293"/>
      <c r="DA11" s="1293"/>
      <c r="DB11" s="1293"/>
      <c r="DC11" s="1293"/>
      <c r="DD11" s="1293"/>
      <c r="DE11" s="1293"/>
      <c r="DF11" s="1293"/>
      <c r="DG11" s="1293"/>
      <c r="DH11" s="1293"/>
      <c r="DI11" s="1293"/>
      <c r="DJ11" s="1376"/>
      <c r="DK11" s="1378"/>
      <c r="DL11" s="1377"/>
      <c r="DM11" s="1377"/>
      <c r="DN11" s="1377"/>
      <c r="DO11" s="1377"/>
      <c r="DP11" s="1377"/>
      <c r="DQ11" s="1377"/>
      <c r="DR11" s="1377"/>
      <c r="DS11" s="1377"/>
      <c r="DT11" s="1377"/>
      <c r="DU11" s="1377"/>
      <c r="DV11" s="1377"/>
      <c r="DW11" s="1377"/>
      <c r="DX11" s="1377"/>
      <c r="DY11" s="1377"/>
      <c r="DZ11" s="1377"/>
      <c r="EA11" s="1377"/>
      <c r="EB11" s="1377"/>
      <c r="EC11" s="1377"/>
      <c r="ED11" s="1377"/>
      <c r="EE11" s="1377"/>
      <c r="EF11" s="1377"/>
      <c r="EG11" s="1377"/>
      <c r="EH11" s="1377"/>
      <c r="EI11" s="1377"/>
      <c r="EJ11" s="1377"/>
      <c r="EK11" s="1377"/>
      <c r="EL11" s="1377"/>
      <c r="EM11" s="1377"/>
      <c r="EN11" s="1377"/>
      <c r="EO11" s="1377"/>
      <c r="EP11" s="1377"/>
      <c r="EQ11" s="1377"/>
      <c r="ER11" s="1377"/>
      <c r="ES11" s="1377"/>
      <c r="ET11" s="1377"/>
      <c r="EU11" s="1377"/>
      <c r="EV11" s="1377"/>
      <c r="EW11" s="1377"/>
      <c r="EX11" s="1377"/>
      <c r="EY11" s="1377"/>
      <c r="EZ11" s="1377"/>
      <c r="FA11" s="1377"/>
      <c r="FB11" s="1377"/>
      <c r="FC11" s="1377"/>
      <c r="FD11" s="1377"/>
      <c r="FE11" s="1377"/>
      <c r="FF11" s="1377"/>
      <c r="FG11" s="1377"/>
      <c r="FH11" s="1377"/>
      <c r="FI11" s="1377"/>
      <c r="FJ11" s="1377"/>
      <c r="FK11" s="1377"/>
      <c r="FL11" s="1377"/>
      <c r="FM11" s="1377"/>
      <c r="FN11" s="1377"/>
      <c r="FO11" s="1377"/>
      <c r="FP11" s="1377"/>
      <c r="FQ11" s="1377"/>
      <c r="FR11" s="1377"/>
      <c r="FS11" s="1377"/>
      <c r="FT11" s="1377"/>
      <c r="FU11" s="1377"/>
      <c r="FV11" s="1377"/>
      <c r="FW11" s="1389"/>
      <c r="GC11" s="472">
        <v>12</v>
      </c>
    </row>
    <row r="12" spans="5:185" ht="12.75" customHeight="1">
      <c r="E12" s="477"/>
      <c r="F12" s="1150"/>
      <c r="G12" s="1150"/>
      <c r="H12" s="1150"/>
      <c r="I12" s="1150"/>
      <c r="J12" s="1379"/>
      <c r="K12" s="1379"/>
      <c r="L12" s="1379"/>
      <c r="M12" s="1379"/>
      <c r="N12" s="1379"/>
      <c r="O12" s="1154" t="s">
        <v>1252</v>
      </c>
      <c r="P12" s="1154"/>
      <c r="Q12" s="1154"/>
      <c r="R12" s="1154"/>
      <c r="S12" s="1154" t="s">
        <v>1253</v>
      </c>
      <c r="T12" s="1154"/>
      <c r="U12" s="1154"/>
      <c r="V12" s="1154"/>
      <c r="W12" s="1154"/>
      <c r="X12" s="1154"/>
      <c r="Y12" s="1154"/>
      <c r="Z12" s="1154"/>
      <c r="AA12" s="1154"/>
      <c r="AB12" s="1154"/>
      <c r="AC12" s="1377"/>
      <c r="AD12" s="1377"/>
      <c r="AE12" s="1377"/>
      <c r="AF12" s="1377"/>
      <c r="AG12" s="1377"/>
      <c r="AH12" s="1377"/>
      <c r="AI12" s="1377"/>
      <c r="AJ12" s="1377"/>
      <c r="AK12" s="1377"/>
      <c r="AL12" s="1377"/>
      <c r="AM12" s="1377"/>
      <c r="AN12" s="1377"/>
      <c r="AO12" s="1377"/>
      <c r="AP12" s="1377"/>
      <c r="AQ12" s="1377"/>
      <c r="AR12" s="1377"/>
      <c r="AS12" s="1377"/>
      <c r="AT12" s="1377"/>
      <c r="AU12" s="1377"/>
      <c r="AV12" s="1377"/>
      <c r="AW12" s="1377"/>
      <c r="AX12" s="1377"/>
      <c r="AY12" s="1377"/>
      <c r="AZ12" s="1377"/>
      <c r="BA12" s="1377"/>
      <c r="BB12" s="1377"/>
      <c r="BC12" s="1377"/>
      <c r="BD12" s="1377"/>
      <c r="BE12" s="1377"/>
      <c r="BF12" s="1377"/>
      <c r="BG12" s="1377"/>
      <c r="BH12" s="1377"/>
      <c r="BI12" s="1377"/>
      <c r="BJ12" s="1377"/>
      <c r="BK12" s="1377"/>
      <c r="BL12" s="1377"/>
      <c r="BM12" s="1377"/>
      <c r="BN12" s="1377"/>
      <c r="BO12" s="1377"/>
      <c r="BP12" s="1377"/>
      <c r="BQ12" s="1377"/>
      <c r="BR12" s="1377"/>
      <c r="BS12" s="1394"/>
      <c r="BT12" s="1292" t="s">
        <v>1254</v>
      </c>
      <c r="BU12" s="1293"/>
      <c r="BV12" s="1293"/>
      <c r="BW12" s="1376"/>
      <c r="BX12" s="1292" t="s">
        <v>1255</v>
      </c>
      <c r="BY12" s="1293"/>
      <c r="BZ12" s="1293"/>
      <c r="CA12" s="1376"/>
      <c r="CB12" s="1292" t="s">
        <v>1256</v>
      </c>
      <c r="CC12" s="1376"/>
      <c r="CD12" s="1292" t="s">
        <v>1257</v>
      </c>
      <c r="CE12" s="1293"/>
      <c r="CF12" s="1293"/>
      <c r="CG12" s="1293"/>
      <c r="CH12" s="1293"/>
      <c r="CI12" s="1293"/>
      <c r="CJ12" s="1293"/>
      <c r="CK12" s="1376"/>
      <c r="CL12" s="1378"/>
      <c r="CM12" s="1377"/>
      <c r="CN12" s="1377"/>
      <c r="CO12" s="1377"/>
      <c r="CP12" s="1377"/>
      <c r="CQ12" s="1377"/>
      <c r="CR12" s="1377"/>
      <c r="CS12" s="1377"/>
      <c r="CT12" s="1377"/>
      <c r="CU12" s="1377"/>
      <c r="CV12" s="1377"/>
      <c r="CW12" s="1377"/>
      <c r="CX12" s="1394"/>
      <c r="CY12" s="1292" t="s">
        <v>1258</v>
      </c>
      <c r="CZ12" s="1293"/>
      <c r="DA12" s="1293"/>
      <c r="DB12" s="1293"/>
      <c r="DC12" s="1293"/>
      <c r="DD12" s="1376"/>
      <c r="DE12" s="1292" t="s">
        <v>1259</v>
      </c>
      <c r="DF12" s="1376"/>
      <c r="DG12" s="1292" t="s">
        <v>1257</v>
      </c>
      <c r="DH12" s="1293"/>
      <c r="DI12" s="1293"/>
      <c r="DJ12" s="1376"/>
      <c r="DK12" s="1378"/>
      <c r="DL12" s="1377"/>
      <c r="DM12" s="1377"/>
      <c r="DN12" s="1377"/>
      <c r="DO12" s="1377"/>
      <c r="DP12" s="1377"/>
      <c r="DQ12" s="1377"/>
      <c r="DR12" s="1377"/>
      <c r="DS12" s="1377"/>
      <c r="DT12" s="1377"/>
      <c r="DU12" s="1377"/>
      <c r="DV12" s="1377"/>
      <c r="DW12" s="1377"/>
      <c r="DX12" s="1377"/>
      <c r="DY12" s="1377"/>
      <c r="DZ12" s="1377"/>
      <c r="EA12" s="1377"/>
      <c r="EB12" s="1377"/>
      <c r="EC12" s="1377"/>
      <c r="ED12" s="1377"/>
      <c r="EE12" s="1377"/>
      <c r="EF12" s="1377"/>
      <c r="EG12" s="1377"/>
      <c r="EH12" s="1377"/>
      <c r="EI12" s="1377"/>
      <c r="EJ12" s="1377"/>
      <c r="EK12" s="1377"/>
      <c r="EL12" s="1377"/>
      <c r="EM12" s="1377"/>
      <c r="EN12" s="1377"/>
      <c r="EO12" s="1377"/>
      <c r="EP12" s="1377"/>
      <c r="EQ12" s="1377"/>
      <c r="ER12" s="1377"/>
      <c r="ES12" s="1377"/>
      <c r="ET12" s="1377"/>
      <c r="EU12" s="1377"/>
      <c r="EV12" s="1377"/>
      <c r="EW12" s="1377"/>
      <c r="EX12" s="1377"/>
      <c r="EY12" s="1377"/>
      <c r="EZ12" s="1377"/>
      <c r="FA12" s="1377"/>
      <c r="FB12" s="1377"/>
      <c r="FC12" s="1377"/>
      <c r="FD12" s="1377"/>
      <c r="FE12" s="1377"/>
      <c r="FF12" s="1377"/>
      <c r="FG12" s="1377"/>
      <c r="FH12" s="1377"/>
      <c r="FI12" s="1377"/>
      <c r="FJ12" s="1377"/>
      <c r="FK12" s="1377"/>
      <c r="FL12" s="1377"/>
      <c r="FM12" s="1377"/>
      <c r="FN12" s="1377"/>
      <c r="FO12" s="1377"/>
      <c r="FP12" s="1377"/>
      <c r="FQ12" s="1377"/>
      <c r="FR12" s="1377"/>
      <c r="FS12" s="1377"/>
      <c r="FT12" s="1377"/>
      <c r="FU12" s="1377"/>
      <c r="FV12" s="1377"/>
      <c r="FW12" s="1389"/>
      <c r="GC12" s="472">
        <v>12</v>
      </c>
    </row>
    <row r="13" spans="5:185" ht="37.9" customHeight="1">
      <c r="E13" s="477"/>
      <c r="F13" s="1150"/>
      <c r="G13" s="1150"/>
      <c r="H13" s="1150"/>
      <c r="I13" s="1150"/>
      <c r="J13" s="1379"/>
      <c r="K13" s="1379"/>
      <c r="L13" s="1379"/>
      <c r="M13" s="1379"/>
      <c r="N13" s="1379"/>
      <c r="O13" s="1154" t="s">
        <v>1260</v>
      </c>
      <c r="P13" s="1154"/>
      <c r="Q13" s="1154"/>
      <c r="R13" s="1154"/>
      <c r="S13" s="1246" t="s">
        <v>1261</v>
      </c>
      <c r="T13" s="1294"/>
      <c r="U13" s="1066" t="s">
        <v>1262</v>
      </c>
      <c r="V13" s="1066"/>
      <c r="W13" s="1066"/>
      <c r="X13" s="1066"/>
      <c r="Y13" s="1066" t="s">
        <v>1263</v>
      </c>
      <c r="Z13" s="1066"/>
      <c r="AA13" s="1066"/>
      <c r="AB13" s="1066"/>
      <c r="AC13" s="1377"/>
      <c r="AD13" s="1377"/>
      <c r="AE13" s="1377"/>
      <c r="AF13" s="1377"/>
      <c r="AG13" s="1377"/>
      <c r="AH13" s="1377"/>
      <c r="AI13" s="1377"/>
      <c r="AJ13" s="1377"/>
      <c r="AK13" s="1377"/>
      <c r="AL13" s="1377"/>
      <c r="AM13" s="1377"/>
      <c r="AN13" s="1377"/>
      <c r="AO13" s="1377"/>
      <c r="AP13" s="1377"/>
      <c r="AQ13" s="1377"/>
      <c r="AR13" s="1377"/>
      <c r="AS13" s="1377"/>
      <c r="AT13" s="1377"/>
      <c r="AU13" s="1377"/>
      <c r="AV13" s="1377"/>
      <c r="AW13" s="1377"/>
      <c r="AX13" s="1377"/>
      <c r="AY13" s="1377"/>
      <c r="AZ13" s="1377"/>
      <c r="BA13" s="1377"/>
      <c r="BB13" s="1377"/>
      <c r="BC13" s="1377"/>
      <c r="BD13" s="1377"/>
      <c r="BE13" s="1377"/>
      <c r="BF13" s="1377"/>
      <c r="BG13" s="1377"/>
      <c r="BH13" s="1377"/>
      <c r="BI13" s="1377"/>
      <c r="BJ13" s="1377"/>
      <c r="BK13" s="1377"/>
      <c r="BL13" s="1377"/>
      <c r="BM13" s="1377"/>
      <c r="BN13" s="1377"/>
      <c r="BO13" s="1377"/>
      <c r="BP13" s="1377"/>
      <c r="BQ13" s="1377"/>
      <c r="BR13" s="1377"/>
      <c r="BS13" s="1394"/>
      <c r="BT13" s="1246" t="s">
        <v>1264</v>
      </c>
      <c r="BU13" s="1294"/>
      <c r="BV13" s="1246" t="s">
        <v>1265</v>
      </c>
      <c r="BW13" s="1294"/>
      <c r="BX13" s="1246" t="s">
        <v>1266</v>
      </c>
      <c r="BY13" s="1294"/>
      <c r="BZ13" s="1246" t="s">
        <v>1267</v>
      </c>
      <c r="CA13" s="1294"/>
      <c r="CB13" s="1246" t="s">
        <v>1268</v>
      </c>
      <c r="CC13" s="1294"/>
      <c r="CD13" s="1246" t="s">
        <v>1269</v>
      </c>
      <c r="CE13" s="1294"/>
      <c r="CF13" s="1246" t="s">
        <v>1270</v>
      </c>
      <c r="CG13" s="1294"/>
      <c r="CH13" s="1292" t="s">
        <v>1271</v>
      </c>
      <c r="CI13" s="1293"/>
      <c r="CJ13" s="1293"/>
      <c r="CK13" s="1376"/>
      <c r="CL13" s="1378"/>
      <c r="CM13" s="1377"/>
      <c r="CN13" s="1377"/>
      <c r="CO13" s="1377"/>
      <c r="CP13" s="1377"/>
      <c r="CQ13" s="1377"/>
      <c r="CR13" s="1377"/>
      <c r="CS13" s="1377"/>
      <c r="CT13" s="1377"/>
      <c r="CU13" s="1377"/>
      <c r="CV13" s="1377"/>
      <c r="CW13" s="1377"/>
      <c r="CX13" s="1394"/>
      <c r="CY13" s="1246" t="s">
        <v>1272</v>
      </c>
      <c r="CZ13" s="1294"/>
      <c r="DA13" s="1246" t="s">
        <v>1273</v>
      </c>
      <c r="DB13" s="1294"/>
      <c r="DC13" s="1246" t="s">
        <v>1274</v>
      </c>
      <c r="DD13" s="1294"/>
      <c r="DE13" s="1246" t="s">
        <v>1275</v>
      </c>
      <c r="DF13" s="1294"/>
      <c r="DG13" s="1292" t="s">
        <v>1276</v>
      </c>
      <c r="DH13" s="1293"/>
      <c r="DI13" s="1293"/>
      <c r="DJ13" s="1376"/>
      <c r="DK13" s="1378"/>
      <c r="DL13" s="1377"/>
      <c r="DM13" s="1377"/>
      <c r="DN13" s="1377"/>
      <c r="DO13" s="1377"/>
      <c r="DP13" s="1377"/>
      <c r="DQ13" s="1377"/>
      <c r="DR13" s="1377"/>
      <c r="DS13" s="1377"/>
      <c r="DT13" s="1377"/>
      <c r="DU13" s="1377"/>
      <c r="DV13" s="1377"/>
      <c r="DW13" s="1377"/>
      <c r="DX13" s="1377"/>
      <c r="DY13" s="1377"/>
      <c r="DZ13" s="1377"/>
      <c r="EA13" s="1377"/>
      <c r="EB13" s="1377"/>
      <c r="EC13" s="1377"/>
      <c r="ED13" s="1377"/>
      <c r="EE13" s="1377"/>
      <c r="EF13" s="1377"/>
      <c r="EG13" s="1377"/>
      <c r="EH13" s="1377"/>
      <c r="EI13" s="1377"/>
      <c r="EJ13" s="1377"/>
      <c r="EK13" s="1377"/>
      <c r="EL13" s="1377"/>
      <c r="EM13" s="1377"/>
      <c r="EN13" s="1377"/>
      <c r="EO13" s="1377"/>
      <c r="EP13" s="1377"/>
      <c r="EQ13" s="1377"/>
      <c r="ER13" s="1377"/>
      <c r="ES13" s="1377"/>
      <c r="ET13" s="1377"/>
      <c r="EU13" s="1377"/>
      <c r="EV13" s="1377"/>
      <c r="EW13" s="1377"/>
      <c r="EX13" s="1377"/>
      <c r="EY13" s="1377"/>
      <c r="EZ13" s="1377"/>
      <c r="FA13" s="1377"/>
      <c r="FB13" s="1377"/>
      <c r="FC13" s="1377"/>
      <c r="FD13" s="1377"/>
      <c r="FE13" s="1377"/>
      <c r="FF13" s="1377"/>
      <c r="FG13" s="1377"/>
      <c r="FH13" s="1377"/>
      <c r="FI13" s="1377"/>
      <c r="FJ13" s="1377"/>
      <c r="FK13" s="1377"/>
      <c r="FL13" s="1377"/>
      <c r="FM13" s="1377"/>
      <c r="FN13" s="1377"/>
      <c r="FO13" s="1377"/>
      <c r="FP13" s="1377"/>
      <c r="FQ13" s="1377"/>
      <c r="FR13" s="1377"/>
      <c r="FS13" s="1377"/>
      <c r="FT13" s="1377"/>
      <c r="FU13" s="1377"/>
      <c r="FV13" s="1377"/>
      <c r="FW13" s="1389"/>
      <c r="GC13" s="472">
        <v>36</v>
      </c>
    </row>
    <row r="14" spans="5:185" ht="37.9" customHeight="1">
      <c r="E14" s="477"/>
      <c r="F14" s="1150"/>
      <c r="G14" s="1150"/>
      <c r="H14" s="1150"/>
      <c r="I14" s="1150"/>
      <c r="J14" s="1379"/>
      <c r="K14" s="1379"/>
      <c r="L14" s="1379"/>
      <c r="M14" s="1379"/>
      <c r="N14" s="1379"/>
      <c r="O14" s="1246" t="s">
        <v>1277</v>
      </c>
      <c r="P14" s="1294"/>
      <c r="Q14" s="1246" t="s">
        <v>1278</v>
      </c>
      <c r="R14" s="1294"/>
      <c r="S14" s="1247"/>
      <c r="T14" s="1158"/>
      <c r="U14" s="1246" t="s">
        <v>856</v>
      </c>
      <c r="V14" s="1294"/>
      <c r="W14" s="1246" t="s">
        <v>859</v>
      </c>
      <c r="X14" s="1294"/>
      <c r="Y14" s="1246" t="s">
        <v>856</v>
      </c>
      <c r="Z14" s="1294"/>
      <c r="AA14" s="1246" t="s">
        <v>866</v>
      </c>
      <c r="AB14" s="1294"/>
      <c r="AC14" s="1377"/>
      <c r="AD14" s="1377"/>
      <c r="AE14" s="1377"/>
      <c r="AF14" s="1377"/>
      <c r="AG14" s="1377"/>
      <c r="AH14" s="1377"/>
      <c r="AI14" s="1377"/>
      <c r="AJ14" s="1377"/>
      <c r="AK14" s="1377"/>
      <c r="AL14" s="1377"/>
      <c r="AM14" s="1377"/>
      <c r="AN14" s="1377"/>
      <c r="AO14" s="1377"/>
      <c r="AP14" s="1377"/>
      <c r="AQ14" s="1377"/>
      <c r="AR14" s="1377"/>
      <c r="AS14" s="1377"/>
      <c r="AT14" s="1377"/>
      <c r="AU14" s="1377"/>
      <c r="AV14" s="1377"/>
      <c r="AW14" s="1377"/>
      <c r="AX14" s="1377"/>
      <c r="AY14" s="1377"/>
      <c r="AZ14" s="1377"/>
      <c r="BA14" s="1377"/>
      <c r="BB14" s="1377"/>
      <c r="BC14" s="1377"/>
      <c r="BD14" s="1377"/>
      <c r="BE14" s="1377"/>
      <c r="BF14" s="1377"/>
      <c r="BG14" s="1377"/>
      <c r="BH14" s="1377"/>
      <c r="BI14" s="1377"/>
      <c r="BJ14" s="1377"/>
      <c r="BK14" s="1377"/>
      <c r="BL14" s="1377"/>
      <c r="BM14" s="1377"/>
      <c r="BN14" s="1377"/>
      <c r="BO14" s="1377"/>
      <c r="BP14" s="1377"/>
      <c r="BQ14" s="1377"/>
      <c r="BR14" s="1377"/>
      <c r="BS14" s="1394"/>
      <c r="BT14" s="1247"/>
      <c r="BU14" s="1158"/>
      <c r="BV14" s="1247"/>
      <c r="BW14" s="1158"/>
      <c r="BX14" s="1247"/>
      <c r="BY14" s="1158"/>
      <c r="BZ14" s="1247"/>
      <c r="CA14" s="1158"/>
      <c r="CB14" s="1247"/>
      <c r="CC14" s="1158"/>
      <c r="CD14" s="1247"/>
      <c r="CE14" s="1158"/>
      <c r="CF14" s="1247"/>
      <c r="CG14" s="1158"/>
      <c r="CH14" s="1246" t="s">
        <v>1279</v>
      </c>
      <c r="CI14" s="1294"/>
      <c r="CJ14" s="1246" t="s">
        <v>1280</v>
      </c>
      <c r="CK14" s="1294"/>
      <c r="CL14" s="1378"/>
      <c r="CM14" s="1377"/>
      <c r="CN14" s="1377"/>
      <c r="CO14" s="1377"/>
      <c r="CP14" s="1377"/>
      <c r="CQ14" s="1377"/>
      <c r="CR14" s="1377"/>
      <c r="CS14" s="1377"/>
      <c r="CT14" s="1377"/>
      <c r="CU14" s="1377"/>
      <c r="CV14" s="1377"/>
      <c r="CW14" s="1377"/>
      <c r="CX14" s="1394"/>
      <c r="CY14" s="1247"/>
      <c r="CZ14" s="1158"/>
      <c r="DA14" s="1247"/>
      <c r="DB14" s="1158"/>
      <c r="DC14" s="1247"/>
      <c r="DD14" s="1158"/>
      <c r="DE14" s="1247"/>
      <c r="DF14" s="1158"/>
      <c r="DG14" s="1246" t="s">
        <v>1281</v>
      </c>
      <c r="DH14" s="1294"/>
      <c r="DI14" s="1246" t="s">
        <v>1282</v>
      </c>
      <c r="DJ14" s="1294"/>
      <c r="DK14" s="1378"/>
      <c r="DL14" s="1377"/>
      <c r="DM14" s="1377"/>
      <c r="DN14" s="1377"/>
      <c r="DO14" s="1377"/>
      <c r="DP14" s="1377"/>
      <c r="DQ14" s="1377"/>
      <c r="DR14" s="1377"/>
      <c r="DS14" s="1377"/>
      <c r="DT14" s="1377"/>
      <c r="DU14" s="1377"/>
      <c r="DV14" s="1377"/>
      <c r="DW14" s="1377"/>
      <c r="DX14" s="1377"/>
      <c r="DY14" s="1377"/>
      <c r="DZ14" s="1377"/>
      <c r="EA14" s="1377"/>
      <c r="EB14" s="1377"/>
      <c r="EC14" s="1377"/>
      <c r="ED14" s="1377"/>
      <c r="EE14" s="1377"/>
      <c r="EF14" s="1377"/>
      <c r="EG14" s="1377"/>
      <c r="EH14" s="1377"/>
      <c r="EI14" s="1377"/>
      <c r="EJ14" s="1377"/>
      <c r="EK14" s="1377"/>
      <c r="EL14" s="1377"/>
      <c r="EM14" s="1377"/>
      <c r="EN14" s="1377"/>
      <c r="EO14" s="1377"/>
      <c r="EP14" s="1377"/>
      <c r="EQ14" s="1377"/>
      <c r="ER14" s="1377"/>
      <c r="ES14" s="1377"/>
      <c r="ET14" s="1377"/>
      <c r="EU14" s="1377"/>
      <c r="EV14" s="1377"/>
      <c r="EW14" s="1377"/>
      <c r="EX14" s="1377"/>
      <c r="EY14" s="1377"/>
      <c r="EZ14" s="1377"/>
      <c r="FA14" s="1377"/>
      <c r="FB14" s="1377"/>
      <c r="FC14" s="1377"/>
      <c r="FD14" s="1377"/>
      <c r="FE14" s="1377"/>
      <c r="FF14" s="1377"/>
      <c r="FG14" s="1377"/>
      <c r="FH14" s="1377"/>
      <c r="FI14" s="1377"/>
      <c r="FJ14" s="1377"/>
      <c r="FK14" s="1377"/>
      <c r="FL14" s="1377"/>
      <c r="FM14" s="1377"/>
      <c r="FN14" s="1377"/>
      <c r="FO14" s="1377"/>
      <c r="FP14" s="1377"/>
      <c r="FQ14" s="1377"/>
      <c r="FR14" s="1377"/>
      <c r="FS14" s="1377"/>
      <c r="FT14" s="1377"/>
      <c r="FU14" s="1377"/>
      <c r="FV14" s="1377"/>
      <c r="FW14" s="1389"/>
      <c r="GC14" s="472">
        <v>36</v>
      </c>
    </row>
    <row r="15" spans="5:185" ht="37.9" customHeight="1">
      <c r="E15" s="477"/>
      <c r="F15" s="1150"/>
      <c r="G15" s="1150"/>
      <c r="H15" s="1150"/>
      <c r="I15" s="1150"/>
      <c r="J15" s="1379"/>
      <c r="K15" s="1379"/>
      <c r="L15" s="1379"/>
      <c r="M15" s="1379"/>
      <c r="N15" s="1379"/>
      <c r="O15" s="1248"/>
      <c r="P15" s="1361"/>
      <c r="Q15" s="1248"/>
      <c r="R15" s="1361"/>
      <c r="S15" s="1248"/>
      <c r="T15" s="1361"/>
      <c r="U15" s="1248"/>
      <c r="V15" s="1361"/>
      <c r="W15" s="1248"/>
      <c r="X15" s="1361"/>
      <c r="Y15" s="1248"/>
      <c r="Z15" s="1361"/>
      <c r="AA15" s="1248"/>
      <c r="AB15" s="1361"/>
      <c r="AC15" s="1377"/>
      <c r="AD15" s="1377"/>
      <c r="AE15" s="1377"/>
      <c r="AF15" s="1377"/>
      <c r="AG15" s="1377"/>
      <c r="AH15" s="1377"/>
      <c r="AI15" s="1377"/>
      <c r="AJ15" s="1377"/>
      <c r="AK15" s="1377"/>
      <c r="AL15" s="1377"/>
      <c r="AM15" s="1377"/>
      <c r="AN15" s="1377"/>
      <c r="AO15" s="1377"/>
      <c r="AP15" s="1377"/>
      <c r="AQ15" s="1377"/>
      <c r="AR15" s="1377"/>
      <c r="AS15" s="1377"/>
      <c r="AT15" s="1377"/>
      <c r="AU15" s="1377"/>
      <c r="AV15" s="1377"/>
      <c r="AW15" s="1377"/>
      <c r="AX15" s="1377"/>
      <c r="AY15" s="1377"/>
      <c r="AZ15" s="1377"/>
      <c r="BA15" s="1377"/>
      <c r="BB15" s="1377"/>
      <c r="BC15" s="1377"/>
      <c r="BD15" s="1377"/>
      <c r="BE15" s="1377"/>
      <c r="BF15" s="1377"/>
      <c r="BG15" s="1377"/>
      <c r="BH15" s="1377"/>
      <c r="BI15" s="1377"/>
      <c r="BJ15" s="1377"/>
      <c r="BK15" s="1377"/>
      <c r="BL15" s="1377"/>
      <c r="BM15" s="1377"/>
      <c r="BN15" s="1377"/>
      <c r="BO15" s="1377"/>
      <c r="BP15" s="1377"/>
      <c r="BQ15" s="1377"/>
      <c r="BR15" s="1377"/>
      <c r="BS15" s="1394"/>
      <c r="BT15" s="1248"/>
      <c r="BU15" s="1361"/>
      <c r="BV15" s="1248"/>
      <c r="BW15" s="1361"/>
      <c r="BX15" s="1248"/>
      <c r="BY15" s="1361"/>
      <c r="BZ15" s="1248"/>
      <c r="CA15" s="1361"/>
      <c r="CB15" s="1248"/>
      <c r="CC15" s="1361"/>
      <c r="CD15" s="1248"/>
      <c r="CE15" s="1361"/>
      <c r="CF15" s="1248"/>
      <c r="CG15" s="1361"/>
      <c r="CH15" s="1248"/>
      <c r="CI15" s="1361"/>
      <c r="CJ15" s="1248"/>
      <c r="CK15" s="1361"/>
      <c r="CL15" s="1378"/>
      <c r="CM15" s="1377"/>
      <c r="CN15" s="1377"/>
      <c r="CO15" s="1377"/>
      <c r="CP15" s="1377"/>
      <c r="CQ15" s="1377"/>
      <c r="CR15" s="1377"/>
      <c r="CS15" s="1377"/>
      <c r="CT15" s="1377"/>
      <c r="CU15" s="1377"/>
      <c r="CV15" s="1377"/>
      <c r="CW15" s="1377"/>
      <c r="CX15" s="1394"/>
      <c r="CY15" s="1248"/>
      <c r="CZ15" s="1361"/>
      <c r="DA15" s="1248"/>
      <c r="DB15" s="1361"/>
      <c r="DC15" s="1248"/>
      <c r="DD15" s="1361"/>
      <c r="DE15" s="1248"/>
      <c r="DF15" s="1361"/>
      <c r="DG15" s="1248"/>
      <c r="DH15" s="1361"/>
      <c r="DI15" s="1248"/>
      <c r="DJ15" s="1361"/>
      <c r="DK15" s="1378"/>
      <c r="DL15" s="1377"/>
      <c r="DM15" s="1377"/>
      <c r="DN15" s="1377"/>
      <c r="DO15" s="1377"/>
      <c r="DP15" s="1377"/>
      <c r="DQ15" s="1377"/>
      <c r="DR15" s="1377"/>
      <c r="DS15" s="1377"/>
      <c r="DT15" s="1377"/>
      <c r="DU15" s="1377"/>
      <c r="DV15" s="1377"/>
      <c r="DW15" s="1377"/>
      <c r="DX15" s="1377"/>
      <c r="DY15" s="1377"/>
      <c r="DZ15" s="1377"/>
      <c r="EA15" s="1377"/>
      <c r="EB15" s="1377"/>
      <c r="EC15" s="1377"/>
      <c r="ED15" s="1377"/>
      <c r="EE15" s="1377"/>
      <c r="EF15" s="1377"/>
      <c r="EG15" s="1377"/>
      <c r="EH15" s="1377"/>
      <c r="EI15" s="1377"/>
      <c r="EJ15" s="1377"/>
      <c r="EK15" s="1377"/>
      <c r="EL15" s="1377"/>
      <c r="EM15" s="1377"/>
      <c r="EN15" s="1377"/>
      <c r="EO15" s="1377"/>
      <c r="EP15" s="1377"/>
      <c r="EQ15" s="1377"/>
      <c r="ER15" s="1377"/>
      <c r="ES15" s="1377"/>
      <c r="ET15" s="1377"/>
      <c r="EU15" s="1377"/>
      <c r="EV15" s="1377"/>
      <c r="EW15" s="1377"/>
      <c r="EX15" s="1377"/>
      <c r="EY15" s="1377"/>
      <c r="EZ15" s="1377"/>
      <c r="FA15" s="1377"/>
      <c r="FB15" s="1377"/>
      <c r="FC15" s="1377"/>
      <c r="FD15" s="1377"/>
      <c r="FE15" s="1377"/>
      <c r="FF15" s="1377"/>
      <c r="FG15" s="1377"/>
      <c r="FH15" s="1377"/>
      <c r="FI15" s="1377"/>
      <c r="FJ15" s="1377"/>
      <c r="FK15" s="1377"/>
      <c r="FL15" s="1377"/>
      <c r="FM15" s="1377"/>
      <c r="FN15" s="1377"/>
      <c r="FO15" s="1377"/>
      <c r="FP15" s="1377"/>
      <c r="FQ15" s="1377"/>
      <c r="FR15" s="1377"/>
      <c r="FS15" s="1377"/>
      <c r="FT15" s="1377"/>
      <c r="FU15" s="1377"/>
      <c r="FV15" s="1377"/>
      <c r="FW15" s="1389"/>
      <c r="GC15" s="472">
        <v>36</v>
      </c>
    </row>
    <row r="16" spans="5:185" ht="12.75" customHeight="1">
      <c r="E16" s="477"/>
      <c r="F16" s="1150"/>
      <c r="G16" s="1150"/>
      <c r="H16" s="1150"/>
      <c r="I16" s="1150"/>
      <c r="J16" s="1379"/>
      <c r="K16" s="1379"/>
      <c r="L16" s="1379"/>
      <c r="M16" s="1379"/>
      <c r="N16" s="1379"/>
      <c r="O16" s="1292" t="s">
        <v>846</v>
      </c>
      <c r="P16" s="1376"/>
      <c r="Q16" s="1292" t="s">
        <v>848</v>
      </c>
      <c r="R16" s="1376"/>
      <c r="S16" s="1292" t="s">
        <v>852</v>
      </c>
      <c r="T16" s="1376"/>
      <c r="U16" s="1292" t="s">
        <v>857</v>
      </c>
      <c r="V16" s="1376"/>
      <c r="W16" s="1292" t="s">
        <v>860</v>
      </c>
      <c r="X16" s="1376"/>
      <c r="Y16" s="1292" t="s">
        <v>864</v>
      </c>
      <c r="Z16" s="1376"/>
      <c r="AA16" s="1292" t="s">
        <v>867</v>
      </c>
      <c r="AB16" s="1376"/>
      <c r="AC16" s="1377"/>
      <c r="AD16" s="1377"/>
      <c r="AE16" s="1377"/>
      <c r="AF16" s="1377"/>
      <c r="AG16" s="1377"/>
      <c r="AH16" s="1377"/>
      <c r="AI16" s="1377"/>
      <c r="AJ16" s="1377"/>
      <c r="AK16" s="1377"/>
      <c r="AL16" s="1377"/>
      <c r="AM16" s="1377"/>
      <c r="AN16" s="1377"/>
      <c r="AO16" s="1377"/>
      <c r="AP16" s="1377"/>
      <c r="AQ16" s="1377"/>
      <c r="AR16" s="1377"/>
      <c r="AS16" s="1377"/>
      <c r="AT16" s="1377"/>
      <c r="AU16" s="1377"/>
      <c r="AV16" s="1377"/>
      <c r="AW16" s="1377"/>
      <c r="AX16" s="1377"/>
      <c r="AY16" s="1377"/>
      <c r="AZ16" s="1377"/>
      <c r="BA16" s="1377"/>
      <c r="BB16" s="1377"/>
      <c r="BC16" s="1377"/>
      <c r="BD16" s="1377"/>
      <c r="BE16" s="1377"/>
      <c r="BF16" s="1377"/>
      <c r="BG16" s="1377"/>
      <c r="BH16" s="1377"/>
      <c r="BI16" s="1377"/>
      <c r="BJ16" s="1377"/>
      <c r="BK16" s="1377"/>
      <c r="BL16" s="1377"/>
      <c r="BM16" s="1377"/>
      <c r="BN16" s="1377"/>
      <c r="BO16" s="1377"/>
      <c r="BP16" s="1377"/>
      <c r="BQ16" s="1377"/>
      <c r="BR16" s="1377"/>
      <c r="BS16" s="1394"/>
      <c r="BT16" s="1292" t="s">
        <v>569</v>
      </c>
      <c r="BU16" s="1376"/>
      <c r="BV16" s="1292" t="s">
        <v>569</v>
      </c>
      <c r="BW16" s="1376"/>
      <c r="BX16" s="1292" t="s">
        <v>569</v>
      </c>
      <c r="BY16" s="1376"/>
      <c r="BZ16" s="1292" t="s">
        <v>569</v>
      </c>
      <c r="CA16" s="1376"/>
      <c r="CB16" s="1292" t="s">
        <v>1283</v>
      </c>
      <c r="CC16" s="1376"/>
      <c r="CD16" s="1292" t="s">
        <v>569</v>
      </c>
      <c r="CE16" s="1376"/>
      <c r="CF16" s="1292" t="s">
        <v>1284</v>
      </c>
      <c r="CG16" s="1376"/>
      <c r="CH16" s="1292" t="s">
        <v>1285</v>
      </c>
      <c r="CI16" s="1376"/>
      <c r="CJ16" s="1292" t="s">
        <v>1285</v>
      </c>
      <c r="CK16" s="1376"/>
      <c r="CL16" s="1378"/>
      <c r="CM16" s="1377"/>
      <c r="CN16" s="1377"/>
      <c r="CO16" s="1377"/>
      <c r="CP16" s="1377"/>
      <c r="CQ16" s="1377"/>
      <c r="CR16" s="1377"/>
      <c r="CS16" s="1377"/>
      <c r="CT16" s="1377"/>
      <c r="CU16" s="1377"/>
      <c r="CV16" s="1377"/>
      <c r="CW16" s="1377"/>
      <c r="CX16" s="1394"/>
      <c r="CY16" s="1246" t="s">
        <v>569</v>
      </c>
      <c r="CZ16" s="1294"/>
      <c r="DA16" s="1246" t="s">
        <v>569</v>
      </c>
      <c r="DB16" s="1294"/>
      <c r="DC16" s="1246" t="s">
        <v>569</v>
      </c>
      <c r="DD16" s="1294"/>
      <c r="DE16" s="1292" t="s">
        <v>1283</v>
      </c>
      <c r="DF16" s="1376"/>
      <c r="DG16" s="1292" t="s">
        <v>1286</v>
      </c>
      <c r="DH16" s="1376"/>
      <c r="DI16" s="1292" t="s">
        <v>1286</v>
      </c>
      <c r="DJ16" s="1376"/>
      <c r="DK16" s="1378"/>
      <c r="DL16" s="1377"/>
      <c r="DM16" s="1377"/>
      <c r="DN16" s="1377"/>
      <c r="DO16" s="1377"/>
      <c r="DP16" s="1377"/>
      <c r="DQ16" s="1377"/>
      <c r="DR16" s="1377"/>
      <c r="DS16" s="1377"/>
      <c r="DT16" s="1377"/>
      <c r="DU16" s="1377"/>
      <c r="DV16" s="1377"/>
      <c r="DW16" s="1377"/>
      <c r="DX16" s="1377"/>
      <c r="DY16" s="1377"/>
      <c r="DZ16" s="1377"/>
      <c r="EA16" s="1377"/>
      <c r="EB16" s="1377"/>
      <c r="EC16" s="1377"/>
      <c r="ED16" s="1377"/>
      <c r="EE16" s="1377"/>
      <c r="EF16" s="1377"/>
      <c r="EG16" s="1377"/>
      <c r="EH16" s="1377"/>
      <c r="EI16" s="1377"/>
      <c r="EJ16" s="1377"/>
      <c r="EK16" s="1377"/>
      <c r="EL16" s="1377"/>
      <c r="EM16" s="1377"/>
      <c r="EN16" s="1377"/>
      <c r="EO16" s="1377"/>
      <c r="EP16" s="1377"/>
      <c r="EQ16" s="1377"/>
      <c r="ER16" s="1377"/>
      <c r="ES16" s="1377"/>
      <c r="ET16" s="1377"/>
      <c r="EU16" s="1377"/>
      <c r="EV16" s="1377"/>
      <c r="EW16" s="1377"/>
      <c r="EX16" s="1377"/>
      <c r="EY16" s="1377"/>
      <c r="EZ16" s="1377"/>
      <c r="FA16" s="1377"/>
      <c r="FB16" s="1377"/>
      <c r="FC16" s="1377"/>
      <c r="FD16" s="1377"/>
      <c r="FE16" s="1377"/>
      <c r="FF16" s="1377"/>
      <c r="FG16" s="1377"/>
      <c r="FH16" s="1377"/>
      <c r="FI16" s="1377"/>
      <c r="FJ16" s="1377"/>
      <c r="FK16" s="1377"/>
      <c r="FL16" s="1377"/>
      <c r="FM16" s="1377"/>
      <c r="FN16" s="1377"/>
      <c r="FO16" s="1377"/>
      <c r="FP16" s="1377"/>
      <c r="FQ16" s="1377"/>
      <c r="FR16" s="1377"/>
      <c r="FS16" s="1377"/>
      <c r="FT16" s="1377"/>
      <c r="FU16" s="1377"/>
      <c r="FV16" s="1377"/>
      <c r="FW16" s="1389"/>
      <c r="GC16" s="472">
        <v>12</v>
      </c>
    </row>
    <row r="17" spans="1:185" ht="15.75" customHeight="1">
      <c r="E17" s="477"/>
      <c r="F17" s="1150"/>
      <c r="G17" s="1150"/>
      <c r="H17" s="1150"/>
      <c r="I17" s="1150"/>
      <c r="J17" s="1379"/>
      <c r="K17" s="1379"/>
      <c r="L17" s="1379"/>
      <c r="M17" s="1379"/>
      <c r="N17" s="1379"/>
      <c r="O17" s="632" t="s">
        <v>1287</v>
      </c>
      <c r="P17" s="632" t="s">
        <v>1288</v>
      </c>
      <c r="Q17" s="632" t="s">
        <v>1287</v>
      </c>
      <c r="R17" s="632" t="s">
        <v>1288</v>
      </c>
      <c r="S17" s="632" t="s">
        <v>1287</v>
      </c>
      <c r="T17" s="632" t="s">
        <v>1288</v>
      </c>
      <c r="U17" s="632" t="s">
        <v>1287</v>
      </c>
      <c r="V17" s="632" t="s">
        <v>1288</v>
      </c>
      <c r="W17" s="632" t="s">
        <v>1287</v>
      </c>
      <c r="X17" s="632" t="s">
        <v>1288</v>
      </c>
      <c r="Y17" s="632" t="s">
        <v>1287</v>
      </c>
      <c r="Z17" s="632" t="s">
        <v>1288</v>
      </c>
      <c r="AA17" s="632" t="s">
        <v>1287</v>
      </c>
      <c r="AB17" s="632" t="s">
        <v>1288</v>
      </c>
      <c r="AC17" s="1377"/>
      <c r="AD17" s="1377"/>
      <c r="AE17" s="1377"/>
      <c r="AF17" s="1377"/>
      <c r="AG17" s="1377"/>
      <c r="AH17" s="1377"/>
      <c r="AI17" s="1377"/>
      <c r="AJ17" s="1377"/>
      <c r="AK17" s="1377"/>
      <c r="AL17" s="1377"/>
      <c r="AM17" s="1377"/>
      <c r="AN17" s="1377"/>
      <c r="AO17" s="1377"/>
      <c r="AP17" s="1377"/>
      <c r="AQ17" s="1377"/>
      <c r="AR17" s="1377"/>
      <c r="AS17" s="1377"/>
      <c r="AT17" s="1377"/>
      <c r="AU17" s="1377"/>
      <c r="AV17" s="1377"/>
      <c r="AW17" s="1377"/>
      <c r="AX17" s="1377"/>
      <c r="AY17" s="1377"/>
      <c r="AZ17" s="1377"/>
      <c r="BA17" s="1377"/>
      <c r="BB17" s="1377"/>
      <c r="BC17" s="1377"/>
      <c r="BD17" s="1377"/>
      <c r="BE17" s="1377"/>
      <c r="BF17" s="1377"/>
      <c r="BG17" s="1377"/>
      <c r="BH17" s="1377"/>
      <c r="BI17" s="1377"/>
      <c r="BJ17" s="1377"/>
      <c r="BK17" s="1377"/>
      <c r="BL17" s="1377"/>
      <c r="BM17" s="1377"/>
      <c r="BN17" s="1377"/>
      <c r="BO17" s="1377"/>
      <c r="BP17" s="1377"/>
      <c r="BQ17" s="1377"/>
      <c r="BR17" s="1377"/>
      <c r="BS17" s="1394"/>
      <c r="BT17" s="632" t="s">
        <v>1287</v>
      </c>
      <c r="BU17" s="632" t="s">
        <v>1288</v>
      </c>
      <c r="BV17" s="632" t="s">
        <v>1287</v>
      </c>
      <c r="BW17" s="632" t="s">
        <v>1288</v>
      </c>
      <c r="BX17" s="632" t="s">
        <v>1287</v>
      </c>
      <c r="BY17" s="632" t="s">
        <v>1288</v>
      </c>
      <c r="BZ17" s="632" t="s">
        <v>1287</v>
      </c>
      <c r="CA17" s="632" t="s">
        <v>1288</v>
      </c>
      <c r="CB17" s="632" t="s">
        <v>1287</v>
      </c>
      <c r="CC17" s="632" t="s">
        <v>1288</v>
      </c>
      <c r="CD17" s="632" t="s">
        <v>1287</v>
      </c>
      <c r="CE17" s="632" t="s">
        <v>1288</v>
      </c>
      <c r="CF17" s="632" t="s">
        <v>1287</v>
      </c>
      <c r="CG17" s="632" t="s">
        <v>1288</v>
      </c>
      <c r="CH17" s="632" t="s">
        <v>1287</v>
      </c>
      <c r="CI17" s="632" t="s">
        <v>1288</v>
      </c>
      <c r="CJ17" s="632" t="s">
        <v>1287</v>
      </c>
      <c r="CK17" s="632" t="s">
        <v>1288</v>
      </c>
      <c r="CL17" s="1378"/>
      <c r="CM17" s="1377"/>
      <c r="CN17" s="1377"/>
      <c r="CO17" s="1377"/>
      <c r="CP17" s="1377"/>
      <c r="CQ17" s="1377"/>
      <c r="CR17" s="1377"/>
      <c r="CS17" s="1377"/>
      <c r="CT17" s="1377"/>
      <c r="CU17" s="1377"/>
      <c r="CV17" s="1377"/>
      <c r="CW17" s="1377"/>
      <c r="CX17" s="1394"/>
      <c r="CY17" s="632" t="s">
        <v>1287</v>
      </c>
      <c r="CZ17" s="632" t="s">
        <v>1288</v>
      </c>
      <c r="DA17" s="632" t="s">
        <v>1287</v>
      </c>
      <c r="DB17" s="632" t="s">
        <v>1288</v>
      </c>
      <c r="DC17" s="632" t="s">
        <v>1287</v>
      </c>
      <c r="DD17" s="632" t="s">
        <v>1288</v>
      </c>
      <c r="DE17" s="632" t="s">
        <v>1287</v>
      </c>
      <c r="DF17" s="632" t="s">
        <v>1288</v>
      </c>
      <c r="DG17" s="632" t="s">
        <v>1287</v>
      </c>
      <c r="DH17" s="632" t="s">
        <v>1288</v>
      </c>
      <c r="DI17" s="632" t="s">
        <v>1287</v>
      </c>
      <c r="DJ17" s="632" t="s">
        <v>1288</v>
      </c>
      <c r="DK17" s="1378"/>
      <c r="DL17" s="1377"/>
      <c r="DM17" s="1377"/>
      <c r="DN17" s="1377"/>
      <c r="DO17" s="1377"/>
      <c r="DP17" s="1377"/>
      <c r="DQ17" s="1377"/>
      <c r="DR17" s="1377"/>
      <c r="DS17" s="1377"/>
      <c r="DT17" s="1377"/>
      <c r="DU17" s="1377"/>
      <c r="DV17" s="1377"/>
      <c r="DW17" s="1377"/>
      <c r="DX17" s="1377"/>
      <c r="DY17" s="1377"/>
      <c r="DZ17" s="1377"/>
      <c r="EA17" s="1377"/>
      <c r="EB17" s="1377"/>
      <c r="EC17" s="1377"/>
      <c r="ED17" s="1377"/>
      <c r="EE17" s="1377"/>
      <c r="EF17" s="1377"/>
      <c r="EG17" s="1377"/>
      <c r="EH17" s="1377"/>
      <c r="EI17" s="1377"/>
      <c r="EJ17" s="1377"/>
      <c r="EK17" s="1377"/>
      <c r="EL17" s="1377"/>
      <c r="EM17" s="1377"/>
      <c r="EN17" s="1377"/>
      <c r="EO17" s="1377"/>
      <c r="EP17" s="1377"/>
      <c r="EQ17" s="1377"/>
      <c r="ER17" s="1377"/>
      <c r="ES17" s="1377"/>
      <c r="ET17" s="1377"/>
      <c r="EU17" s="1377"/>
      <c r="EV17" s="1377"/>
      <c r="EW17" s="1377"/>
      <c r="EX17" s="1377"/>
      <c r="EY17" s="1377"/>
      <c r="EZ17" s="1377"/>
      <c r="FA17" s="1377"/>
      <c r="FB17" s="1377"/>
      <c r="FC17" s="1377"/>
      <c r="FD17" s="1377"/>
      <c r="FE17" s="1377"/>
      <c r="FF17" s="1377"/>
      <c r="FG17" s="1377"/>
      <c r="FH17" s="1377"/>
      <c r="FI17" s="1377"/>
      <c r="FJ17" s="1377"/>
      <c r="FK17" s="1377"/>
      <c r="FL17" s="1377"/>
      <c r="FM17" s="1377"/>
      <c r="FN17" s="1377"/>
      <c r="FO17" s="1377"/>
      <c r="FP17" s="1377"/>
      <c r="FQ17" s="1377"/>
      <c r="FR17" s="1377"/>
      <c r="FS17" s="1377"/>
      <c r="FT17" s="1377"/>
      <c r="FU17" s="1377"/>
      <c r="FV17" s="1377"/>
      <c r="FW17" s="1390"/>
      <c r="GC17" s="472">
        <v>15</v>
      </c>
    </row>
    <row r="18" spans="1:185" ht="12" hidden="1" customHeight="1">
      <c r="E18" s="247"/>
      <c r="F18" s="478"/>
      <c r="G18" s="478"/>
      <c r="H18" s="478"/>
      <c r="I18" s="478"/>
      <c r="J18" s="479"/>
      <c r="K18" s="479"/>
      <c r="L18" s="479"/>
      <c r="M18" s="479"/>
      <c r="N18" s="479"/>
      <c r="O18" s="478"/>
      <c r="P18" s="478"/>
      <c r="Q18" s="478"/>
      <c r="R18" s="478"/>
      <c r="S18" s="478"/>
      <c r="T18" s="478"/>
      <c r="U18" s="963"/>
      <c r="V18" s="963"/>
      <c r="W18" s="963"/>
      <c r="X18" s="963"/>
      <c r="Y18" s="963"/>
      <c r="Z18" s="963"/>
      <c r="AA18" s="963"/>
      <c r="AB18" s="478"/>
      <c r="AC18" s="479"/>
      <c r="AD18" s="479"/>
      <c r="AE18" s="479"/>
      <c r="AF18" s="479"/>
      <c r="AG18" s="479"/>
      <c r="AH18" s="479"/>
      <c r="AI18" s="479"/>
      <c r="AJ18" s="479"/>
      <c r="AK18" s="479"/>
      <c r="AL18" s="479"/>
      <c r="AM18" s="479"/>
      <c r="AN18" s="479"/>
      <c r="AO18" s="479"/>
      <c r="AP18" s="479"/>
      <c r="AQ18" s="479"/>
      <c r="AR18" s="479"/>
      <c r="AS18" s="479"/>
      <c r="AT18" s="479"/>
      <c r="AU18" s="479"/>
      <c r="AV18" s="479"/>
      <c r="AW18" s="479"/>
      <c r="AX18" s="479"/>
      <c r="AY18" s="479"/>
      <c r="AZ18" s="479"/>
      <c r="BA18" s="479"/>
      <c r="BB18" s="479"/>
      <c r="BC18" s="479"/>
      <c r="BD18" s="479"/>
      <c r="BE18" s="479"/>
      <c r="BF18" s="479"/>
      <c r="BG18" s="479"/>
      <c r="BH18" s="479"/>
      <c r="BI18" s="479"/>
      <c r="BJ18" s="479"/>
      <c r="BK18" s="479"/>
      <c r="BL18" s="479"/>
      <c r="BM18" s="479"/>
      <c r="BN18" s="479"/>
      <c r="BO18" s="479"/>
      <c r="BP18" s="479"/>
      <c r="BQ18" s="479"/>
      <c r="BR18" s="479"/>
      <c r="BS18" s="479"/>
      <c r="BT18" s="480"/>
      <c r="BU18" s="480"/>
      <c r="BV18" s="480"/>
      <c r="BW18" s="480"/>
      <c r="BX18" s="480"/>
      <c r="BY18" s="480"/>
      <c r="BZ18" s="480"/>
      <c r="CA18" s="480"/>
      <c r="CB18" s="480"/>
      <c r="CC18" s="480"/>
      <c r="CD18" s="480"/>
      <c r="CE18" s="480"/>
      <c r="CF18" s="480"/>
      <c r="CG18" s="480"/>
      <c r="CH18" s="480"/>
      <c r="CI18" s="480"/>
      <c r="CJ18" s="480"/>
      <c r="CK18" s="480"/>
      <c r="CL18" s="479"/>
      <c r="CM18" s="479"/>
      <c r="CN18" s="479"/>
      <c r="CO18" s="479"/>
      <c r="CP18" s="479"/>
      <c r="CQ18" s="479"/>
      <c r="CR18" s="479"/>
      <c r="CS18" s="479"/>
      <c r="CT18" s="479"/>
      <c r="CU18" s="479"/>
      <c r="CV18" s="479"/>
      <c r="CW18" s="479"/>
      <c r="CX18" s="479"/>
      <c r="CY18" s="480"/>
      <c r="CZ18" s="480"/>
      <c r="DA18" s="480"/>
      <c r="DB18" s="480"/>
      <c r="DC18" s="480"/>
      <c r="DD18" s="480"/>
      <c r="DE18" s="480"/>
      <c r="DF18" s="480"/>
      <c r="DG18" s="480"/>
      <c r="DH18" s="480"/>
      <c r="DI18" s="480"/>
      <c r="DJ18" s="480"/>
      <c r="DK18" s="479"/>
      <c r="DL18" s="479"/>
      <c r="DM18" s="479"/>
      <c r="DN18" s="479"/>
      <c r="DO18" s="479"/>
      <c r="DP18" s="479"/>
      <c r="DQ18" s="479"/>
      <c r="DR18" s="479"/>
      <c r="DS18" s="479"/>
      <c r="DT18" s="479"/>
      <c r="DU18" s="479"/>
      <c r="DV18" s="479"/>
      <c r="DW18" s="479"/>
      <c r="DX18" s="479"/>
      <c r="DY18" s="479"/>
      <c r="DZ18" s="479"/>
      <c r="EA18" s="479"/>
      <c r="EB18" s="479"/>
      <c r="EC18" s="479"/>
      <c r="ED18" s="479"/>
      <c r="EE18" s="479"/>
      <c r="EF18" s="479"/>
      <c r="EG18" s="479"/>
      <c r="EH18" s="479"/>
      <c r="EI18" s="479"/>
      <c r="EJ18" s="479"/>
      <c r="EK18" s="479"/>
      <c r="EL18" s="479"/>
      <c r="EM18" s="479"/>
      <c r="EN18" s="479"/>
      <c r="EO18" s="479"/>
      <c r="EP18" s="479"/>
      <c r="EQ18" s="479"/>
      <c r="ER18" s="479"/>
      <c r="ES18" s="479"/>
      <c r="ET18" s="479"/>
      <c r="EU18" s="479"/>
      <c r="EV18" s="479"/>
      <c r="EW18" s="479"/>
      <c r="EX18" s="479"/>
      <c r="EY18" s="479"/>
      <c r="EZ18" s="479"/>
      <c r="FA18" s="479"/>
      <c r="FB18" s="479"/>
      <c r="FC18" s="479"/>
      <c r="FD18" s="479"/>
      <c r="FE18" s="479"/>
      <c r="FF18" s="479"/>
      <c r="FG18" s="479"/>
      <c r="FH18" s="479"/>
      <c r="FI18" s="479"/>
      <c r="FJ18" s="479"/>
      <c r="FK18" s="479"/>
      <c r="FL18" s="479"/>
      <c r="FM18" s="479"/>
      <c r="FN18" s="479"/>
      <c r="FO18" s="479"/>
      <c r="FP18" s="479"/>
      <c r="FQ18" s="479"/>
      <c r="FR18" s="479"/>
      <c r="FS18" s="479"/>
      <c r="FT18" s="479"/>
      <c r="FU18" s="479"/>
      <c r="FV18" s="479"/>
      <c r="FW18" s="478"/>
      <c r="GC18" s="471">
        <v>0</v>
      </c>
    </row>
    <row r="19" spans="1:185" ht="11.25" hidden="1" customHeight="1">
      <c r="E19" s="247"/>
      <c r="F19" s="478"/>
      <c r="G19" s="478"/>
      <c r="H19" s="478"/>
      <c r="I19" s="478"/>
      <c r="J19" s="478"/>
      <c r="K19" s="478"/>
      <c r="L19" s="478"/>
      <c r="M19" s="478"/>
      <c r="N19" s="478"/>
      <c r="O19" s="478"/>
      <c r="P19" s="478"/>
      <c r="Q19" s="478"/>
      <c r="R19" s="478"/>
      <c r="S19" s="478"/>
      <c r="T19" s="478"/>
      <c r="U19" s="963"/>
      <c r="V19" s="963"/>
      <c r="W19" s="963"/>
      <c r="X19" s="963"/>
      <c r="Y19" s="963"/>
      <c r="Z19" s="963"/>
      <c r="AA19" s="963"/>
      <c r="AB19" s="478"/>
      <c r="AC19" s="478"/>
      <c r="AD19" s="478"/>
      <c r="AE19" s="478"/>
      <c r="AF19" s="478"/>
      <c r="AG19" s="478"/>
      <c r="AH19" s="478"/>
      <c r="AI19" s="478"/>
      <c r="AJ19" s="478"/>
      <c r="AK19" s="478"/>
      <c r="AL19" s="478"/>
      <c r="AM19" s="478"/>
      <c r="AN19" s="478"/>
      <c r="AO19" s="478"/>
      <c r="AP19" s="478"/>
      <c r="AQ19" s="478"/>
      <c r="AR19" s="478"/>
      <c r="AS19" s="478"/>
      <c r="AT19" s="478"/>
      <c r="AU19" s="478"/>
      <c r="AV19" s="478"/>
      <c r="AW19" s="478"/>
      <c r="AX19" s="478"/>
      <c r="AY19" s="478"/>
      <c r="AZ19" s="478"/>
      <c r="BA19" s="478"/>
      <c r="BB19" s="478"/>
      <c r="BC19" s="478"/>
      <c r="BD19" s="478"/>
      <c r="BE19" s="478"/>
      <c r="BF19" s="478"/>
      <c r="BG19" s="478"/>
      <c r="BH19" s="478"/>
      <c r="BI19" s="478"/>
      <c r="BJ19" s="478"/>
      <c r="BK19" s="478"/>
      <c r="BL19" s="478"/>
      <c r="BM19" s="478"/>
      <c r="BN19" s="478"/>
      <c r="BO19" s="478"/>
      <c r="BP19" s="478"/>
      <c r="BQ19" s="478"/>
      <c r="BR19" s="478"/>
      <c r="BS19" s="478"/>
      <c r="BT19" s="478"/>
      <c r="BU19" s="478"/>
      <c r="BV19" s="478"/>
      <c r="BW19" s="478"/>
      <c r="BX19" s="478"/>
      <c r="BY19" s="478"/>
      <c r="BZ19" s="478"/>
      <c r="CA19" s="478"/>
      <c r="CB19" s="478"/>
      <c r="CC19" s="478"/>
      <c r="CD19" s="478"/>
      <c r="CE19" s="478"/>
      <c r="CF19" s="478"/>
      <c r="CG19" s="478"/>
      <c r="CH19" s="478"/>
      <c r="CI19" s="478"/>
      <c r="CJ19" s="478"/>
      <c r="CK19" s="478"/>
      <c r="CL19" s="478"/>
      <c r="CM19" s="478"/>
      <c r="CN19" s="478"/>
      <c r="CO19" s="478"/>
      <c r="CP19" s="478"/>
      <c r="CQ19" s="478"/>
      <c r="CR19" s="478"/>
      <c r="CS19" s="478"/>
      <c r="CT19" s="478"/>
      <c r="CU19" s="478"/>
      <c r="CV19" s="478"/>
      <c r="CW19" s="478"/>
      <c r="CX19" s="478"/>
      <c r="CY19" s="478"/>
      <c r="CZ19" s="478"/>
      <c r="DA19" s="478"/>
      <c r="DB19" s="478"/>
      <c r="DC19" s="478"/>
      <c r="DD19" s="478"/>
      <c r="DE19" s="478"/>
      <c r="DF19" s="478"/>
      <c r="DG19" s="478"/>
      <c r="DH19" s="478"/>
      <c r="DI19" s="478"/>
      <c r="DJ19" s="478"/>
      <c r="DK19" s="478"/>
      <c r="DL19" s="478"/>
      <c r="DM19" s="478"/>
      <c r="DN19" s="478"/>
      <c r="DO19" s="478"/>
      <c r="DP19" s="478"/>
      <c r="DQ19" s="478"/>
      <c r="DR19" s="478"/>
      <c r="DS19" s="478"/>
      <c r="DT19" s="478"/>
      <c r="DU19" s="478"/>
      <c r="DV19" s="478"/>
      <c r="DW19" s="478"/>
      <c r="DX19" s="478"/>
      <c r="DY19" s="478"/>
      <c r="DZ19" s="478"/>
      <c r="EA19" s="478"/>
      <c r="EB19" s="478"/>
      <c r="EC19" s="478"/>
      <c r="ED19" s="478"/>
      <c r="EE19" s="478"/>
      <c r="EF19" s="478"/>
      <c r="EG19" s="478"/>
      <c r="EH19" s="478"/>
      <c r="EI19" s="478"/>
      <c r="EJ19" s="478"/>
      <c r="EK19" s="478"/>
      <c r="EL19" s="478"/>
      <c r="EM19" s="478"/>
      <c r="EN19" s="478"/>
      <c r="EO19" s="478"/>
      <c r="EP19" s="478"/>
      <c r="EQ19" s="478"/>
      <c r="ER19" s="478"/>
      <c r="ES19" s="478"/>
      <c r="ET19" s="478"/>
      <c r="EU19" s="478"/>
      <c r="EV19" s="478"/>
      <c r="EW19" s="478"/>
      <c r="EX19" s="478"/>
      <c r="EY19" s="478"/>
      <c r="EZ19" s="478"/>
      <c r="FA19" s="478"/>
      <c r="FB19" s="478"/>
      <c r="FC19" s="478"/>
      <c r="FD19" s="478"/>
      <c r="FE19" s="478"/>
      <c r="FF19" s="478"/>
      <c r="FG19" s="478"/>
      <c r="FH19" s="478"/>
      <c r="FI19" s="478"/>
      <c r="FJ19" s="478"/>
      <c r="FK19" s="478"/>
      <c r="FL19" s="478"/>
      <c r="FM19" s="478"/>
      <c r="FN19" s="478"/>
      <c r="FO19" s="478"/>
      <c r="FP19" s="478"/>
      <c r="FQ19" s="478"/>
      <c r="FR19" s="478"/>
      <c r="FS19" s="478"/>
      <c r="FT19" s="478"/>
      <c r="FU19" s="478"/>
      <c r="FV19" s="478"/>
      <c r="FW19" s="478"/>
      <c r="GC19" s="471">
        <v>0</v>
      </c>
    </row>
    <row r="20" spans="1:185" ht="11.25" hidden="1" customHeight="1">
      <c r="E20" s="247"/>
      <c r="F20" s="481" t="s">
        <v>387</v>
      </c>
      <c r="G20" s="86"/>
      <c r="H20" s="964"/>
      <c r="I20" s="964"/>
      <c r="J20" s="964"/>
      <c r="K20" s="964"/>
      <c r="L20" s="964"/>
      <c r="M20" s="964"/>
      <c r="N20" s="964"/>
      <c r="O20" s="86"/>
      <c r="P20" s="86"/>
      <c r="Q20" s="86"/>
      <c r="R20" s="86"/>
      <c r="S20" s="86"/>
      <c r="T20" s="86"/>
      <c r="U20" s="965"/>
      <c r="V20" s="965"/>
      <c r="W20" s="965"/>
      <c r="X20" s="965"/>
      <c r="Y20" s="965"/>
      <c r="Z20" s="965"/>
      <c r="AA20" s="965"/>
      <c r="AB20" s="86"/>
      <c r="AC20" s="964"/>
      <c r="AD20" s="964"/>
      <c r="AE20" s="964"/>
      <c r="AF20" s="964"/>
      <c r="AG20" s="964"/>
      <c r="AH20" s="964"/>
      <c r="AI20" s="964"/>
      <c r="AJ20" s="964"/>
      <c r="AK20" s="964"/>
      <c r="AL20" s="964"/>
      <c r="AM20" s="964"/>
      <c r="AN20" s="964"/>
      <c r="AO20" s="964"/>
      <c r="AP20" s="964"/>
      <c r="AQ20" s="964"/>
      <c r="AR20" s="964"/>
      <c r="AS20" s="964"/>
      <c r="AT20" s="964"/>
      <c r="AU20" s="964"/>
      <c r="AV20" s="964"/>
      <c r="AW20" s="964"/>
      <c r="AX20" s="964"/>
      <c r="AY20" s="964"/>
      <c r="AZ20" s="964"/>
      <c r="BA20" s="964"/>
      <c r="BB20" s="964"/>
      <c r="BC20" s="964"/>
      <c r="BD20" s="964"/>
      <c r="BE20" s="964"/>
      <c r="BF20" s="964"/>
      <c r="BG20" s="964"/>
      <c r="BH20" s="964"/>
      <c r="BI20" s="964"/>
      <c r="BJ20" s="964"/>
      <c r="BK20" s="964"/>
      <c r="BL20" s="964"/>
      <c r="BM20" s="964"/>
      <c r="BN20" s="964"/>
      <c r="BO20" s="964"/>
      <c r="BP20" s="964"/>
      <c r="BQ20" s="964"/>
      <c r="BR20" s="964"/>
      <c r="BS20" s="964"/>
      <c r="BT20" s="964"/>
      <c r="BU20" s="964"/>
      <c r="BV20" s="964"/>
      <c r="BW20" s="964"/>
      <c r="BX20" s="964"/>
      <c r="BY20" s="964"/>
      <c r="BZ20" s="964"/>
      <c r="CA20" s="964"/>
      <c r="CB20" s="964"/>
      <c r="CC20" s="964"/>
      <c r="CD20" s="964"/>
      <c r="CE20" s="964"/>
      <c r="CF20" s="964"/>
      <c r="CG20" s="964"/>
      <c r="CH20" s="964"/>
      <c r="CI20" s="964"/>
      <c r="CJ20" s="964"/>
      <c r="CK20" s="964"/>
      <c r="CL20" s="785"/>
      <c r="CM20" s="785"/>
      <c r="CN20" s="785"/>
      <c r="CO20" s="785"/>
      <c r="CP20" s="785"/>
      <c r="CQ20" s="785"/>
      <c r="CR20" s="785"/>
      <c r="CS20" s="785"/>
      <c r="CT20" s="785"/>
      <c r="CU20" s="785"/>
      <c r="CV20" s="785"/>
      <c r="CW20" s="785"/>
      <c r="CX20" s="785"/>
      <c r="CY20" s="785"/>
      <c r="CZ20" s="785"/>
      <c r="DA20" s="785"/>
      <c r="DB20" s="785"/>
      <c r="DC20" s="785"/>
      <c r="DD20" s="785"/>
      <c r="DE20" s="785"/>
      <c r="DF20" s="785"/>
      <c r="DG20" s="785"/>
      <c r="DH20" s="785"/>
      <c r="DI20" s="785"/>
      <c r="DJ20" s="785"/>
      <c r="DK20" s="785"/>
      <c r="DL20" s="785"/>
      <c r="DM20" s="785"/>
      <c r="DN20" s="785"/>
      <c r="DO20" s="785"/>
      <c r="DP20" s="785"/>
      <c r="DQ20" s="785"/>
      <c r="DR20" s="785"/>
      <c r="DS20" s="785"/>
      <c r="DT20" s="785"/>
      <c r="DU20" s="785"/>
      <c r="DV20" s="785"/>
      <c r="DW20" s="785"/>
      <c r="DX20" s="785"/>
      <c r="DY20" s="785"/>
      <c r="DZ20" s="785"/>
      <c r="EA20" s="785"/>
      <c r="EB20" s="785"/>
      <c r="EC20" s="785"/>
      <c r="ED20" s="785"/>
      <c r="EE20" s="785"/>
      <c r="EF20" s="785"/>
      <c r="EG20" s="785"/>
      <c r="EH20" s="785"/>
      <c r="EI20" s="785"/>
      <c r="EJ20" s="785"/>
      <c r="EK20" s="785"/>
      <c r="EL20" s="785"/>
      <c r="EM20" s="785"/>
      <c r="EN20" s="785"/>
      <c r="EO20" s="785"/>
      <c r="EP20" s="785"/>
      <c r="EQ20" s="785"/>
      <c r="ER20" s="785"/>
      <c r="ES20" s="785"/>
      <c r="ET20" s="785"/>
      <c r="EU20" s="785"/>
      <c r="EV20" s="785"/>
      <c r="EW20" s="785"/>
      <c r="EX20" s="785"/>
      <c r="EY20" s="785"/>
      <c r="EZ20" s="785"/>
      <c r="FA20" s="785"/>
      <c r="FB20" s="785"/>
      <c r="FC20" s="785"/>
      <c r="FD20" s="785"/>
      <c r="FE20" s="785"/>
      <c r="FF20" s="785"/>
      <c r="FG20" s="785"/>
      <c r="FH20" s="785"/>
      <c r="FI20" s="785"/>
      <c r="FJ20" s="785"/>
      <c r="FK20" s="785"/>
      <c r="FL20" s="785"/>
      <c r="FM20" s="785"/>
      <c r="FN20" s="785"/>
      <c r="FO20" s="785"/>
      <c r="FP20" s="785"/>
      <c r="FQ20" s="785"/>
      <c r="FR20" s="785"/>
      <c r="FS20" s="785"/>
      <c r="FT20" s="785"/>
      <c r="FU20" s="785"/>
      <c r="FV20" s="785"/>
      <c r="FW20" s="785"/>
      <c r="GC20" s="471">
        <v>0</v>
      </c>
    </row>
    <row r="21" spans="1:185" s="1029" customFormat="1" ht="21" customHeight="1">
      <c r="A21" t="s">
        <v>1021</v>
      </c>
      <c r="B21"/>
      <c r="C21"/>
      <c r="D21"/>
      <c r="E21" s="247" t="s">
        <v>22</v>
      </c>
      <c r="F21" s="248" t="str">
        <f>INDEX(IP_MAIN_LIST_NAME_IP,MATCH(A21,IP_MAIN_LIST_IP_ID,0))&amp;" ("&amp;INDEX(IP_MAIN_START_DATE,MATCH(A21,IP_MAIN_LIST_IP_ID,0))&amp;"-"&amp;INDEX(IP_MAIN_END_DATE,MATCH(A21,IP_MAIN_LIST_IP_ID,0))&amp;")"</f>
        <v>Инвестиционная программа от 19.12.2013 АО "НИЖЕГОРОДСКИЙ ВОДОКАНАЛ"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Нижний Новгород на 2014-2030 годы (01.01.2014-31.12.2030)</v>
      </c>
      <c r="G21" s="249"/>
      <c r="H21" s="250"/>
      <c r="I21" s="250"/>
      <c r="J21" s="250"/>
      <c r="K21" s="250"/>
      <c r="L21" s="250"/>
      <c r="M21" s="250"/>
      <c r="N21" s="250"/>
      <c r="O21" s="249"/>
      <c r="P21" s="249"/>
      <c r="Q21" s="249"/>
      <c r="R21" s="249"/>
      <c r="S21" s="249"/>
      <c r="T21" s="249"/>
      <c r="U21" s="251"/>
      <c r="V21" s="251"/>
      <c r="W21" s="251"/>
      <c r="X21" s="251"/>
      <c r="Y21" s="251"/>
      <c r="Z21" s="251"/>
      <c r="AA21" s="251"/>
      <c r="AB21" s="249"/>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2"/>
      <c r="CM21" s="252"/>
      <c r="CN21" s="252"/>
      <c r="CO21" s="252"/>
      <c r="CP21" s="252"/>
      <c r="CQ21" s="252"/>
      <c r="CR21" s="252"/>
      <c r="CS21" s="252"/>
      <c r="CT21" s="252"/>
      <c r="CU21" s="252"/>
      <c r="CV21" s="252"/>
      <c r="CW21" s="252"/>
      <c r="CX21" s="252"/>
      <c r="CY21" s="252"/>
      <c r="CZ21" s="252"/>
      <c r="DA21" s="252"/>
      <c r="DB21" s="252"/>
      <c r="DC21" s="252"/>
      <c r="DD21" s="252"/>
      <c r="DE21" s="252"/>
      <c r="DF21" s="252"/>
      <c r="DG21" s="252"/>
      <c r="DH21" s="252"/>
      <c r="DI21" s="252"/>
      <c r="DJ21" s="252"/>
      <c r="DK21" s="252"/>
      <c r="DL21" s="252"/>
      <c r="DM21" s="252"/>
      <c r="DN21" s="252"/>
      <c r="DO21" s="252"/>
      <c r="DP21" s="252"/>
      <c r="DQ21" s="252"/>
      <c r="DR21" s="252"/>
      <c r="DS21" s="252"/>
      <c r="DT21" s="252"/>
      <c r="DU21" s="252"/>
      <c r="DV21" s="252"/>
      <c r="DW21" s="252"/>
      <c r="DX21" s="252"/>
      <c r="DY21" s="252"/>
      <c r="DZ21" s="252"/>
      <c r="EA21" s="252"/>
      <c r="EB21" s="252"/>
      <c r="EC21" s="252"/>
      <c r="ED21" s="252"/>
      <c r="EE21" s="252"/>
      <c r="EF21" s="252"/>
      <c r="EG21" s="252"/>
      <c r="EH21" s="252"/>
      <c r="EI21" s="252"/>
      <c r="EJ21" s="252"/>
      <c r="EK21" s="252"/>
      <c r="EL21" s="252"/>
      <c r="EM21" s="252"/>
      <c r="EN21" s="252"/>
      <c r="EO21" s="252"/>
      <c r="EP21" s="252"/>
      <c r="EQ21" s="252"/>
      <c r="ER21" s="252"/>
      <c r="ES21" s="252"/>
      <c r="ET21" s="252"/>
      <c r="EU21" s="252"/>
      <c r="EV21" s="252"/>
      <c r="EW21" s="252"/>
      <c r="EX21" s="252"/>
      <c r="EY21" s="252"/>
      <c r="EZ21" s="252"/>
      <c r="FA21" s="252"/>
      <c r="FB21" s="252"/>
      <c r="FC21" s="252"/>
      <c r="FD21" s="252"/>
      <c r="FE21" s="252"/>
      <c r="FF21" s="252"/>
      <c r="FG21" s="252"/>
      <c r="FH21" s="252"/>
      <c r="FI21" s="252"/>
      <c r="FJ21" s="252"/>
      <c r="FK21" s="252"/>
      <c r="FL21" s="252"/>
      <c r="FM21" s="252"/>
      <c r="FN21" s="252"/>
      <c r="FO21" s="252"/>
      <c r="FP21" s="252"/>
      <c r="FQ21" s="252"/>
      <c r="FR21" s="252"/>
      <c r="FS21" s="252"/>
      <c r="FT21" s="252"/>
      <c r="FU21" s="252"/>
      <c r="FV21" s="253"/>
      <c r="FW21" s="254"/>
      <c r="FX21"/>
      <c r="FY21"/>
      <c r="FZ21"/>
      <c r="GA21"/>
      <c r="GB21"/>
    </row>
    <row r="22" spans="1:185" s="1029" customFormat="1" ht="24.75" customHeight="1">
      <c r="A22" t="s">
        <v>1021</v>
      </c>
      <c r="B22"/>
      <c r="C22"/>
      <c r="D22"/>
      <c r="E22"/>
      <c r="F22" s="194">
        <v>1</v>
      </c>
      <c r="G22" s="22" t="s">
        <v>1008</v>
      </c>
      <c r="H22" s="20" t="s">
        <v>1289</v>
      </c>
      <c r="I22" s="255" t="s">
        <v>1290</v>
      </c>
      <c r="J22" s="256"/>
      <c r="K22" s="256"/>
      <c r="L22" s="256"/>
      <c r="M22" s="256"/>
      <c r="N22" s="256"/>
      <c r="O22" s="257"/>
      <c r="P22" s="257"/>
      <c r="Q22" s="257"/>
      <c r="R22" s="257"/>
      <c r="S22" s="257"/>
      <c r="T22" s="257"/>
      <c r="U22" s="257"/>
      <c r="V22" s="257"/>
      <c r="W22" s="257"/>
      <c r="X22" s="257"/>
      <c r="Y22" s="257"/>
      <c r="Z22" s="257"/>
      <c r="AA22" s="257"/>
      <c r="AB22" s="257"/>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7">
        <v>0</v>
      </c>
      <c r="BU22" s="257">
        <v>0</v>
      </c>
      <c r="BV22" s="257">
        <v>3.3</v>
      </c>
      <c r="BW22" s="257">
        <v>3.28</v>
      </c>
      <c r="BX22" s="257">
        <v>0</v>
      </c>
      <c r="BY22" s="257">
        <v>0</v>
      </c>
      <c r="BZ22" s="257">
        <v>0</v>
      </c>
      <c r="CA22" s="257">
        <v>0</v>
      </c>
      <c r="CB22" s="257">
        <v>1.05</v>
      </c>
      <c r="CC22" s="257">
        <v>1.23</v>
      </c>
      <c r="CD22" s="257">
        <v>15.6</v>
      </c>
      <c r="CE22" s="257">
        <v>18.02</v>
      </c>
      <c r="CF22" s="257">
        <v>0</v>
      </c>
      <c r="CG22" s="257">
        <v>0</v>
      </c>
      <c r="CH22" s="257">
        <v>0.89</v>
      </c>
      <c r="CI22" s="257">
        <v>0.7</v>
      </c>
      <c r="CJ22" s="257">
        <v>0.08</v>
      </c>
      <c r="CK22" s="257">
        <v>8.1000000000000003E-2</v>
      </c>
      <c r="CL22" s="256"/>
      <c r="CM22" s="256"/>
      <c r="CN22" s="256"/>
      <c r="CO22" s="256"/>
      <c r="CP22" s="256"/>
      <c r="CQ22" s="256"/>
      <c r="CR22" s="256"/>
      <c r="CS22" s="256"/>
      <c r="CT22" s="256"/>
      <c r="CU22" s="256"/>
      <c r="CV22" s="256"/>
      <c r="CW22" s="256"/>
      <c r="CX22" s="256"/>
      <c r="CY22" s="257"/>
      <c r="CZ22" s="257"/>
      <c r="DA22" s="257"/>
      <c r="DB22" s="257"/>
      <c r="DC22" s="257"/>
      <c r="DD22" s="257"/>
      <c r="DE22" s="257"/>
      <c r="DF22" s="257"/>
      <c r="DG22" s="257"/>
      <c r="DH22" s="257"/>
      <c r="DI22" s="257"/>
      <c r="DJ22" s="257"/>
      <c r="DK22" s="256"/>
      <c r="DL22" s="256"/>
      <c r="DM22" s="256"/>
      <c r="DN22" s="256"/>
      <c r="DO22" s="256"/>
      <c r="DP22" s="256"/>
      <c r="DQ22" s="256"/>
      <c r="DR22" s="256"/>
      <c r="DS22" s="256"/>
      <c r="DT22" s="256"/>
      <c r="DU22" s="256"/>
      <c r="DV22" s="256"/>
      <c r="DW22" s="256"/>
      <c r="DX22" s="256"/>
      <c r="DY22" s="256"/>
      <c r="DZ22" s="256"/>
      <c r="EA22" s="256"/>
      <c r="EB22" s="256"/>
      <c r="EC22" s="256"/>
      <c r="ED22" s="256"/>
      <c r="EE22" s="256"/>
      <c r="EF22" s="256"/>
      <c r="EG22" s="256"/>
      <c r="EH22" s="256"/>
      <c r="EI22" s="256"/>
      <c r="EJ22" s="256"/>
      <c r="EK22" s="256"/>
      <c r="EL22" s="256"/>
      <c r="EM22" s="256"/>
      <c r="EN22" s="256"/>
      <c r="EO22" s="256"/>
      <c r="EP22" s="256"/>
      <c r="EQ22" s="256"/>
      <c r="ER22" s="256"/>
      <c r="ES22" s="256"/>
      <c r="ET22" s="256"/>
      <c r="EU22" s="256"/>
      <c r="EV22" s="256"/>
      <c r="EW22" s="256"/>
      <c r="EX22" s="256"/>
      <c r="EY22" s="256"/>
      <c r="EZ22" s="256"/>
      <c r="FA22" s="256"/>
      <c r="FB22" s="256"/>
      <c r="FC22" s="256"/>
      <c r="FD22" s="256"/>
      <c r="FE22" s="256"/>
      <c r="FF22" s="256"/>
      <c r="FG22" s="256"/>
      <c r="FH22" s="256"/>
      <c r="FI22" s="256"/>
      <c r="FJ22" s="256"/>
      <c r="FK22" s="256"/>
      <c r="FL22" s="256"/>
      <c r="FM22" s="256"/>
      <c r="FN22" s="256"/>
      <c r="FO22" s="256"/>
      <c r="FP22" s="256"/>
      <c r="FQ22" s="256"/>
      <c r="FR22" s="256"/>
      <c r="FS22" s="256"/>
      <c r="FT22" s="256"/>
      <c r="FU22" s="256"/>
      <c r="FV22" s="256"/>
      <c r="FW22" s="256"/>
      <c r="FX22"/>
      <c r="FY22"/>
      <c r="FZ22"/>
      <c r="GA22"/>
      <c r="GB22"/>
    </row>
    <row r="23" spans="1:185" s="1029" customFormat="1" ht="12" customHeight="1">
      <c r="A23" t="s">
        <v>1021</v>
      </c>
      <c r="B23"/>
      <c r="C23"/>
      <c r="D23"/>
      <c r="E23"/>
      <c r="F23" s="258"/>
      <c r="G23" s="224" t="s">
        <v>1291</v>
      </c>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59"/>
      <c r="FX23"/>
      <c r="FY23"/>
      <c r="FZ23"/>
      <c r="GA23"/>
      <c r="GB23"/>
    </row>
    <row r="24" spans="1:185" ht="12.75" customHeight="1">
      <c r="F24" s="247"/>
      <c r="G24" s="247"/>
      <c r="H24" s="247"/>
      <c r="I24" s="247"/>
      <c r="J24" s="247"/>
      <c r="K24" s="247"/>
      <c r="L24" s="247"/>
      <c r="M24" s="247"/>
      <c r="N24" s="247"/>
      <c r="O24" s="247"/>
      <c r="P24" s="247"/>
      <c r="Q24" s="247"/>
      <c r="R24" s="247"/>
      <c r="S24" s="482"/>
      <c r="T24" s="482"/>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247"/>
      <c r="BF24" s="247"/>
      <c r="BG24" s="247"/>
      <c r="BH24" s="247"/>
      <c r="BI24" s="247"/>
      <c r="BJ24" s="247"/>
      <c r="BK24" s="247"/>
      <c r="BL24" s="247"/>
      <c r="BM24" s="247"/>
      <c r="BN24" s="247"/>
      <c r="BO24" s="247"/>
      <c r="BP24" s="247"/>
      <c r="BQ24" s="247"/>
      <c r="BR24" s="247"/>
      <c r="BS24" s="247"/>
      <c r="BT24" s="247"/>
      <c r="BU24" s="247"/>
      <c r="BV24" s="247"/>
      <c r="BW24" s="247"/>
      <c r="BX24" s="247"/>
      <c r="BY24" s="247"/>
      <c r="BZ24" s="247"/>
      <c r="CA24" s="247"/>
      <c r="CB24" s="247"/>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c r="DM24" s="247"/>
      <c r="DN24" s="247"/>
      <c r="DO24" s="247"/>
      <c r="DP24" s="247"/>
      <c r="DQ24" s="247"/>
      <c r="DR24" s="247"/>
      <c r="DS24" s="247"/>
      <c r="DT24" s="247"/>
      <c r="DU24" s="247"/>
      <c r="DV24" s="247"/>
      <c r="DW24" s="247"/>
      <c r="DX24" s="247"/>
      <c r="DY24" s="247"/>
      <c r="DZ24" s="247"/>
      <c r="EA24" s="247"/>
      <c r="EB24" s="247"/>
      <c r="EC24" s="247"/>
      <c r="ED24" s="247"/>
      <c r="EE24" s="247"/>
      <c r="EF24" s="247"/>
      <c r="EG24" s="247"/>
      <c r="EH24" s="247"/>
      <c r="EI24" s="247"/>
      <c r="EJ24" s="247"/>
      <c r="EK24" s="247"/>
      <c r="EL24" s="247"/>
      <c r="EM24" s="247"/>
      <c r="EN24" s="247"/>
      <c r="EO24" s="247"/>
      <c r="EP24" s="247"/>
      <c r="EQ24" s="247"/>
      <c r="ER24" s="247"/>
      <c r="ES24" s="247"/>
      <c r="ET24" s="247"/>
      <c r="EU24" s="247"/>
      <c r="EV24" s="247"/>
      <c r="EW24" s="247"/>
      <c r="EX24" s="247"/>
      <c r="EY24" s="247"/>
      <c r="EZ24" s="247"/>
      <c r="FA24" s="247"/>
      <c r="FB24" s="247"/>
      <c r="FC24" s="247"/>
      <c r="FD24" s="247"/>
      <c r="FE24" s="247"/>
      <c r="FF24" s="247"/>
      <c r="FG24" s="247"/>
      <c r="FH24" s="247"/>
      <c r="FI24" s="247"/>
      <c r="FJ24" s="247"/>
      <c r="FK24" s="247"/>
      <c r="FL24" s="247"/>
      <c r="FM24" s="247"/>
      <c r="FN24" s="247"/>
      <c r="FO24" s="247"/>
      <c r="FP24" s="247"/>
      <c r="FQ24" s="247"/>
      <c r="FR24" s="247"/>
      <c r="FS24" s="247"/>
      <c r="FT24" s="247"/>
      <c r="FU24" s="247"/>
      <c r="FV24" s="247"/>
      <c r="FW24" s="247"/>
      <c r="GC24" s="471">
        <v>12</v>
      </c>
    </row>
    <row r="25" spans="1:185" ht="12.75" customHeight="1">
      <c r="GC25" s="471">
        <v>12</v>
      </c>
    </row>
    <row r="26" spans="1:185" ht="12.75" customHeight="1">
      <c r="GC26" s="472">
        <v>12</v>
      </c>
    </row>
    <row r="27" spans="1:185" ht="12.75" customHeight="1">
      <c r="GC27" s="472">
        <v>12</v>
      </c>
    </row>
    <row r="28" spans="1:185" ht="12" hidden="1" customHeight="1">
      <c r="A28" s="472" t="s">
        <v>81</v>
      </c>
      <c r="B28" s="483">
        <v>0</v>
      </c>
      <c r="C28" s="472">
        <v>0</v>
      </c>
      <c r="D28" s="472">
        <v>0</v>
      </c>
      <c r="E28" s="472">
        <v>3</v>
      </c>
      <c r="F28" s="472">
        <v>6</v>
      </c>
      <c r="G28" s="472">
        <v>18</v>
      </c>
      <c r="H28" s="472">
        <v>27</v>
      </c>
      <c r="I28" s="472">
        <v>18</v>
      </c>
      <c r="J28" s="472">
        <v>0</v>
      </c>
      <c r="K28" s="472">
        <v>0</v>
      </c>
      <c r="L28" s="472">
        <v>0</v>
      </c>
      <c r="M28" s="472">
        <v>0</v>
      </c>
      <c r="N28" s="472">
        <v>0</v>
      </c>
      <c r="O28" s="472">
        <v>0</v>
      </c>
      <c r="P28" s="472">
        <v>0</v>
      </c>
      <c r="Q28" s="472">
        <v>0</v>
      </c>
      <c r="R28" s="472">
        <v>0</v>
      </c>
      <c r="S28" s="472">
        <v>0</v>
      </c>
      <c r="T28" s="472">
        <v>0</v>
      </c>
      <c r="U28" s="472">
        <v>0</v>
      </c>
      <c r="V28" s="472">
        <v>0</v>
      </c>
      <c r="W28" s="472">
        <v>0</v>
      </c>
      <c r="X28" s="472">
        <v>0</v>
      </c>
      <c r="Y28" s="472">
        <v>0</v>
      </c>
      <c r="Z28" s="472">
        <v>0</v>
      </c>
      <c r="AA28" s="472">
        <v>0</v>
      </c>
      <c r="AB28" s="472">
        <v>0</v>
      </c>
      <c r="AC28" s="472">
        <v>0</v>
      </c>
      <c r="AD28" s="472">
        <v>0</v>
      </c>
      <c r="AE28" s="472">
        <v>0</v>
      </c>
      <c r="AF28" s="472">
        <v>0</v>
      </c>
      <c r="AG28" s="472">
        <v>0</v>
      </c>
      <c r="AH28" s="472">
        <v>0</v>
      </c>
      <c r="AI28" s="472">
        <v>0</v>
      </c>
      <c r="AJ28" s="472">
        <v>0</v>
      </c>
      <c r="AK28" s="472">
        <v>0</v>
      </c>
      <c r="AL28" s="472">
        <v>0</v>
      </c>
      <c r="AM28" s="472">
        <v>0</v>
      </c>
      <c r="AN28" s="472">
        <v>0</v>
      </c>
      <c r="AO28" s="472">
        <v>0</v>
      </c>
      <c r="AP28" s="472">
        <v>0</v>
      </c>
      <c r="AQ28" s="472">
        <v>0</v>
      </c>
      <c r="AR28" s="472">
        <v>0</v>
      </c>
      <c r="AS28" s="472">
        <v>0</v>
      </c>
      <c r="AT28" s="472">
        <v>0</v>
      </c>
      <c r="AU28" s="472">
        <v>0</v>
      </c>
      <c r="AV28" s="472">
        <v>0</v>
      </c>
      <c r="AW28" s="472">
        <v>0</v>
      </c>
      <c r="AX28" s="472">
        <v>0</v>
      </c>
      <c r="AY28" s="472">
        <v>0</v>
      </c>
      <c r="AZ28" s="472">
        <v>0</v>
      </c>
      <c r="BA28" s="472">
        <v>0</v>
      </c>
      <c r="BB28" s="472">
        <v>0</v>
      </c>
      <c r="BC28" s="472">
        <v>0</v>
      </c>
      <c r="BD28" s="472">
        <v>0</v>
      </c>
      <c r="BE28" s="472">
        <v>0</v>
      </c>
      <c r="BF28" s="472">
        <v>0</v>
      </c>
      <c r="BG28" s="472">
        <v>0</v>
      </c>
      <c r="BH28" s="472">
        <v>0</v>
      </c>
      <c r="BI28" s="472">
        <v>0</v>
      </c>
      <c r="BJ28" s="472">
        <v>0</v>
      </c>
      <c r="BK28" s="472">
        <v>0</v>
      </c>
      <c r="BL28" s="472">
        <v>0</v>
      </c>
      <c r="BM28" s="472">
        <v>0</v>
      </c>
      <c r="BN28" s="472">
        <v>0</v>
      </c>
      <c r="BO28" s="472">
        <v>0</v>
      </c>
      <c r="BP28" s="472">
        <v>0</v>
      </c>
      <c r="BQ28" s="472">
        <v>0</v>
      </c>
      <c r="BR28" s="472">
        <v>0</v>
      </c>
      <c r="BS28" s="472">
        <v>0</v>
      </c>
      <c r="BT28" s="472">
        <v>0</v>
      </c>
      <c r="BU28" s="472">
        <v>0</v>
      </c>
      <c r="BV28" s="472">
        <v>0</v>
      </c>
      <c r="BW28" s="472">
        <v>0</v>
      </c>
      <c r="BX28" s="472">
        <v>0</v>
      </c>
      <c r="BY28" s="472">
        <v>0</v>
      </c>
      <c r="BZ28" s="472">
        <v>0</v>
      </c>
      <c r="CA28" s="472">
        <v>0</v>
      </c>
      <c r="CB28" s="472">
        <v>0</v>
      </c>
      <c r="CC28" s="472">
        <v>0</v>
      </c>
      <c r="CD28" s="472">
        <v>0</v>
      </c>
      <c r="CE28" s="472">
        <v>0</v>
      </c>
      <c r="CF28" s="472">
        <v>0</v>
      </c>
      <c r="CG28" s="472">
        <v>0</v>
      </c>
      <c r="CH28" s="472">
        <v>0</v>
      </c>
      <c r="CI28" s="472">
        <v>0</v>
      </c>
      <c r="CJ28" s="472">
        <v>0</v>
      </c>
      <c r="CK28" s="472">
        <v>0</v>
      </c>
      <c r="CL28" s="472">
        <v>0</v>
      </c>
      <c r="CM28" s="472">
        <v>0</v>
      </c>
      <c r="CN28" s="472">
        <v>0</v>
      </c>
      <c r="CO28" s="472">
        <v>0</v>
      </c>
      <c r="CP28" s="472">
        <v>0</v>
      </c>
      <c r="CQ28" s="472">
        <v>0</v>
      </c>
      <c r="CR28" s="472">
        <v>0</v>
      </c>
      <c r="CS28" s="472">
        <v>0</v>
      </c>
      <c r="CT28" s="472">
        <v>0</v>
      </c>
      <c r="CU28" s="472">
        <v>0</v>
      </c>
      <c r="CV28" s="472">
        <v>0</v>
      </c>
      <c r="CW28" s="472">
        <v>0</v>
      </c>
      <c r="CX28" s="472">
        <v>0</v>
      </c>
      <c r="CY28" s="472">
        <v>0</v>
      </c>
      <c r="CZ28" s="472">
        <v>0</v>
      </c>
      <c r="DA28" s="472">
        <v>0</v>
      </c>
      <c r="DB28" s="472">
        <v>0</v>
      </c>
      <c r="DC28" s="472">
        <v>0</v>
      </c>
      <c r="DD28" s="472">
        <v>0</v>
      </c>
      <c r="DE28" s="472">
        <v>0</v>
      </c>
      <c r="DF28" s="472">
        <v>0</v>
      </c>
      <c r="DG28" s="472">
        <v>0</v>
      </c>
      <c r="DH28" s="472">
        <v>0</v>
      </c>
      <c r="DI28" s="472">
        <v>0</v>
      </c>
      <c r="DJ28" s="472">
        <v>0</v>
      </c>
      <c r="DK28" s="472">
        <v>0</v>
      </c>
      <c r="DL28" s="472">
        <v>0</v>
      </c>
      <c r="DM28" s="472">
        <v>0</v>
      </c>
      <c r="DN28" s="472">
        <v>0</v>
      </c>
      <c r="DO28" s="472">
        <v>0</v>
      </c>
      <c r="DP28" s="472">
        <v>0</v>
      </c>
      <c r="DQ28" s="472">
        <v>0</v>
      </c>
      <c r="DR28" s="472">
        <v>0</v>
      </c>
      <c r="DS28" s="472">
        <v>0</v>
      </c>
      <c r="DT28" s="472">
        <v>0</v>
      </c>
      <c r="DU28" s="472">
        <v>0</v>
      </c>
      <c r="DV28" s="472">
        <v>0</v>
      </c>
      <c r="DW28" s="472">
        <v>0</v>
      </c>
      <c r="DX28" s="472">
        <v>0</v>
      </c>
      <c r="DY28" s="472">
        <v>0</v>
      </c>
      <c r="DZ28" s="472">
        <v>0</v>
      </c>
      <c r="EA28" s="472">
        <v>0</v>
      </c>
      <c r="EB28" s="472">
        <v>0</v>
      </c>
      <c r="EC28" s="472">
        <v>0</v>
      </c>
      <c r="ED28" s="472">
        <v>0</v>
      </c>
      <c r="EE28" s="472">
        <v>0</v>
      </c>
      <c r="EF28" s="472">
        <v>0</v>
      </c>
      <c r="EG28" s="472">
        <v>0</v>
      </c>
      <c r="EH28" s="472">
        <v>0</v>
      </c>
      <c r="EI28" s="472">
        <v>0</v>
      </c>
      <c r="EJ28" s="472">
        <v>0</v>
      </c>
      <c r="EK28" s="472">
        <v>0</v>
      </c>
      <c r="EL28" s="472">
        <v>0</v>
      </c>
      <c r="EM28" s="472">
        <v>0</v>
      </c>
      <c r="EN28" s="472">
        <v>0</v>
      </c>
      <c r="EO28" s="472">
        <v>0</v>
      </c>
      <c r="EP28" s="472">
        <v>0</v>
      </c>
      <c r="EQ28" s="472">
        <v>0</v>
      </c>
      <c r="ER28" s="472">
        <v>0</v>
      </c>
      <c r="ES28" s="472">
        <v>0</v>
      </c>
      <c r="ET28" s="472">
        <v>0</v>
      </c>
      <c r="EU28" s="472">
        <v>0</v>
      </c>
      <c r="EV28" s="472">
        <v>0</v>
      </c>
      <c r="EW28" s="472">
        <v>0</v>
      </c>
      <c r="EX28" s="472">
        <v>0</v>
      </c>
      <c r="EY28" s="472">
        <v>0</v>
      </c>
      <c r="EZ28" s="472">
        <v>0</v>
      </c>
      <c r="FA28" s="472">
        <v>0</v>
      </c>
      <c r="FB28" s="472">
        <v>0</v>
      </c>
      <c r="FC28" s="472">
        <v>0</v>
      </c>
      <c r="FD28" s="472">
        <v>0</v>
      </c>
      <c r="FE28" s="472">
        <v>0</v>
      </c>
      <c r="FF28" s="472">
        <v>0</v>
      </c>
      <c r="FG28" s="472">
        <v>0</v>
      </c>
      <c r="FH28" s="472">
        <v>0</v>
      </c>
      <c r="FI28" s="472">
        <v>0</v>
      </c>
      <c r="FJ28" s="472">
        <v>0</v>
      </c>
      <c r="FK28" s="472">
        <v>0</v>
      </c>
      <c r="FL28" s="472">
        <v>0</v>
      </c>
      <c r="FM28" s="472">
        <v>0</v>
      </c>
      <c r="FN28" s="472">
        <v>0</v>
      </c>
      <c r="FO28" s="472">
        <v>0</v>
      </c>
      <c r="FP28" s="472">
        <v>0</v>
      </c>
      <c r="FQ28" s="472">
        <v>0</v>
      </c>
      <c r="FR28" s="472">
        <v>0</v>
      </c>
      <c r="FS28" s="472">
        <v>0</v>
      </c>
      <c r="FT28" s="472">
        <v>0</v>
      </c>
      <c r="FU28" s="472">
        <v>0</v>
      </c>
      <c r="FV28" s="472">
        <v>0</v>
      </c>
      <c r="FW28" s="472">
        <v>0</v>
      </c>
      <c r="FX28" s="472">
        <v>8</v>
      </c>
      <c r="FY28" s="472">
        <v>8</v>
      </c>
      <c r="FZ28" s="472">
        <v>8</v>
      </c>
      <c r="GA28" s="472">
        <v>8</v>
      </c>
      <c r="GB28" s="472">
        <v>8</v>
      </c>
      <c r="GC28" s="472">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23"/>
  <sheetViews>
    <sheetView showGridLines="0" zoomScale="90" workbookViewId="0">
      <pane xSplit="7" ySplit="14" topLeftCell="L15" activePane="bottomRight" state="frozen"/>
      <selection pane="topRight" activeCell="H1" sqref="H1"/>
      <selection pane="bottomLeft" activeCell="A15" sqref="A15"/>
      <selection pane="bottomRight" activeCell="L8" sqref="L8"/>
    </sheetView>
  </sheetViews>
  <sheetFormatPr defaultColWidth="10.5703125" defaultRowHeight="15" customHeight="1"/>
  <cols>
    <col min="1" max="2" width="9.140625" style="1029" hidden="1" customWidth="1"/>
    <col min="3" max="3" width="4" style="1029" customWidth="1"/>
    <col min="4" max="4" width="6" style="1029" customWidth="1"/>
    <col min="5" max="5" width="36" style="1029" customWidth="1"/>
    <col min="6" max="6" width="9" style="1029" customWidth="1"/>
    <col min="7" max="7" width="42.42578125" style="1029" hidden="1" customWidth="1"/>
    <col min="8" max="8" width="40.7109375" style="1029" customWidth="1"/>
    <col min="9" max="11" width="42.42578125" style="1029" customWidth="1"/>
    <col min="12" max="12" width="93" style="1029" customWidth="1"/>
    <col min="13" max="21" width="10" style="1029" customWidth="1"/>
    <col min="22" max="22" width="10.5703125" style="1029" hidden="1"/>
  </cols>
  <sheetData>
    <row r="1" spans="3:22" ht="15" hidden="1" customHeight="1">
      <c r="H1" s="555">
        <v>4</v>
      </c>
      <c r="I1"/>
      <c r="J1"/>
      <c r="K1"/>
      <c r="V1" s="555" t="s">
        <v>14</v>
      </c>
    </row>
    <row r="2" spans="3:22" ht="22.5" hidden="1" customHeight="1">
      <c r="C2" s="731" t="s">
        <v>103</v>
      </c>
      <c r="D2" s="55"/>
      <c r="E2" s="123"/>
      <c r="F2" s="583" t="str">
        <f>IF(TEMPLATE_SPHERE="HEAT","Гкал/час","тыс. куб. м/сутки")</f>
        <v>тыс. куб. м/сутки</v>
      </c>
      <c r="G2" s="385"/>
      <c r="H2" s="385"/>
      <c r="I2" s="385"/>
      <c r="J2" s="385"/>
      <c r="K2" s="385"/>
      <c r="L2" s="795"/>
      <c r="V2" s="538">
        <v>0</v>
      </c>
    </row>
    <row r="3" spans="3:22" ht="15" hidden="1" customHeight="1">
      <c r="I3"/>
      <c r="J3"/>
      <c r="K3"/>
      <c r="V3" s="555">
        <v>0</v>
      </c>
    </row>
    <row r="4" spans="3:22" ht="15.75" customHeight="1">
      <c r="I4"/>
      <c r="J4"/>
      <c r="K4"/>
      <c r="V4" s="538">
        <v>15</v>
      </c>
    </row>
    <row r="5" spans="3:22" ht="39.75" customHeight="1">
      <c r="D5" s="117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1178"/>
      <c r="F5" s="1178"/>
      <c r="G5" s="1178"/>
      <c r="H5" s="1178"/>
      <c r="I5" s="125"/>
      <c r="J5" s="125"/>
      <c r="K5" s="125"/>
      <c r="V5" s="538">
        <v>38</v>
      </c>
    </row>
    <row r="6" spans="3:22" ht="15.75" customHeight="1">
      <c r="D6" s="1127" t="str">
        <f>IF(org=0,"Не определено",org)</f>
        <v>АО "НИЖЕГОРОДСКИЙ ВОДОКАНАЛ"</v>
      </c>
      <c r="E6" s="1127"/>
      <c r="F6" s="1127"/>
      <c r="G6" s="1127"/>
      <c r="H6" s="1127"/>
      <c r="I6" s="77"/>
      <c r="J6" s="77"/>
      <c r="K6" s="77"/>
      <c r="V6" s="538">
        <v>15</v>
      </c>
    </row>
    <row r="7" spans="3:22" ht="15.75" customHeight="1">
      <c r="H7" s="629"/>
      <c r="I7" t="s">
        <v>22</v>
      </c>
      <c r="J7" t="s">
        <v>22</v>
      </c>
      <c r="K7" t="s">
        <v>22</v>
      </c>
      <c r="V7" s="538">
        <v>15</v>
      </c>
    </row>
    <row r="8" spans="3:22" ht="1.1499999999999999" customHeight="1">
      <c r="H8" s="555" t="s">
        <v>122</v>
      </c>
      <c r="I8" t="s">
        <v>130</v>
      </c>
      <c r="J8" t="s">
        <v>132</v>
      </c>
      <c r="K8" t="s">
        <v>127</v>
      </c>
      <c r="V8" s="538">
        <v>1</v>
      </c>
    </row>
    <row r="9" spans="3:22" ht="15.75" customHeight="1">
      <c r="D9" s="897"/>
      <c r="E9" s="1275" t="s">
        <v>110</v>
      </c>
      <c r="F9" s="1276"/>
      <c r="G9" s="900" t="str">
        <f>IF(G8="","",INDEX(DIFFERENTIATION_UNMERGE_VD,MATCH(G8,DIFFERENTIATION_ID_DIFF,0)))</f>
        <v/>
      </c>
      <c r="H9" s="900" t="str">
        <f>IF(H8="","",INDEX(DIFFERENTIATION_UNMERGE_VD,MATCH(H8,DIFFERENTIATION_ID_DIFF,0)))</f>
        <v>Холодное водоснабжение. Питьевая вода</v>
      </c>
      <c r="I9" s="381" t="str">
        <f>IF(I8="","",INDEX(DIFFERENTIATION_UNMERGE_VD,MATCH(I8,DIFFERENTIATION_ID_DIFF,0)))</f>
        <v>Холодное водоснабжение. Техническая вода</v>
      </c>
      <c r="J9" s="381" t="str">
        <f>IF(J8="","",INDEX(DIFFERENTIATION_UNMERGE_VD,MATCH(J8,DIFFERENTIATION_ID_DIFF,0)))</f>
        <v>Подключение (технологическое присоединение) к централизованной системе водоснабжения</v>
      </c>
      <c r="K9" s="381" t="str">
        <f>IF(K8="","",INDEX(DIFFERENTIATION_UNMERGE_VD,MATCH(K8,DIFFERENTIATION_ID_DIFF,0)))</f>
        <v>Холодное водоснабжение. Питьевая вода</v>
      </c>
      <c r="L9" s="1066" t="s">
        <v>312</v>
      </c>
      <c r="V9" s="538">
        <v>15</v>
      </c>
    </row>
    <row r="10" spans="3:22" ht="15.75" customHeight="1">
      <c r="D10" s="897"/>
      <c r="E10" s="1275" t="s">
        <v>575</v>
      </c>
      <c r="F10" s="1276"/>
      <c r="G10" s="900" t="str">
        <f>IF(G8="","",INDEX(DIFFERENTIATION_UNMERGE_AREA,MATCH(G8,DIFFERENTIATION_ID_DIFF,0)))</f>
        <v/>
      </c>
      <c r="H10" s="900" t="str">
        <f>IF(H8="","",INDEX(DIFFERENTIATION_UNMERGE_AREA,MATCH(H8,DIFFERENTIATION_ID_DIFF,0)))</f>
        <v>Территория 1</v>
      </c>
      <c r="I10" s="381" t="str">
        <f>IF(I8="","",INDEX(DIFFERENTIATION_UNMERGE_AREA,MATCH(I8,DIFFERENTIATION_ID_DIFF,0)))</f>
        <v>Территория 1</v>
      </c>
      <c r="J10" s="381" t="str">
        <f>IF(J8="","",INDEX(DIFFERENTIATION_UNMERGE_AREA,MATCH(J8,DIFFERENTIATION_ID_DIFF,0)))</f>
        <v>без дифференциации</v>
      </c>
      <c r="K10" s="381" t="str">
        <f>IF(K8="","",INDEX(DIFFERENTIATION_UNMERGE_AREA,MATCH(K8,DIFFERENTIATION_ID_DIFF,0)))</f>
        <v>Территория 2</v>
      </c>
      <c r="L10" s="1066"/>
      <c r="V10" s="538">
        <v>15</v>
      </c>
    </row>
    <row r="11" spans="3:22" ht="15.75" customHeight="1">
      <c r="D11" s="897"/>
      <c r="E11" s="1275" t="s">
        <v>576</v>
      </c>
      <c r="F11" s="1276"/>
      <c r="G11" s="900" t="str">
        <f>IF(G8="","",INDEX(DIFFERENTIATION_UNMERGE_SYSTEM,MATCH(G8,DIFFERENTIATION_ID_DIFF,0)))</f>
        <v/>
      </c>
      <c r="H11" s="900" t="str">
        <f>IF(H8="","",INDEX(DIFFERENTIATION_UNMERGE_SYSTEM,MATCH(H8,DIFFERENTIATION_ID_DIFF,0)))</f>
        <v>Централизованная система водоснабжения города Нижнего Новгорода (1)</v>
      </c>
      <c r="I11" s="381" t="str">
        <f>IF(I8="","",INDEX(DIFFERENTIATION_UNMERGE_SYSTEM,MATCH(I8,DIFFERENTIATION_ID_DIFF,0)))</f>
        <v>Централизованная система водоснабжения города Нижнего Новгорода (2)</v>
      </c>
      <c r="J11" s="381" t="str">
        <f>IF(J8="","",INDEX(DIFFERENTIATION_UNMERGE_SYSTEM,MATCH(J8,DIFFERENTIATION_ID_DIFF,0)))</f>
        <v>без дифференциации</v>
      </c>
      <c r="K11" s="381" t="str">
        <f>IF(K8="","",INDEX(DIFFERENTIATION_UNMERGE_SYSTEM,MATCH(K8,DIFFERENTIATION_ID_DIFF,0)))</f>
        <v>Централизованная система водоснабжения Кстовского муниципального района</v>
      </c>
      <c r="L11" s="1066"/>
      <c r="V11" s="538">
        <v>15</v>
      </c>
    </row>
    <row r="12" spans="3:22" ht="15.75" customHeight="1">
      <c r="D12" s="1277" t="s">
        <v>311</v>
      </c>
      <c r="E12" s="1278"/>
      <c r="F12" s="1278"/>
      <c r="G12" s="898"/>
      <c r="H12" s="898"/>
      <c r="I12" s="380"/>
      <c r="J12" s="380"/>
      <c r="K12" s="380"/>
      <c r="L12" s="1066"/>
      <c r="V12" s="538">
        <v>15</v>
      </c>
    </row>
    <row r="13" spans="3:22" ht="35.65" customHeight="1">
      <c r="D13" s="583" t="s">
        <v>87</v>
      </c>
      <c r="E13" s="583" t="s">
        <v>313</v>
      </c>
      <c r="F13" s="583" t="s">
        <v>577</v>
      </c>
      <c r="G13" s="543" t="s">
        <v>314</v>
      </c>
      <c r="H13" s="543" t="s">
        <v>314</v>
      </c>
      <c r="I13" s="5" t="s">
        <v>314</v>
      </c>
      <c r="J13" s="5" t="s">
        <v>314</v>
      </c>
      <c r="K13" s="5" t="s">
        <v>314</v>
      </c>
      <c r="L13" s="1066"/>
      <c r="V13" s="538">
        <v>34</v>
      </c>
    </row>
    <row r="14" spans="3:22" ht="15" hidden="1" customHeight="1">
      <c r="D14" s="382" t="s">
        <v>114</v>
      </c>
      <c r="E14" s="382" t="s">
        <v>102</v>
      </c>
      <c r="F14" s="382" t="s">
        <v>89</v>
      </c>
      <c r="G14" s="731" t="str">
        <f>G1&amp;".1"</f>
        <v>.1</v>
      </c>
      <c r="H14" s="731" t="str">
        <f>H1&amp;".1"</f>
        <v>4.1</v>
      </c>
      <c r="I14" s="181" t="str">
        <f>I1&amp;".1"</f>
        <v>.1</v>
      </c>
      <c r="J14" s="181" t="str">
        <f>J1&amp;".1"</f>
        <v>.1</v>
      </c>
      <c r="K14" s="181" t="str">
        <f>K1&amp;".1"</f>
        <v>.1</v>
      </c>
      <c r="L14" s="795"/>
      <c r="V14" s="538">
        <v>0</v>
      </c>
    </row>
    <row r="15" spans="3:22" ht="15.75" customHeight="1">
      <c r="D15" s="583">
        <v>1</v>
      </c>
      <c r="E15" s="605" t="str">
        <f>TP_P_A</f>
        <v xml:space="preserve">Количество поданных заявлений </v>
      </c>
      <c r="F15" s="583" t="s">
        <v>1292</v>
      </c>
      <c r="G15" s="388"/>
      <c r="H15" s="388"/>
      <c r="I15" s="388"/>
      <c r="J15" s="388"/>
      <c r="K15" s="388"/>
      <c r="L15" s="831"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V15" s="538">
        <v>15</v>
      </c>
    </row>
    <row r="16" spans="3:22" ht="15.75" customHeight="1">
      <c r="D16" s="583">
        <v>2</v>
      </c>
      <c r="E16" s="605" t="str">
        <f>TP_P_B</f>
        <v xml:space="preserve">Количество исполненных заявлений </v>
      </c>
      <c r="F16" s="583" t="s">
        <v>1292</v>
      </c>
      <c r="G16" s="388"/>
      <c r="H16" s="388"/>
      <c r="I16" s="388"/>
      <c r="J16" s="388"/>
      <c r="K16" s="388"/>
      <c r="L16" s="831"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V16" s="538">
        <v>15</v>
      </c>
    </row>
    <row r="17" spans="1:22" ht="77.650000000000006" customHeight="1">
      <c r="D17" s="583">
        <v>3</v>
      </c>
      <c r="E17" s="605"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83" t="s">
        <v>1292</v>
      </c>
      <c r="G17" s="388"/>
      <c r="H17" s="388"/>
      <c r="I17" s="388"/>
      <c r="J17" s="388"/>
      <c r="K17" s="388"/>
      <c r="L17" s="831"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V17" s="538">
        <v>74</v>
      </c>
    </row>
    <row r="18" spans="1:22" ht="54.75" customHeight="1">
      <c r="D18" s="583">
        <v>4</v>
      </c>
      <c r="E18" s="605"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83" t="s">
        <v>317</v>
      </c>
      <c r="G18" s="389"/>
      <c r="H18" s="389"/>
      <c r="I18" s="389"/>
      <c r="J18" s="389"/>
      <c r="K18" s="389"/>
      <c r="L18" s="60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V18" s="538">
        <v>52</v>
      </c>
    </row>
    <row r="19" spans="1:22" ht="60" customHeight="1">
      <c r="D19" s="583">
        <v>5</v>
      </c>
      <c r="E19" s="605"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83" t="str">
        <f>IF(TEMPLATE_SPHERE="HEAT","Гкал/час","тыс. куб. м/сутки")</f>
        <v>тыс. куб. м/сутки</v>
      </c>
      <c r="G19" s="390">
        <f>SUM(G20:G22)</f>
        <v>0</v>
      </c>
      <c r="H19" s="390">
        <f>SUM(H20:H22)</f>
        <v>0</v>
      </c>
      <c r="I19" s="390">
        <f>SUM(I20:I22)</f>
        <v>0</v>
      </c>
      <c r="J19" s="390">
        <f>SUM(J20:J22)</f>
        <v>0</v>
      </c>
      <c r="K19" s="390">
        <f>SUM(K20:K22)</f>
        <v>0</v>
      </c>
      <c r="L19" s="831"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V19" s="538">
        <v>57</v>
      </c>
    </row>
    <row r="20" spans="1:22" ht="15" hidden="1" customHeight="1">
      <c r="D20" s="538" t="s">
        <v>1293</v>
      </c>
      <c r="I20"/>
      <c r="J20"/>
      <c r="K20"/>
      <c r="L20" s="903"/>
      <c r="V20" s="538">
        <v>0</v>
      </c>
    </row>
    <row r="21" spans="1:22" ht="29.25" customHeight="1">
      <c r="D21" s="55" t="s">
        <v>324</v>
      </c>
      <c r="E21" s="14"/>
      <c r="F21" s="583" t="str">
        <f>IF(TEMPLATE_SPHERE="HEAT","Гкал/час","тыс. куб. м/сутки")</f>
        <v>тыс. куб. м/сутки</v>
      </c>
      <c r="G21" s="385"/>
      <c r="H21" s="385"/>
      <c r="I21" s="385"/>
      <c r="J21" s="385"/>
      <c r="K21" s="385"/>
      <c r="L21" s="1121"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V21" s="538">
        <v>28</v>
      </c>
    </row>
    <row r="22" spans="1:22" ht="15.75" customHeight="1">
      <c r="D22" s="760"/>
      <c r="E22" s="44" t="s">
        <v>1294</v>
      </c>
      <c r="F22" s="761"/>
      <c r="G22" s="761"/>
      <c r="H22" s="761"/>
      <c r="I22" s="206"/>
      <c r="J22" s="206"/>
      <c r="K22" s="206"/>
      <c r="L22" s="1123"/>
      <c r="V22" s="538">
        <v>15</v>
      </c>
    </row>
    <row r="23" spans="1:22" ht="22.5" hidden="1" customHeight="1">
      <c r="A23" s="536" t="s">
        <v>81</v>
      </c>
      <c r="B23" s="538">
        <v>0</v>
      </c>
      <c r="C23" s="731">
        <v>4</v>
      </c>
      <c r="D23" s="538">
        <v>6</v>
      </c>
      <c r="E23" s="538">
        <v>36</v>
      </c>
      <c r="F23" s="538">
        <v>9</v>
      </c>
      <c r="G23" s="538">
        <v>0</v>
      </c>
      <c r="H23" s="538">
        <v>40</v>
      </c>
      <c r="I23" s="3">
        <v>0</v>
      </c>
      <c r="J23" s="3">
        <v>0</v>
      </c>
      <c r="K23" s="3">
        <v>0</v>
      </c>
      <c r="L23" s="555">
        <v>93</v>
      </c>
      <c r="M23" s="538">
        <v>10</v>
      </c>
      <c r="N23" s="538">
        <v>10</v>
      </c>
      <c r="O23" s="538">
        <v>10</v>
      </c>
      <c r="P23" s="538">
        <v>10</v>
      </c>
      <c r="Q23" s="538">
        <v>10</v>
      </c>
      <c r="R23" s="538">
        <v>10</v>
      </c>
      <c r="S23" s="538">
        <v>10</v>
      </c>
      <c r="T23" s="538">
        <v>10</v>
      </c>
      <c r="U23" s="902">
        <v>10</v>
      </c>
      <c r="V23" s="538">
        <v>23</v>
      </c>
    </row>
  </sheetData>
  <sheetProtection formatColumns="0" formatRows="0" insertRows="0" deleteColumns="0" deleteRows="0" sort="0" autoFilter="0"/>
  <mergeCells count="8">
    <mergeCell ref="L21:L22"/>
    <mergeCell ref="L9:L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K2 G21:K21">
      <formula1>-9.99999999999999E+23</formula1>
      <formula2>9.99999999999999E+23</formula2>
    </dataValidation>
    <dataValidation type="whole" allowBlank="1" showErrorMessage="1" errorTitle="Ошибка" error="Допускается ввод только неотрицательных целых чисел!" sqref="G15:K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K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2" width="9.140625" style="1029" hidden="1" customWidth="1"/>
    <col min="3" max="3" width="3" style="1029" customWidth="1"/>
    <col min="4" max="4" width="6" style="1029" customWidth="1"/>
    <col min="5" max="6" width="64" style="1029" customWidth="1"/>
    <col min="7" max="7" width="140" style="1029" customWidth="1"/>
    <col min="8" max="16" width="10" style="1029" customWidth="1"/>
    <col min="17" max="17" width="10.5703125" style="1029" hidden="1"/>
  </cols>
  <sheetData>
    <row r="1" spans="3:17" ht="22.5" hidden="1" customHeight="1">
      <c r="Q1" s="538" t="s">
        <v>14</v>
      </c>
    </row>
    <row r="2" spans="3:17" ht="14.25" hidden="1" customHeight="1">
      <c r="Q2" s="538">
        <v>0</v>
      </c>
    </row>
    <row r="3" spans="3:17" ht="14.25" hidden="1" customHeight="1">
      <c r="Q3" s="538">
        <v>0</v>
      </c>
    </row>
    <row r="4" spans="3:17" ht="3" customHeight="1">
      <c r="C4" s="756"/>
      <c r="D4" s="556"/>
      <c r="E4" s="556"/>
      <c r="F4" s="813"/>
      <c r="G4" s="813"/>
      <c r="Q4" s="538">
        <v>3</v>
      </c>
    </row>
    <row r="5" spans="3:17" ht="29.25" customHeight="1">
      <c r="C5" s="756"/>
      <c r="D5" s="110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110"/>
      <c r="F5" s="1110"/>
      <c r="G5" s="1111"/>
      <c r="Q5" s="538">
        <v>28</v>
      </c>
    </row>
    <row r="6" spans="3:17" ht="18.75" customHeight="1">
      <c r="C6" s="756"/>
      <c r="D6" s="1159" t="str">
        <f>IF(org=0,"Не определено",org)</f>
        <v>АО "НИЖЕГОРОДСКИЙ ВОДОКАНАЛ"</v>
      </c>
      <c r="E6" s="1160"/>
      <c r="F6" s="1160"/>
      <c r="G6" s="1161"/>
      <c r="Q6" s="538">
        <v>18</v>
      </c>
    </row>
    <row r="7" spans="3:17" ht="14.65" customHeight="1">
      <c r="C7" s="756"/>
      <c r="D7" s="556"/>
      <c r="E7" s="551"/>
      <c r="F7" s="629"/>
      <c r="G7" s="814"/>
      <c r="Q7" s="538">
        <v>14</v>
      </c>
    </row>
    <row r="8" spans="3:17" ht="1.1499999999999999" customHeight="1">
      <c r="C8" s="756"/>
      <c r="D8" s="556"/>
      <c r="E8" s="551"/>
      <c r="F8" s="629"/>
      <c r="G8" s="814"/>
      <c r="Q8" s="538">
        <v>1</v>
      </c>
    </row>
    <row r="9" spans="3:17" ht="14.65" customHeight="1">
      <c r="C9" s="756"/>
      <c r="D9" s="1154" t="s">
        <v>311</v>
      </c>
      <c r="E9" s="1154"/>
      <c r="F9" s="1154"/>
      <c r="G9" s="1295" t="s">
        <v>312</v>
      </c>
      <c r="Q9" s="538">
        <v>14</v>
      </c>
    </row>
    <row r="10" spans="3:17" ht="24" customHeight="1">
      <c r="C10" s="756"/>
      <c r="D10" s="632" t="s">
        <v>87</v>
      </c>
      <c r="E10" s="602" t="s">
        <v>313</v>
      </c>
      <c r="F10" s="602" t="s">
        <v>401</v>
      </c>
      <c r="G10" s="1295"/>
      <c r="Q10" s="538">
        <v>23</v>
      </c>
    </row>
    <row r="11" spans="3:17" ht="12" hidden="1" customHeight="1">
      <c r="C11" s="756"/>
      <c r="D11" s="109"/>
      <c r="E11" s="109"/>
      <c r="F11" s="109"/>
      <c r="G11" s="109"/>
      <c r="Q11" s="538">
        <v>0</v>
      </c>
    </row>
    <row r="12" spans="3:17" ht="65.25" customHeight="1">
      <c r="C12" s="756"/>
      <c r="D12" s="91">
        <v>1</v>
      </c>
      <c r="E12" s="798"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602" t="s">
        <v>317</v>
      </c>
      <c r="G12" s="795"/>
      <c r="Q12" s="538">
        <v>62</v>
      </c>
    </row>
    <row r="13" spans="3:17" ht="24" customHeight="1">
      <c r="C13" s="756"/>
      <c r="D13" s="91" t="s">
        <v>1196</v>
      </c>
      <c r="E13" s="8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602" t="s">
        <v>317</v>
      </c>
      <c r="G13" s="795"/>
      <c r="Q13" s="538">
        <v>23</v>
      </c>
    </row>
    <row r="14" spans="3:17" ht="14.65" customHeight="1">
      <c r="C14" s="756"/>
      <c r="D14" s="91" t="s">
        <v>1232</v>
      </c>
      <c r="E14" s="816"/>
      <c r="F14" s="133"/>
      <c r="G14" s="112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538">
        <v>14</v>
      </c>
    </row>
    <row r="15" spans="3:17" ht="15.75" customHeight="1">
      <c r="C15" s="756"/>
      <c r="D15" s="760"/>
      <c r="E15" s="63" t="s">
        <v>1295</v>
      </c>
      <c r="F15" s="295"/>
      <c r="G15" s="1123"/>
      <c r="Q15" s="538">
        <v>15</v>
      </c>
    </row>
    <row r="16" spans="3:17" ht="14.65" customHeight="1">
      <c r="C16" s="756"/>
      <c r="D16" s="91" t="s">
        <v>1198</v>
      </c>
      <c r="E16" s="8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602" t="s">
        <v>317</v>
      </c>
      <c r="G16" s="817"/>
      <c r="Q16" s="538">
        <v>14</v>
      </c>
    </row>
    <row r="17" spans="1:17" ht="14.65" customHeight="1">
      <c r="C17" s="756"/>
      <c r="D17" s="91" t="s">
        <v>1240</v>
      </c>
      <c r="E17" s="816"/>
      <c r="F17" s="296"/>
      <c r="G17" s="112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538">
        <v>14</v>
      </c>
    </row>
    <row r="18" spans="1:17" ht="21.95" customHeight="1">
      <c r="C18" s="756"/>
      <c r="D18" s="760"/>
      <c r="E18" s="63" t="s">
        <v>1296</v>
      </c>
      <c r="F18" s="297"/>
      <c r="G18" s="1123"/>
      <c r="Q18" s="538">
        <v>21</v>
      </c>
    </row>
    <row r="19" spans="1:17" ht="256.5" hidden="1" customHeight="1">
      <c r="C19" s="756"/>
      <c r="D19" s="91" t="s">
        <v>1200</v>
      </c>
      <c r="E19" s="815" t="s">
        <v>1297</v>
      </c>
      <c r="F19" s="296"/>
      <c r="G19" s="817" t="s">
        <v>1298</v>
      </c>
      <c r="Q19" s="538">
        <v>0</v>
      </c>
    </row>
    <row r="20" spans="1:17" ht="14.65" customHeight="1">
      <c r="C20" s="756"/>
      <c r="D20" s="631">
        <v>2</v>
      </c>
      <c r="E20" s="815" t="s">
        <v>1299</v>
      </c>
      <c r="F20" s="602" t="s">
        <v>317</v>
      </c>
      <c r="G20" s="817"/>
      <c r="Q20" s="538">
        <v>14</v>
      </c>
    </row>
    <row r="21" spans="1:17" ht="18.75" hidden="1" customHeight="1">
      <c r="C21" s="756"/>
      <c r="D21" s="298" t="s">
        <v>657</v>
      </c>
      <c r="E21" s="818"/>
      <c r="F21" s="299"/>
      <c r="G21" s="819"/>
      <c r="Q21" s="538">
        <v>0</v>
      </c>
    </row>
    <row r="22" spans="1:17" ht="15.75" customHeight="1">
      <c r="C22" s="756"/>
      <c r="D22" s="760"/>
      <c r="E22" s="44" t="s">
        <v>333</v>
      </c>
      <c r="F22" s="297"/>
      <c r="G22" s="820"/>
      <c r="Q22" s="538">
        <v>15</v>
      </c>
    </row>
    <row r="23" spans="1:17" ht="22.5" hidden="1" customHeight="1">
      <c r="C23" s="756"/>
      <c r="D23" s="91" t="s">
        <v>102</v>
      </c>
      <c r="E23" s="798" t="s">
        <v>1300</v>
      </c>
      <c r="F23" s="602" t="s">
        <v>317</v>
      </c>
      <c r="G23" s="795"/>
      <c r="Q23" s="538">
        <v>0</v>
      </c>
    </row>
    <row r="24" spans="1:17" ht="14.25" hidden="1" customHeight="1">
      <c r="C24" s="756"/>
      <c r="D24" s="91" t="s">
        <v>729</v>
      </c>
      <c r="E24" s="815" t="s">
        <v>1301</v>
      </c>
      <c r="F24" s="602" t="s">
        <v>317</v>
      </c>
      <c r="G24" s="817"/>
      <c r="Q24" s="538">
        <v>0</v>
      </c>
    </row>
    <row r="25" spans="1:17" ht="14.25" hidden="1" customHeight="1">
      <c r="C25" s="756"/>
      <c r="D25" s="91" t="s">
        <v>732</v>
      </c>
      <c r="E25" s="816"/>
      <c r="F25" s="296"/>
      <c r="G25" s="1121" t="s">
        <v>1302</v>
      </c>
      <c r="Q25" s="538">
        <v>0</v>
      </c>
    </row>
    <row r="26" spans="1:17" ht="22.5" hidden="1" customHeight="1">
      <c r="C26" s="756"/>
      <c r="D26" s="760"/>
      <c r="E26" s="63" t="s">
        <v>1303</v>
      </c>
      <c r="F26" s="297"/>
      <c r="G26" s="1123"/>
      <c r="Q26" s="538">
        <v>0</v>
      </c>
    </row>
    <row r="27" spans="1:17" ht="3" customHeight="1">
      <c r="Q27" s="538">
        <v>3</v>
      </c>
    </row>
    <row r="28" spans="1:17" ht="14.65" customHeight="1">
      <c r="Q28" s="538">
        <v>14</v>
      </c>
    </row>
    <row r="29" spans="1:17" ht="14.65" customHeight="1">
      <c r="Q29" s="538">
        <v>14</v>
      </c>
    </row>
    <row r="30" spans="1:17" ht="14.65" customHeight="1">
      <c r="Q30" s="538">
        <v>14</v>
      </c>
    </row>
    <row r="31" spans="1:17" ht="14.65" customHeight="1">
      <c r="Q31" s="538">
        <v>14</v>
      </c>
    </row>
    <row r="32" spans="1:17" ht="22.5" hidden="1" customHeight="1">
      <c r="A32" s="300" t="s">
        <v>81</v>
      </c>
      <c r="B32" s="555">
        <v>0</v>
      </c>
      <c r="C32" s="821">
        <v>3</v>
      </c>
      <c r="D32" s="538">
        <v>6</v>
      </c>
      <c r="E32" s="538">
        <v>64</v>
      </c>
      <c r="F32" s="538">
        <v>64</v>
      </c>
      <c r="G32" s="538">
        <v>140</v>
      </c>
      <c r="H32" s="538">
        <v>10</v>
      </c>
      <c r="I32" s="582">
        <v>10</v>
      </c>
      <c r="J32" s="582">
        <v>10</v>
      </c>
      <c r="K32" s="538">
        <v>10</v>
      </c>
      <c r="L32" s="538">
        <v>10</v>
      </c>
      <c r="M32" s="538">
        <v>10</v>
      </c>
      <c r="N32" s="538">
        <v>10</v>
      </c>
      <c r="O32" s="538">
        <v>10</v>
      </c>
      <c r="P32" s="538">
        <v>10</v>
      </c>
      <c r="Q32" s="538">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2" width="9.140625" style="1029" hidden="1" customWidth="1"/>
    <col min="3" max="3" width="3" style="1029" customWidth="1"/>
    <col min="4" max="4" width="6" style="1029" customWidth="1"/>
    <col min="5" max="5" width="63" style="1029" customWidth="1"/>
    <col min="6" max="6" width="1.7109375" style="1029" hidden="1" customWidth="1"/>
    <col min="7" max="8" width="35" style="1029" customWidth="1"/>
    <col min="9" max="9" width="91" style="1029" customWidth="1"/>
    <col min="10" max="10" width="68" style="1029" customWidth="1"/>
    <col min="11" max="12" width="10" style="1029" customWidth="1"/>
    <col min="13" max="13" width="10.5703125" style="1029" hidden="1"/>
  </cols>
  <sheetData>
    <row r="1" spans="3:13" ht="22.5" hidden="1" customHeight="1">
      <c r="M1" s="538" t="s">
        <v>14</v>
      </c>
    </row>
    <row r="2" spans="3:13" ht="18.75" hidden="1" customHeight="1">
      <c r="C2" s="374" t="s">
        <v>103</v>
      </c>
      <c r="D2" s="91"/>
      <c r="E2" s="557"/>
      <c r="F2" s="602"/>
      <c r="G2" s="602" t="s">
        <v>317</v>
      </c>
      <c r="H2" s="133"/>
      <c r="M2" s="538">
        <v>0</v>
      </c>
    </row>
    <row r="3" spans="3:13" ht="14.25" hidden="1" customHeight="1">
      <c r="M3" s="538">
        <v>0</v>
      </c>
    </row>
    <row r="4" spans="3:13" ht="18.75" hidden="1" customHeight="1">
      <c r="C4" s="374" t="s">
        <v>103</v>
      </c>
      <c r="D4" s="91"/>
      <c r="E4" s="815" t="s">
        <v>1304</v>
      </c>
      <c r="F4" s="602"/>
      <c r="G4" s="797"/>
      <c r="H4" s="602" t="s">
        <v>317</v>
      </c>
      <c r="M4" s="538">
        <v>0</v>
      </c>
    </row>
    <row r="5" spans="3:13" ht="14.25" hidden="1" customHeight="1">
      <c r="M5" s="538">
        <v>0</v>
      </c>
    </row>
    <row r="6" spans="3:13" ht="18.75" hidden="1" customHeight="1">
      <c r="C6" s="374" t="s">
        <v>103</v>
      </c>
      <c r="D6" s="91"/>
      <c r="E6" s="892" t="s">
        <v>1305</v>
      </c>
      <c r="F6" s="602"/>
      <c r="G6" s="797"/>
      <c r="H6" s="602" t="s">
        <v>317</v>
      </c>
      <c r="M6" s="538">
        <v>0</v>
      </c>
    </row>
    <row r="7" spans="3:13" ht="14.25" hidden="1" customHeight="1">
      <c r="M7" s="538">
        <v>0</v>
      </c>
    </row>
    <row r="8" spans="3:13" ht="18.75" hidden="1" customHeight="1">
      <c r="C8" s="374" t="s">
        <v>103</v>
      </c>
      <c r="D8" s="91"/>
      <c r="E8" s="892" t="s">
        <v>1306</v>
      </c>
      <c r="F8" s="602"/>
      <c r="G8" s="797"/>
      <c r="H8" s="602" t="s">
        <v>317</v>
      </c>
      <c r="M8" s="538">
        <v>0</v>
      </c>
    </row>
    <row r="9" spans="3:13" ht="14.25" hidden="1" customHeight="1">
      <c r="M9" s="538">
        <v>0</v>
      </c>
    </row>
    <row r="10" spans="3:13" ht="18.75" hidden="1" customHeight="1">
      <c r="C10" s="374" t="s">
        <v>103</v>
      </c>
      <c r="D10" s="91"/>
      <c r="E10" s="892" t="s">
        <v>1307</v>
      </c>
      <c r="F10" s="602"/>
      <c r="G10" s="107"/>
      <c r="H10" s="602" t="s">
        <v>317</v>
      </c>
      <c r="L10" s="582" t="s">
        <v>1308</v>
      </c>
      <c r="M10" s="538">
        <v>0</v>
      </c>
    </row>
    <row r="11" spans="3:13" ht="14.25" hidden="1" customHeight="1">
      <c r="M11" s="538">
        <v>0</v>
      </c>
    </row>
    <row r="12" spans="3:13" ht="14.25" hidden="1" customHeight="1">
      <c r="M12" s="538">
        <v>0</v>
      </c>
    </row>
    <row r="13" spans="3:13" ht="14.65" customHeight="1">
      <c r="C13" s="756"/>
      <c r="D13" s="556"/>
      <c r="E13" s="556"/>
      <c r="F13" s="556"/>
      <c r="G13" s="556"/>
      <c r="H13" s="813"/>
      <c r="I13" s="813"/>
      <c r="M13" s="538">
        <v>14</v>
      </c>
    </row>
    <row r="14" spans="3:13" ht="29.25" customHeight="1">
      <c r="C14" s="756"/>
      <c r="D14" s="110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1110"/>
      <c r="F14" s="1110"/>
      <c r="G14" s="1110"/>
      <c r="H14" s="1111"/>
      <c r="M14" s="538">
        <v>28</v>
      </c>
    </row>
    <row r="15" spans="3:13" ht="14.65" customHeight="1">
      <c r="C15" s="756"/>
      <c r="D15" s="1159" t="str">
        <f>IF(org=0,"Не определено",org)</f>
        <v>АО "НИЖЕГОРОДСКИЙ ВОДОКАНАЛ"</v>
      </c>
      <c r="E15" s="1160"/>
      <c r="F15" s="1160"/>
      <c r="G15" s="1160"/>
      <c r="H15" s="1161"/>
      <c r="M15" s="538">
        <v>14</v>
      </c>
    </row>
    <row r="16" spans="3:13" ht="14.65" customHeight="1">
      <c r="C16" s="756"/>
      <c r="D16" s="556"/>
      <c r="E16" s="551"/>
      <c r="F16" s="551"/>
      <c r="G16" s="551"/>
      <c r="H16" s="629"/>
      <c r="I16" s="814"/>
      <c r="M16" s="538">
        <v>14</v>
      </c>
    </row>
    <row r="17" spans="1:13" ht="14.25" hidden="1" customHeight="1">
      <c r="C17" s="756"/>
      <c r="D17" s="556"/>
      <c r="E17" s="551"/>
      <c r="F17" s="551"/>
      <c r="G17" s="551"/>
      <c r="H17" s="629"/>
      <c r="I17" s="814"/>
      <c r="M17" s="538">
        <v>0</v>
      </c>
    </row>
    <row r="18" spans="1:13" ht="21.95" customHeight="1">
      <c r="C18" s="756"/>
      <c r="D18" s="1154" t="s">
        <v>311</v>
      </c>
      <c r="E18" s="1154"/>
      <c r="F18" s="1154"/>
      <c r="G18" s="1154"/>
      <c r="H18" s="1154"/>
      <c r="I18" s="1295" t="s">
        <v>312</v>
      </c>
      <c r="M18" s="538">
        <v>21</v>
      </c>
    </row>
    <row r="19" spans="1:13" ht="21.95" customHeight="1">
      <c r="C19" s="756"/>
      <c r="D19" s="632" t="s">
        <v>87</v>
      </c>
      <c r="E19" s="602" t="s">
        <v>313</v>
      </c>
      <c r="F19" s="602"/>
      <c r="G19" s="602" t="s">
        <v>314</v>
      </c>
      <c r="H19" s="602" t="s">
        <v>401</v>
      </c>
      <c r="I19" s="1295"/>
      <c r="M19" s="538">
        <v>21</v>
      </c>
    </row>
    <row r="20" spans="1:13" ht="12" hidden="1" customHeight="1">
      <c r="C20" s="756"/>
      <c r="D20" s="109"/>
      <c r="E20" s="109"/>
      <c r="F20" s="109"/>
      <c r="G20" s="109"/>
      <c r="H20" s="109"/>
      <c r="I20" s="109"/>
      <c r="M20" s="538">
        <v>0</v>
      </c>
    </row>
    <row r="21" spans="1:13" ht="14.65" customHeight="1">
      <c r="C21" s="756"/>
      <c r="D21" s="91">
        <v>1</v>
      </c>
      <c r="E21" s="1395" t="s">
        <v>1309</v>
      </c>
      <c r="F21" s="1395"/>
      <c r="G21" s="1395"/>
      <c r="H21" s="1395"/>
      <c r="I21" s="831"/>
      <c r="M21" s="538">
        <v>14</v>
      </c>
    </row>
    <row r="22" spans="1:13" ht="21" customHeight="1">
      <c r="C22" s="756"/>
      <c r="D22" s="91" t="s">
        <v>1196</v>
      </c>
      <c r="E22" s="815" t="s">
        <v>1310</v>
      </c>
      <c r="F22" s="602"/>
      <c r="G22" s="375"/>
      <c r="H22" s="602" t="s">
        <v>317</v>
      </c>
      <c r="I22" s="795" t="s">
        <v>1311</v>
      </c>
      <c r="M22" s="538">
        <v>20</v>
      </c>
    </row>
    <row r="23" spans="1:13" ht="60" customHeight="1">
      <c r="C23" s="756"/>
      <c r="D23" s="91" t="s">
        <v>1198</v>
      </c>
      <c r="E23" s="815" t="s">
        <v>1312</v>
      </c>
      <c r="F23" s="602"/>
      <c r="G23" s="797"/>
      <c r="H23" s="133"/>
      <c r="I23" s="605" t="s">
        <v>1313</v>
      </c>
      <c r="M23" s="538">
        <v>57</v>
      </c>
    </row>
    <row r="24" spans="1:13" ht="14.65" customHeight="1">
      <c r="B24" s="555">
        <v>3</v>
      </c>
      <c r="C24" s="756"/>
      <c r="D24" s="91">
        <v>2</v>
      </c>
      <c r="E24" s="79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602"/>
      <c r="G24" s="602" t="s">
        <v>317</v>
      </c>
      <c r="H24" s="133"/>
      <c r="I24" s="619" t="s">
        <v>652</v>
      </c>
      <c r="M24" s="538">
        <v>14</v>
      </c>
    </row>
    <row r="25" spans="1:13" ht="48.2" customHeight="1">
      <c r="C25" s="756"/>
      <c r="D25" s="91">
        <v>3</v>
      </c>
      <c r="E25" s="139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395"/>
      <c r="G25" s="1395"/>
      <c r="H25" s="1395"/>
      <c r="I25" s="831"/>
      <c r="M25" s="538">
        <v>46</v>
      </c>
    </row>
    <row r="26" spans="1:13" ht="14.65" customHeight="1">
      <c r="C26" s="756"/>
      <c r="D26" s="91" t="s">
        <v>335</v>
      </c>
      <c r="E26" s="557"/>
      <c r="F26" s="602"/>
      <c r="G26" s="602" t="s">
        <v>317</v>
      </c>
      <c r="H26" s="133"/>
      <c r="I26" s="1121" t="s">
        <v>1314</v>
      </c>
      <c r="M26" s="538">
        <v>14</v>
      </c>
    </row>
    <row r="27" spans="1:13" ht="15.75" customHeight="1">
      <c r="A27" s="202" t="s">
        <v>114</v>
      </c>
      <c r="C27" s="756"/>
      <c r="D27" s="760"/>
      <c r="E27" s="44" t="s">
        <v>333</v>
      </c>
      <c r="F27" s="63"/>
      <c r="G27" s="63"/>
      <c r="H27" s="295"/>
      <c r="I27" s="1123"/>
      <c r="M27" s="538">
        <v>15</v>
      </c>
    </row>
    <row r="28" spans="1:13" ht="39.75" customHeight="1">
      <c r="B28" s="555">
        <v>3</v>
      </c>
      <c r="C28" s="756"/>
      <c r="D28" s="91">
        <v>4</v>
      </c>
      <c r="E28" s="139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1395"/>
      <c r="G28" s="1395"/>
      <c r="H28" s="1395"/>
      <c r="I28" s="831"/>
      <c r="M28" s="538">
        <v>38</v>
      </c>
    </row>
    <row r="29" spans="1:13" ht="21" customHeight="1">
      <c r="C29" s="756"/>
      <c r="D29" s="91" t="s">
        <v>774</v>
      </c>
      <c r="E29" s="815" t="s">
        <v>1304</v>
      </c>
      <c r="F29" s="602"/>
      <c r="G29" s="797"/>
      <c r="H29" s="602" t="s">
        <v>317</v>
      </c>
      <c r="I29" s="1121" t="s">
        <v>1315</v>
      </c>
      <c r="M29" s="538">
        <v>20</v>
      </c>
    </row>
    <row r="30" spans="1:13" ht="15.75" customHeight="1">
      <c r="A30" s="202" t="s">
        <v>102</v>
      </c>
      <c r="C30" s="756"/>
      <c r="D30" s="760"/>
      <c r="E30" s="44" t="s">
        <v>333</v>
      </c>
      <c r="F30" s="63"/>
      <c r="G30" s="63"/>
      <c r="H30" s="295"/>
      <c r="I30" s="1123"/>
      <c r="M30" s="538">
        <v>15</v>
      </c>
    </row>
    <row r="31" spans="1:13" ht="31.5" customHeight="1">
      <c r="B31" s="555">
        <v>3</v>
      </c>
      <c r="C31" s="756"/>
      <c r="D31" s="91">
        <v>5</v>
      </c>
      <c r="E31" s="139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1395"/>
      <c r="G31" s="1395"/>
      <c r="H31" s="1395"/>
      <c r="I31" s="831"/>
      <c r="M31" s="538">
        <v>30</v>
      </c>
    </row>
    <row r="32" spans="1:13" ht="27.4" customHeight="1">
      <c r="C32" s="756"/>
      <c r="D32" s="91" t="s">
        <v>324</v>
      </c>
      <c r="E32" s="132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1322"/>
      <c r="G32" s="1322"/>
      <c r="H32" s="1322"/>
      <c r="I32" s="831"/>
      <c r="M32" s="538">
        <v>26</v>
      </c>
    </row>
    <row r="33" spans="1:13" ht="14.65" customHeight="1">
      <c r="C33" s="756"/>
      <c r="D33" s="91" t="s">
        <v>1316</v>
      </c>
      <c r="E33" s="892" t="s">
        <v>1305</v>
      </c>
      <c r="F33" s="602"/>
      <c r="G33" s="797"/>
      <c r="H33" s="602" t="s">
        <v>317</v>
      </c>
      <c r="I33" s="1121" t="s">
        <v>1317</v>
      </c>
      <c r="M33" s="538">
        <v>14</v>
      </c>
    </row>
    <row r="34" spans="1:13" ht="15.75" customHeight="1">
      <c r="A34" s="202" t="s">
        <v>89</v>
      </c>
      <c r="C34" s="756"/>
      <c r="D34" s="760"/>
      <c r="E34" s="63" t="s">
        <v>333</v>
      </c>
      <c r="F34" s="376"/>
      <c r="G34" s="376"/>
      <c r="H34" s="295"/>
      <c r="I34" s="1123"/>
      <c r="M34" s="538">
        <v>15</v>
      </c>
    </row>
    <row r="35" spans="1:13" ht="25.15" customHeight="1">
      <c r="C35" s="756"/>
      <c r="D35" s="91" t="s">
        <v>902</v>
      </c>
      <c r="E35" s="132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1322"/>
      <c r="G35" s="1322"/>
      <c r="H35" s="1322"/>
      <c r="I35" s="831"/>
      <c r="M35" s="538">
        <v>24</v>
      </c>
    </row>
    <row r="36" spans="1:13" ht="14.65" customHeight="1">
      <c r="C36" s="756"/>
      <c r="D36" s="91" t="s">
        <v>1318</v>
      </c>
      <c r="E36" s="892" t="s">
        <v>1306</v>
      </c>
      <c r="F36" s="602"/>
      <c r="G36" s="797"/>
      <c r="H36" s="602" t="s">
        <v>317</v>
      </c>
      <c r="I36" s="1098" t="s">
        <v>1319</v>
      </c>
      <c r="M36" s="538">
        <v>14</v>
      </c>
    </row>
    <row r="37" spans="1:13" ht="15.75" customHeight="1">
      <c r="A37" s="202" t="s">
        <v>90</v>
      </c>
      <c r="C37" s="756"/>
      <c r="D37" s="760"/>
      <c r="E37" s="63" t="s">
        <v>333</v>
      </c>
      <c r="F37" s="376"/>
      <c r="G37" s="376"/>
      <c r="H37" s="295"/>
      <c r="I37" s="1098"/>
      <c r="M37" s="538">
        <v>15</v>
      </c>
    </row>
    <row r="38" spans="1:13" ht="27.4" customHeight="1">
      <c r="C38" s="756"/>
      <c r="D38" s="91" t="s">
        <v>903</v>
      </c>
      <c r="E38" s="132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1322"/>
      <c r="G38" s="1322"/>
      <c r="H38" s="1322"/>
      <c r="I38" s="831"/>
      <c r="M38" s="538">
        <v>26</v>
      </c>
    </row>
    <row r="39" spans="1:13" ht="14.65" customHeight="1">
      <c r="C39" s="756"/>
      <c r="D39" s="91" t="s">
        <v>904</v>
      </c>
      <c r="E39" s="892" t="s">
        <v>1307</v>
      </c>
      <c r="F39" s="602"/>
      <c r="G39" s="107"/>
      <c r="H39" s="602" t="s">
        <v>317</v>
      </c>
      <c r="I39" s="1121" t="s">
        <v>1320</v>
      </c>
      <c r="L39" s="582" t="s">
        <v>1308</v>
      </c>
      <c r="M39" s="538">
        <v>14</v>
      </c>
    </row>
    <row r="40" spans="1:13" ht="15.75" customHeight="1">
      <c r="A40" s="202" t="s">
        <v>115</v>
      </c>
      <c r="C40" s="756"/>
      <c r="D40" s="760"/>
      <c r="E40" s="63" t="s">
        <v>333</v>
      </c>
      <c r="F40" s="376"/>
      <c r="G40" s="376"/>
      <c r="H40" s="295"/>
      <c r="I40" s="1123"/>
      <c r="M40" s="538">
        <v>15</v>
      </c>
    </row>
    <row r="41" spans="1:13" ht="3" customHeight="1">
      <c r="M41" s="79">
        <v>3</v>
      </c>
    </row>
    <row r="42" spans="1:13" ht="26.25" customHeight="1">
      <c r="D42" s="893" t="s">
        <v>824</v>
      </c>
      <c r="E42" s="129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1031"/>
      <c r="G42" s="1031"/>
      <c r="H42" s="1031"/>
      <c r="I42" s="1031"/>
      <c r="M42" s="538">
        <v>25</v>
      </c>
    </row>
    <row r="43" spans="1:13" ht="22.5" hidden="1" customHeight="1">
      <c r="A43" s="12" t="s">
        <v>81</v>
      </c>
      <c r="B43" s="555">
        <v>0</v>
      </c>
      <c r="C43" s="821">
        <v>3</v>
      </c>
      <c r="D43" s="538">
        <v>6</v>
      </c>
      <c r="E43" s="538">
        <v>63</v>
      </c>
      <c r="F43" s="538">
        <v>0</v>
      </c>
      <c r="G43" s="538">
        <v>35</v>
      </c>
      <c r="H43" s="538">
        <v>35</v>
      </c>
      <c r="I43" s="538">
        <v>91</v>
      </c>
      <c r="J43" s="538">
        <v>68</v>
      </c>
      <c r="K43" s="582">
        <v>10</v>
      </c>
      <c r="L43" s="582">
        <v>10</v>
      </c>
      <c r="M43" s="538">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029" hidden="1" customWidth="1"/>
    <col min="3" max="3" width="9.140625" style="1029" hidden="1" customWidth="1"/>
    <col min="4" max="4" width="3" style="1029" customWidth="1"/>
    <col min="5" max="5" width="6" style="1029" customWidth="1"/>
    <col min="6" max="6" width="46.7109375" style="1029" customWidth="1"/>
    <col min="7" max="7" width="35" style="1029" customWidth="1"/>
    <col min="8" max="8" width="3" style="1029" customWidth="1"/>
    <col min="9" max="10" width="11" style="1029" customWidth="1"/>
    <col min="11" max="12" width="35" style="1029" customWidth="1"/>
    <col min="13" max="13" width="84" style="1029" customWidth="1"/>
    <col min="14" max="33" width="10" style="1029" customWidth="1"/>
    <col min="34" max="34" width="10.5703125" style="1029" hidden="1"/>
  </cols>
  <sheetData>
    <row r="1" spans="1:34" ht="22.5" hidden="1" customHeight="1">
      <c r="N1" s="577">
        <f>IFERROR(MATCH("метод экономически обоснованных расходов (затрат)",OFFER_METHOD,0),0)</f>
        <v>0</v>
      </c>
      <c r="AH1" s="538" t="s">
        <v>14</v>
      </c>
    </row>
    <row r="2" spans="1:34" ht="18.75" hidden="1" customHeight="1">
      <c r="A2" s="79" t="s">
        <v>168</v>
      </c>
      <c r="B2" s="79" t="s">
        <v>169</v>
      </c>
      <c r="E2" s="822"/>
      <c r="F2" s="822"/>
      <c r="G2" s="1365" t="str">
        <f>INDEX(PT_DIFFERENTIATION_NTAR,MATCH(B2,PT_DIFFERENTIATION_NTAR_ID,0))</f>
        <v/>
      </c>
      <c r="H2" s="674"/>
      <c r="I2" s="301"/>
      <c r="J2" s="302"/>
      <c r="K2" s="823"/>
      <c r="L2" s="674" t="s">
        <v>317</v>
      </c>
      <c r="M2" s="824"/>
      <c r="AH2" s="538">
        <v>0</v>
      </c>
    </row>
    <row r="3" spans="1:34" ht="18.75" hidden="1" customHeight="1">
      <c r="C3" s="825" t="s">
        <v>1321</v>
      </c>
      <c r="E3" s="822"/>
      <c r="F3" s="822"/>
      <c r="G3" s="1365"/>
      <c r="H3" s="303"/>
      <c r="I3" s="49" t="s">
        <v>1322</v>
      </c>
      <c r="J3" s="63"/>
      <c r="K3" s="303"/>
      <c r="L3" s="295"/>
      <c r="M3" s="824"/>
      <c r="AH3" s="538">
        <v>0</v>
      </c>
    </row>
    <row r="4" spans="1:34" ht="14.25" hidden="1" customHeight="1">
      <c r="N4" s="577">
        <f>IFERROR(MATCH("метод экономически обоснованных расходов (затрат)",OFFER_METHOD,0),0)</f>
        <v>0</v>
      </c>
      <c r="AH4" s="538">
        <v>0</v>
      </c>
    </row>
    <row r="5" spans="1:34" ht="18.75" hidden="1" customHeight="1">
      <c r="A5" s="79" t="s">
        <v>168</v>
      </c>
      <c r="B5" s="79" t="s">
        <v>169</v>
      </c>
      <c r="E5" s="822"/>
      <c r="F5" s="822"/>
      <c r="G5" s="1365" t="str">
        <f>INDEX(PT_DIFFERENTIATION_NTAR,MATCH(B5,PT_DIFFERENTIATION_NTAR_ID,0))</f>
        <v/>
      </c>
      <c r="H5" s="674"/>
      <c r="I5" s="301"/>
      <c r="J5" s="302"/>
      <c r="K5" s="115"/>
      <c r="L5" s="674" t="s">
        <v>317</v>
      </c>
      <c r="M5" s="824"/>
      <c r="AH5" s="538">
        <v>0</v>
      </c>
    </row>
    <row r="6" spans="1:34" ht="18.75" hidden="1" customHeight="1">
      <c r="C6" s="825" t="s">
        <v>1323</v>
      </c>
      <c r="E6" s="822"/>
      <c r="F6" s="822"/>
      <c r="G6" s="1365"/>
      <c r="H6" s="303"/>
      <c r="I6" s="49" t="s">
        <v>1322</v>
      </c>
      <c r="J6" s="63"/>
      <c r="K6" s="303"/>
      <c r="L6" s="295"/>
      <c r="M6" s="824"/>
      <c r="AH6" s="538">
        <v>0</v>
      </c>
    </row>
    <row r="7" spans="1:34" ht="14.25" hidden="1" customHeight="1">
      <c r="N7" s="577">
        <f>IFERROR(MATCH("метод экономически обоснованных расходов (затрат)",OFFER_METHOD,0),0)</f>
        <v>0</v>
      </c>
      <c r="AH7" s="538">
        <v>0</v>
      </c>
    </row>
    <row r="8" spans="1:34" ht="56.25" hidden="1" customHeight="1">
      <c r="E8" s="822"/>
      <c r="F8" s="822"/>
      <c r="G8" s="822"/>
      <c r="H8" s="674"/>
      <c r="I8" s="301"/>
      <c r="J8" s="302"/>
      <c r="K8" s="823"/>
      <c r="L8" s="674" t="s">
        <v>317</v>
      </c>
      <c r="M8" s="824"/>
      <c r="AH8" s="538">
        <v>0</v>
      </c>
    </row>
    <row r="9" spans="1:34" ht="14.25" hidden="1" customHeight="1">
      <c r="AH9" s="538">
        <v>0</v>
      </c>
    </row>
    <row r="10" spans="1:34" ht="56.25" hidden="1" customHeight="1">
      <c r="E10" s="822"/>
      <c r="F10" s="822"/>
      <c r="G10" s="822"/>
      <c r="H10" s="602"/>
      <c r="I10" s="301"/>
      <c r="J10" s="302"/>
      <c r="K10" s="115"/>
      <c r="L10" s="674" t="s">
        <v>317</v>
      </c>
      <c r="M10" s="824"/>
      <c r="AH10" s="538">
        <v>0</v>
      </c>
    </row>
    <row r="11" spans="1:34" ht="14.25" hidden="1" customHeight="1">
      <c r="AH11" s="538">
        <v>0</v>
      </c>
    </row>
    <row r="12" spans="1:34" ht="14.25" hidden="1" customHeight="1">
      <c r="AH12" s="538">
        <v>0</v>
      </c>
    </row>
    <row r="13" spans="1:34" ht="6.4" customHeight="1">
      <c r="D13" s="756"/>
      <c r="E13" s="556"/>
      <c r="F13" s="556"/>
      <c r="G13" s="556"/>
      <c r="H13" s="556"/>
      <c r="I13" s="556"/>
      <c r="J13" s="556"/>
      <c r="K13" s="556"/>
      <c r="L13" s="813"/>
      <c r="M13" s="813"/>
      <c r="AH13" s="538">
        <v>6</v>
      </c>
    </row>
    <row r="14" spans="1:34" ht="14.65" customHeight="1">
      <c r="D14" s="756"/>
      <c r="E14" s="139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1399"/>
      <c r="G14" s="1399"/>
      <c r="H14" s="1399"/>
      <c r="I14" s="1399"/>
      <c r="J14" s="1399"/>
      <c r="K14" s="1399"/>
      <c r="L14" s="1399"/>
      <c r="AH14" s="538">
        <v>14</v>
      </c>
    </row>
    <row r="15" spans="1:34" ht="6.4" customHeight="1">
      <c r="D15" s="756"/>
      <c r="E15" s="556"/>
      <c r="F15" s="551"/>
      <c r="G15" s="551"/>
      <c r="H15" s="551"/>
      <c r="I15" s="551"/>
      <c r="J15" s="551"/>
      <c r="K15" s="551"/>
      <c r="L15" s="826"/>
      <c r="M15" s="814"/>
      <c r="AH15" s="538">
        <v>6</v>
      </c>
    </row>
    <row r="16" spans="1:34" ht="24" customHeight="1">
      <c r="D16" s="756"/>
      <c r="E16" s="556"/>
      <c r="F16" s="827" t="str">
        <f>"Дата подачи заявления об "&amp;IF(TITLE_DATE_PR_CHANGE="","утверждении","изменении")&amp;" тарифов"</f>
        <v>Дата подачи заявления об утверждении тарифов</v>
      </c>
      <c r="G16" s="1196" t="str">
        <f>IF(TITLE_DATE_PR_CHANGE="",IF(TITLE_DATE_PR="","",TITLE_DATE_PR),TITLE_DATE_PR_CHANGE)</f>
        <v/>
      </c>
      <c r="H16" s="1196"/>
      <c r="I16" s="1196"/>
      <c r="J16" s="1196"/>
      <c r="K16" s="1196"/>
      <c r="L16" s="1196"/>
      <c r="AH16" s="538">
        <v>23</v>
      </c>
    </row>
    <row r="17" spans="1:34" ht="24" customHeight="1">
      <c r="D17" s="756"/>
      <c r="E17" s="556"/>
      <c r="F17" s="827" t="str">
        <f>"Номер подачи заявления об "&amp;IF(TITLE_DATE_PR_CHANGE="","утверждении","изменении")&amp;" тарифов"</f>
        <v>Номер подачи заявления об утверждении тарифов</v>
      </c>
      <c r="G17" s="1187" t="str">
        <f>IF(TITLE_NUMBER_PR_CHANGE="",IF(TITLE_NUMBER_PR="","",TITLE_NUMBER_PR),TITLE_NUMBER_PR_CHANGE)</f>
        <v/>
      </c>
      <c r="H17" s="1187"/>
      <c r="I17" s="1187"/>
      <c r="J17" s="1187"/>
      <c r="K17" s="1187"/>
      <c r="L17" s="1187"/>
      <c r="AH17" s="538">
        <v>23</v>
      </c>
    </row>
    <row r="18" spans="1:34" ht="14.65" customHeight="1">
      <c r="D18" s="756"/>
      <c r="E18" s="556"/>
      <c r="F18" s="551"/>
      <c r="G18" s="551"/>
      <c r="H18" s="551"/>
      <c r="I18" s="551"/>
      <c r="J18" s="551"/>
      <c r="K18" s="551"/>
      <c r="L18" s="629"/>
      <c r="M18" s="814"/>
      <c r="AH18" s="538">
        <v>14</v>
      </c>
    </row>
    <row r="19" spans="1:34" ht="21.95" customHeight="1">
      <c r="D19" s="756"/>
      <c r="E19" s="1154" t="s">
        <v>311</v>
      </c>
      <c r="F19" s="1154"/>
      <c r="G19" s="1154"/>
      <c r="H19" s="1154"/>
      <c r="I19" s="1154"/>
      <c r="J19" s="1154"/>
      <c r="K19" s="1154"/>
      <c r="L19" s="1154"/>
      <c r="M19" s="1295" t="s">
        <v>312</v>
      </c>
      <c r="AH19" s="538">
        <v>21</v>
      </c>
    </row>
    <row r="20" spans="1:34" ht="21.95" customHeight="1">
      <c r="D20" s="756"/>
      <c r="E20" s="1206" t="s">
        <v>87</v>
      </c>
      <c r="F20" s="1167" t="s">
        <v>135</v>
      </c>
      <c r="G20" s="1167" t="s">
        <v>136</v>
      </c>
      <c r="H20" s="1292" t="s">
        <v>1324</v>
      </c>
      <c r="I20" s="1293"/>
      <c r="J20" s="1376"/>
      <c r="K20" s="1167" t="s">
        <v>314</v>
      </c>
      <c r="L20" s="1167" t="s">
        <v>401</v>
      </c>
      <c r="M20" s="1295"/>
      <c r="AH20" s="538">
        <v>21</v>
      </c>
    </row>
    <row r="21" spans="1:34" ht="21.95" customHeight="1">
      <c r="D21" s="756"/>
      <c r="E21" s="1208"/>
      <c r="F21" s="1168"/>
      <c r="G21" s="1168"/>
      <c r="H21" s="1162" t="s">
        <v>1325</v>
      </c>
      <c r="I21" s="1164"/>
      <c r="J21" s="602" t="s">
        <v>1326</v>
      </c>
      <c r="K21" s="1168"/>
      <c r="L21" s="1168"/>
      <c r="M21" s="1295"/>
      <c r="AH21" s="538">
        <v>21</v>
      </c>
    </row>
    <row r="22" spans="1:34" ht="12.75" customHeight="1">
      <c r="D22" s="756"/>
      <c r="E22" s="109"/>
      <c r="F22" s="109"/>
      <c r="G22" s="109"/>
      <c r="H22" s="1401"/>
      <c r="I22" s="1401"/>
      <c r="J22" s="109"/>
      <c r="K22" s="109"/>
      <c r="L22" s="109"/>
      <c r="M22" s="109"/>
      <c r="AH22" s="538">
        <v>12</v>
      </c>
    </row>
    <row r="23" spans="1:34" ht="19.899999999999999" customHeight="1">
      <c r="D23" s="756"/>
      <c r="E23" s="304" t="s">
        <v>114</v>
      </c>
      <c r="F23" s="1402" t="str">
        <f>"Предлагаемый метод регулирования"&amp;IF(TEMPLATE_SPHERE="HEAT"," в сфере "&amp;TEMPLATE_SPHERE_RUS,"")</f>
        <v>Предлагаемый метод регулирования</v>
      </c>
      <c r="G23" s="1402"/>
      <c r="H23" s="1395"/>
      <c r="I23" s="1395"/>
      <c r="J23" s="1395"/>
      <c r="K23" s="1402" t="s">
        <v>317</v>
      </c>
      <c r="L23" s="1395"/>
      <c r="M23" s="619"/>
      <c r="AH23" s="538">
        <v>19</v>
      </c>
    </row>
    <row r="24" spans="1:34" ht="60.75" hidden="1" customHeight="1">
      <c r="A24" s="79" t="s">
        <v>168</v>
      </c>
      <c r="B24" s="79" t="s">
        <v>169</v>
      </c>
      <c r="D24" s="1400"/>
      <c r="E24" s="1149"/>
      <c r="F24" s="140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365" t="str">
        <f>INDEX(PT_DIFFERENTIATION_NTAR,MATCH(B24,PT_DIFFERENTIATION_NTAR_ID,0))</f>
        <v/>
      </c>
      <c r="H24" s="674"/>
      <c r="I24" s="301"/>
      <c r="J24" s="302"/>
      <c r="K24" s="823"/>
      <c r="L24" s="674" t="s">
        <v>317</v>
      </c>
      <c r="M24" s="11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AH24" s="538">
        <v>0</v>
      </c>
    </row>
    <row r="25" spans="1:34" ht="18.75" hidden="1" customHeight="1">
      <c r="C25" s="825" t="s">
        <v>1321</v>
      </c>
      <c r="D25" s="1400"/>
      <c r="E25" s="1149"/>
      <c r="F25" s="1403"/>
      <c r="G25" s="1365"/>
      <c r="H25" s="303"/>
      <c r="I25" s="49" t="s">
        <v>1322</v>
      </c>
      <c r="J25" s="63"/>
      <c r="K25" s="303"/>
      <c r="L25" s="295"/>
      <c r="M25" s="1122"/>
      <c r="AH25" s="538">
        <v>0</v>
      </c>
    </row>
    <row r="26" spans="1:34" ht="0.75" hidden="1" customHeight="1">
      <c r="C26" s="825" t="s">
        <v>1327</v>
      </c>
      <c r="D26" s="1400"/>
      <c r="E26" s="1149"/>
      <c r="F26" s="1284"/>
      <c r="G26" s="305"/>
      <c r="H26" s="303"/>
      <c r="I26" s="49"/>
      <c r="J26" s="63"/>
      <c r="K26" s="303"/>
      <c r="L26" s="295"/>
      <c r="M26" s="1122"/>
      <c r="AH26" s="538">
        <v>0</v>
      </c>
    </row>
    <row r="27" spans="1:34" ht="45" hidden="1" customHeight="1">
      <c r="A27" s="79" t="s">
        <v>173</v>
      </c>
      <c r="B27" s="79" t="s">
        <v>174</v>
      </c>
      <c r="D27" s="1396"/>
      <c r="E27" s="1397"/>
      <c r="F27" s="1398" t="str">
        <f>INDEX(PT_DIFFERENTIATION_VTAR,MATCH(A27,PT_DIFFERENTIATION_VTAR_ID,0))</f>
        <v/>
      </c>
      <c r="G27" s="1365" t="str">
        <f>INDEX(PT_DIFFERENTIATION_NTAR,MATCH(B27,PT_DIFFERENTIATION_NTAR_ID,0))</f>
        <v/>
      </c>
      <c r="H27" s="674"/>
      <c r="I27" s="301"/>
      <c r="J27" s="302"/>
      <c r="K27" s="823"/>
      <c r="L27" s="674" t="s">
        <v>317</v>
      </c>
      <c r="M27" s="1122"/>
      <c r="AH27" s="538">
        <v>0</v>
      </c>
    </row>
    <row r="28" spans="1:34" ht="18.75" hidden="1" customHeight="1">
      <c r="C28" s="825" t="s">
        <v>1321</v>
      </c>
      <c r="D28" s="1396"/>
      <c r="E28" s="1397"/>
      <c r="F28" s="1398"/>
      <c r="G28" s="1365"/>
      <c r="H28" s="303"/>
      <c r="I28" s="49" t="s">
        <v>1322</v>
      </c>
      <c r="J28" s="63"/>
      <c r="K28" s="303"/>
      <c r="L28" s="295"/>
      <c r="M28" s="1122"/>
      <c r="AH28" s="538">
        <v>0</v>
      </c>
    </row>
    <row r="29" spans="1:34" ht="0.75" hidden="1" customHeight="1">
      <c r="C29" s="825" t="s">
        <v>1327</v>
      </c>
      <c r="D29" s="1396"/>
      <c r="E29" s="1149"/>
      <c r="F29" s="1284"/>
      <c r="G29" s="305"/>
      <c r="H29" s="303"/>
      <c r="I29" s="49"/>
      <c r="J29" s="63"/>
      <c r="K29" s="303"/>
      <c r="L29" s="295"/>
      <c r="M29" s="1122"/>
      <c r="AH29" s="538">
        <v>0</v>
      </c>
    </row>
    <row r="30" spans="1:34" ht="45" hidden="1" customHeight="1">
      <c r="A30" s="79" t="s">
        <v>180</v>
      </c>
      <c r="B30" s="79" t="s">
        <v>181</v>
      </c>
      <c r="D30" s="1396"/>
      <c r="E30" s="1149"/>
      <c r="F30" s="128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365" t="str">
        <f>INDEX(PT_DIFFERENTIATION_NTAR,MATCH(B30,PT_DIFFERENTIATION_NTAR_ID,0))</f>
        <v/>
      </c>
      <c r="H30" s="674"/>
      <c r="I30" s="301"/>
      <c r="J30" s="302"/>
      <c r="K30" s="823"/>
      <c r="L30" s="674" t="s">
        <v>317</v>
      </c>
      <c r="M30" s="1122"/>
      <c r="AH30" s="538">
        <v>0</v>
      </c>
    </row>
    <row r="31" spans="1:34" ht="18.75" hidden="1" customHeight="1">
      <c r="C31" s="825" t="s">
        <v>1321</v>
      </c>
      <c r="D31" s="1396"/>
      <c r="E31" s="1149"/>
      <c r="F31" s="1284"/>
      <c r="G31" s="1365"/>
      <c r="H31" s="303"/>
      <c r="I31" s="49" t="s">
        <v>1322</v>
      </c>
      <c r="J31" s="63"/>
      <c r="K31" s="303"/>
      <c r="L31" s="295"/>
      <c r="M31" s="1122"/>
      <c r="AH31" s="538">
        <v>0</v>
      </c>
    </row>
    <row r="32" spans="1:34" ht="0.75" hidden="1" customHeight="1">
      <c r="C32" s="825" t="s">
        <v>1327</v>
      </c>
      <c r="D32" s="1396"/>
      <c r="E32" s="1149"/>
      <c r="F32" s="1284"/>
      <c r="G32" s="305"/>
      <c r="H32" s="303"/>
      <c r="I32" s="49"/>
      <c r="J32" s="63"/>
      <c r="K32" s="303"/>
      <c r="L32" s="295"/>
      <c r="M32" s="1122"/>
      <c r="AH32" s="538">
        <v>0</v>
      </c>
    </row>
    <row r="33" spans="1:34" ht="45" hidden="1" customHeight="1">
      <c r="A33" s="79" t="s">
        <v>186</v>
      </c>
      <c r="B33" s="79" t="s">
        <v>187</v>
      </c>
      <c r="D33" s="1396"/>
      <c r="E33" s="1149"/>
      <c r="F33" s="128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365" t="str">
        <f>INDEX(PT_DIFFERENTIATION_NTAR,MATCH(B33,PT_DIFFERENTIATION_NTAR_ID,0))</f>
        <v/>
      </c>
      <c r="H33" s="674"/>
      <c r="I33" s="301"/>
      <c r="J33" s="302"/>
      <c r="K33" s="823"/>
      <c r="L33" s="674" t="s">
        <v>317</v>
      </c>
      <c r="M33" s="1122"/>
      <c r="AH33" s="538">
        <v>0</v>
      </c>
    </row>
    <row r="34" spans="1:34" ht="18.75" hidden="1" customHeight="1">
      <c r="C34" s="825" t="s">
        <v>1321</v>
      </c>
      <c r="D34" s="1396"/>
      <c r="E34" s="1149"/>
      <c r="F34" s="1284"/>
      <c r="G34" s="1365"/>
      <c r="H34" s="303"/>
      <c r="I34" s="49" t="s">
        <v>1322</v>
      </c>
      <c r="J34" s="63"/>
      <c r="K34" s="303"/>
      <c r="L34" s="295"/>
      <c r="M34" s="1122"/>
      <c r="AH34" s="538">
        <v>0</v>
      </c>
    </row>
    <row r="35" spans="1:34" ht="0.75" hidden="1" customHeight="1">
      <c r="C35" s="825" t="s">
        <v>1327</v>
      </c>
      <c r="D35" s="1396"/>
      <c r="E35" s="1149"/>
      <c r="F35" s="1284"/>
      <c r="G35" s="305"/>
      <c r="H35" s="303"/>
      <c r="I35" s="49"/>
      <c r="J35" s="63"/>
      <c r="K35" s="303"/>
      <c r="L35" s="295"/>
      <c r="M35" s="1122"/>
      <c r="AH35" s="538">
        <v>0</v>
      </c>
    </row>
    <row r="36" spans="1:34" ht="18.75" hidden="1" customHeight="1">
      <c r="A36" s="79" t="s">
        <v>192</v>
      </c>
      <c r="B36" s="79" t="s">
        <v>193</v>
      </c>
      <c r="D36" s="1396"/>
      <c r="E36" s="1149"/>
      <c r="F36" s="1284" t="str">
        <f>INDEX(PT_DIFFERENTIATION_VTAR,MATCH(A36,PT_DIFFERENTIATION_VTAR_ID,0))</f>
        <v>Тарифы на услуги по передаче тепловой энергии</v>
      </c>
      <c r="G36" s="1365" t="str">
        <f>INDEX(PT_DIFFERENTIATION_NTAR,MATCH(B36,PT_DIFFERENTIATION_NTAR_ID,0))</f>
        <v/>
      </c>
      <c r="H36" s="674"/>
      <c r="I36" s="301"/>
      <c r="J36" s="302"/>
      <c r="K36" s="823"/>
      <c r="L36" s="674" t="s">
        <v>317</v>
      </c>
      <c r="M36" s="1122"/>
      <c r="AH36" s="538">
        <v>0</v>
      </c>
    </row>
    <row r="37" spans="1:34" ht="18.75" hidden="1" customHeight="1">
      <c r="C37" s="825" t="s">
        <v>1321</v>
      </c>
      <c r="D37" s="1396"/>
      <c r="E37" s="1149"/>
      <c r="F37" s="1284"/>
      <c r="G37" s="1365"/>
      <c r="H37" s="303"/>
      <c r="I37" s="49" t="s">
        <v>1322</v>
      </c>
      <c r="J37" s="63"/>
      <c r="K37" s="303"/>
      <c r="L37" s="295"/>
      <c r="M37" s="1122"/>
      <c r="AH37" s="538">
        <v>0</v>
      </c>
    </row>
    <row r="38" spans="1:34" ht="0.75" hidden="1" customHeight="1">
      <c r="C38" s="825" t="s">
        <v>1327</v>
      </c>
      <c r="D38" s="1396"/>
      <c r="E38" s="1149"/>
      <c r="F38" s="1284"/>
      <c r="G38" s="305"/>
      <c r="H38" s="303"/>
      <c r="I38" s="49"/>
      <c r="J38" s="63"/>
      <c r="K38" s="303"/>
      <c r="L38" s="295"/>
      <c r="M38" s="1122"/>
      <c r="AH38" s="538">
        <v>0</v>
      </c>
    </row>
    <row r="39" spans="1:34" ht="18.75" hidden="1" customHeight="1">
      <c r="A39" s="79" t="s">
        <v>198</v>
      </c>
      <c r="B39" s="79" t="s">
        <v>199</v>
      </c>
      <c r="D39" s="1396"/>
      <c r="E39" s="1149"/>
      <c r="F39" s="1284" t="str">
        <f>INDEX(PT_DIFFERENTIATION_VTAR,MATCH(A39,PT_DIFFERENTIATION_VTAR_ID,0))</f>
        <v>Тарифы на услуги по передаче теплоносителя</v>
      </c>
      <c r="G39" s="1365" t="str">
        <f>INDEX(PT_DIFFERENTIATION_NTAR,MATCH(B39,PT_DIFFERENTIATION_NTAR_ID,0))</f>
        <v/>
      </c>
      <c r="H39" s="674"/>
      <c r="I39" s="301"/>
      <c r="J39" s="302"/>
      <c r="K39" s="823"/>
      <c r="L39" s="674" t="s">
        <v>317</v>
      </c>
      <c r="M39" s="1122"/>
      <c r="AH39" s="538">
        <v>0</v>
      </c>
    </row>
    <row r="40" spans="1:34" ht="18.75" hidden="1" customHeight="1">
      <c r="C40" s="825" t="s">
        <v>1321</v>
      </c>
      <c r="D40" s="1396"/>
      <c r="E40" s="1149"/>
      <c r="F40" s="1284"/>
      <c r="G40" s="1365"/>
      <c r="H40" s="303"/>
      <c r="I40" s="49" t="s">
        <v>1322</v>
      </c>
      <c r="J40" s="63"/>
      <c r="K40" s="303"/>
      <c r="L40" s="295"/>
      <c r="M40" s="1122"/>
      <c r="AH40" s="538">
        <v>0</v>
      </c>
    </row>
    <row r="41" spans="1:34" ht="0.75" hidden="1" customHeight="1">
      <c r="C41" s="825" t="s">
        <v>1327</v>
      </c>
      <c r="D41" s="1396"/>
      <c r="E41" s="1149"/>
      <c r="F41" s="1284"/>
      <c r="G41" s="305"/>
      <c r="H41" s="303"/>
      <c r="I41" s="49"/>
      <c r="J41" s="63"/>
      <c r="K41" s="303"/>
      <c r="L41" s="295"/>
      <c r="M41" s="1122"/>
      <c r="AH41" s="538">
        <v>0</v>
      </c>
    </row>
    <row r="42" spans="1:34" ht="18.75" hidden="1" customHeight="1">
      <c r="A42" s="79" t="s">
        <v>204</v>
      </c>
      <c r="B42" s="79" t="s">
        <v>205</v>
      </c>
      <c r="D42" s="1396"/>
      <c r="E42" s="1149"/>
      <c r="F42" s="1284" t="str">
        <f>INDEX(PT_DIFFERENTIATION_VTAR,MATCH(A42,PT_DIFFERENTIATION_VTAR_ID,0))</f>
        <v>Плата за услуги по поддержанию резервной тепловой мощности при отсутствии потребления тепловой энергии</v>
      </c>
      <c r="G42" s="1365" t="str">
        <f>INDEX(PT_DIFFERENTIATION_NTAR,MATCH(B42,PT_DIFFERENTIATION_NTAR_ID,0))</f>
        <v/>
      </c>
      <c r="H42" s="674"/>
      <c r="I42" s="301"/>
      <c r="J42" s="302"/>
      <c r="K42" s="823"/>
      <c r="L42" s="674" t="s">
        <v>317</v>
      </c>
      <c r="M42" s="1122"/>
      <c r="AH42" s="538">
        <v>0</v>
      </c>
    </row>
    <row r="43" spans="1:34" ht="18.75" hidden="1" customHeight="1">
      <c r="C43" s="825" t="s">
        <v>1321</v>
      </c>
      <c r="D43" s="1396"/>
      <c r="E43" s="1149"/>
      <c r="F43" s="1284"/>
      <c r="G43" s="1365"/>
      <c r="H43" s="303"/>
      <c r="I43" s="49" t="s">
        <v>1322</v>
      </c>
      <c r="J43" s="63"/>
      <c r="K43" s="303"/>
      <c r="L43" s="295"/>
      <c r="M43" s="1122"/>
      <c r="AH43" s="538">
        <v>0</v>
      </c>
    </row>
    <row r="44" spans="1:34" ht="0.75" hidden="1" customHeight="1">
      <c r="C44" s="825" t="s">
        <v>1327</v>
      </c>
      <c r="D44" s="1396"/>
      <c r="E44" s="1149"/>
      <c r="F44" s="1284"/>
      <c r="G44" s="305"/>
      <c r="H44" s="303"/>
      <c r="I44" s="49"/>
      <c r="J44" s="63"/>
      <c r="K44" s="303"/>
      <c r="L44" s="295"/>
      <c r="M44" s="1122"/>
      <c r="AH44" s="538">
        <v>0</v>
      </c>
    </row>
    <row r="45" spans="1:34" ht="18.75" hidden="1" customHeight="1">
      <c r="A45" s="79" t="s">
        <v>210</v>
      </c>
      <c r="B45" s="79" t="s">
        <v>211</v>
      </c>
      <c r="D45" s="1396"/>
      <c r="E45" s="1149"/>
      <c r="F45" s="1284" t="str">
        <f>INDEX(PT_DIFFERENTIATION_VTAR,MATCH(A45,PT_DIFFERENTIATION_VTAR_ID,0))</f>
        <v>Плата за подключение (технологическое присоединение) к системе теплоснабжения</v>
      </c>
      <c r="G45" s="1365" t="str">
        <f>INDEX(PT_DIFFERENTIATION_NTAR,MATCH(B45,PT_DIFFERENTIATION_NTAR_ID,0))</f>
        <v/>
      </c>
      <c r="H45" s="674"/>
      <c r="I45" s="301"/>
      <c r="J45" s="302"/>
      <c r="K45" s="823"/>
      <c r="L45" s="674" t="s">
        <v>317</v>
      </c>
      <c r="M45" s="1122"/>
      <c r="AH45" s="538">
        <v>0</v>
      </c>
    </row>
    <row r="46" spans="1:34" ht="18.75" hidden="1" customHeight="1">
      <c r="C46" s="825" t="s">
        <v>1321</v>
      </c>
      <c r="D46" s="1396"/>
      <c r="E46" s="1149"/>
      <c r="F46" s="1284"/>
      <c r="G46" s="1365"/>
      <c r="H46" s="303"/>
      <c r="I46" s="49" t="s">
        <v>1322</v>
      </c>
      <c r="J46" s="63"/>
      <c r="K46" s="303"/>
      <c r="L46" s="295"/>
      <c r="M46" s="1122"/>
      <c r="AH46" s="538">
        <v>0</v>
      </c>
    </row>
    <row r="47" spans="1:34" ht="0.75" hidden="1" customHeight="1">
      <c r="C47" s="825" t="s">
        <v>1327</v>
      </c>
      <c r="D47" s="1396"/>
      <c r="E47" s="1149"/>
      <c r="F47" s="1284"/>
      <c r="G47" s="305"/>
      <c r="H47" s="303"/>
      <c r="I47" s="49"/>
      <c r="J47" s="63"/>
      <c r="K47" s="303"/>
      <c r="L47" s="295"/>
      <c r="M47" s="1122"/>
      <c r="AH47" s="538">
        <v>0</v>
      </c>
    </row>
    <row r="48" spans="1:34" ht="18.75" hidden="1" customHeight="1">
      <c r="A48" s="79" t="s">
        <v>216</v>
      </c>
      <c r="B48" s="79" t="s">
        <v>217</v>
      </c>
      <c r="D48" s="1396"/>
      <c r="E48" s="1149"/>
      <c r="F48" s="1284" t="str">
        <f>INDEX(PT_DIFFERENTIATION_VTAR,MATCH(A48,PT_DIFFERENTIATION_VTAR_ID,0))</f>
        <v>Плата за подключение (технологическое присоединение) к системе теплоснабжения (индивидуальная)</v>
      </c>
      <c r="G48" s="1365" t="str">
        <f>INDEX(PT_DIFFERENTIATION_NTAR,MATCH(B48,PT_DIFFERENTIATION_NTAR_ID,0))</f>
        <v/>
      </c>
      <c r="H48" s="674"/>
      <c r="I48" s="301"/>
      <c r="J48" s="302"/>
      <c r="K48" s="823"/>
      <c r="L48" s="674" t="s">
        <v>317</v>
      </c>
      <c r="M48" s="1122"/>
      <c r="AH48" s="538">
        <v>0</v>
      </c>
    </row>
    <row r="49" spans="1:34" ht="18.75" hidden="1" customHeight="1">
      <c r="C49" s="825" t="s">
        <v>1321</v>
      </c>
      <c r="D49" s="1396"/>
      <c r="E49" s="1149"/>
      <c r="F49" s="1284"/>
      <c r="G49" s="1365"/>
      <c r="H49" s="303"/>
      <c r="I49" s="49" t="s">
        <v>1322</v>
      </c>
      <c r="J49" s="63"/>
      <c r="K49" s="303"/>
      <c r="L49" s="295"/>
      <c r="M49" s="1122"/>
      <c r="AH49" s="538">
        <v>0</v>
      </c>
    </row>
    <row r="50" spans="1:34" ht="0.75" hidden="1" customHeight="1">
      <c r="C50" s="825" t="s">
        <v>1327</v>
      </c>
      <c r="D50" s="1396"/>
      <c r="E50" s="1149"/>
      <c r="F50" s="1284"/>
      <c r="G50" s="305"/>
      <c r="H50" s="303"/>
      <c r="I50" s="49"/>
      <c r="J50" s="63"/>
      <c r="K50" s="303"/>
      <c r="L50" s="295"/>
      <c r="M50" s="1122"/>
      <c r="AH50" s="538">
        <v>0</v>
      </c>
    </row>
    <row r="51" spans="1:34" ht="18.75" hidden="1" customHeight="1">
      <c r="A51" s="79" t="s">
        <v>236</v>
      </c>
      <c r="B51" s="79" t="s">
        <v>237</v>
      </c>
      <c r="D51" s="1396"/>
      <c r="E51" s="1149"/>
      <c r="F51" s="1284" t="str">
        <f>INDEX(PT_DIFFERENTIATION_VTAR,MATCH(A51,PT_DIFFERENTIATION_VTAR_ID,0))</f>
        <v>Тариф на питьевую воду (питьевое водоснабжение)</v>
      </c>
      <c r="G51" s="1365" t="str">
        <f>INDEX(PT_DIFFERENTIATION_NTAR,MATCH(B51,PT_DIFFERENTIATION_NTAR_ID,0))</f>
        <v/>
      </c>
      <c r="H51" s="674"/>
      <c r="I51" s="301"/>
      <c r="J51" s="302"/>
      <c r="K51" s="823"/>
      <c r="L51" s="674" t="s">
        <v>317</v>
      </c>
      <c r="M51" s="1122"/>
      <c r="AH51" s="538">
        <v>0</v>
      </c>
    </row>
    <row r="52" spans="1:34" ht="18.75" hidden="1" customHeight="1">
      <c r="C52" s="825" t="s">
        <v>1321</v>
      </c>
      <c r="D52" s="1396"/>
      <c r="E52" s="1149"/>
      <c r="F52" s="1284"/>
      <c r="G52" s="1365"/>
      <c r="H52" s="303"/>
      <c r="I52" s="49" t="s">
        <v>1322</v>
      </c>
      <c r="J52" s="63"/>
      <c r="K52" s="303"/>
      <c r="L52" s="295"/>
      <c r="M52" s="1122"/>
      <c r="AH52" s="538">
        <v>0</v>
      </c>
    </row>
    <row r="53" spans="1:34" ht="0.75" hidden="1" customHeight="1">
      <c r="C53" s="825" t="s">
        <v>1327</v>
      </c>
      <c r="D53" s="1396"/>
      <c r="E53" s="1149"/>
      <c r="F53" s="1284"/>
      <c r="G53" s="305"/>
      <c r="H53" s="303"/>
      <c r="I53" s="49"/>
      <c r="J53" s="63"/>
      <c r="K53" s="303"/>
      <c r="L53" s="295"/>
      <c r="M53" s="1122"/>
      <c r="AH53" s="538">
        <v>0</v>
      </c>
    </row>
    <row r="54" spans="1:34" ht="18.75" hidden="1" customHeight="1">
      <c r="A54" s="79" t="s">
        <v>241</v>
      </c>
      <c r="B54" s="79" t="s">
        <v>242</v>
      </c>
      <c r="D54" s="1396"/>
      <c r="E54" s="1149"/>
      <c r="F54" s="1284" t="str">
        <f>INDEX(PT_DIFFERENTIATION_VTAR,MATCH(A54,PT_DIFFERENTIATION_VTAR_ID,0))</f>
        <v>Тариф на техническую воду</v>
      </c>
      <c r="G54" s="1365" t="str">
        <f>INDEX(PT_DIFFERENTIATION_NTAR,MATCH(B54,PT_DIFFERENTIATION_NTAR_ID,0))</f>
        <v/>
      </c>
      <c r="H54" s="674"/>
      <c r="I54" s="301"/>
      <c r="J54" s="302"/>
      <c r="K54" s="823"/>
      <c r="L54" s="674" t="s">
        <v>317</v>
      </c>
      <c r="M54" s="1122"/>
      <c r="AH54" s="538">
        <v>0</v>
      </c>
    </row>
    <row r="55" spans="1:34" ht="18.75" hidden="1" customHeight="1">
      <c r="C55" s="825" t="s">
        <v>1321</v>
      </c>
      <c r="D55" s="1396"/>
      <c r="E55" s="1149"/>
      <c r="F55" s="1284"/>
      <c r="G55" s="1365"/>
      <c r="H55" s="303"/>
      <c r="I55" s="49" t="s">
        <v>1322</v>
      </c>
      <c r="J55" s="63"/>
      <c r="K55" s="303"/>
      <c r="L55" s="295"/>
      <c r="M55" s="1122"/>
      <c r="AH55" s="538">
        <v>0</v>
      </c>
    </row>
    <row r="56" spans="1:34" ht="0.75" hidden="1" customHeight="1">
      <c r="C56" s="825" t="s">
        <v>1327</v>
      </c>
      <c r="D56" s="1396"/>
      <c r="E56" s="1149"/>
      <c r="F56" s="1284"/>
      <c r="G56" s="305"/>
      <c r="H56" s="303"/>
      <c r="I56" s="49"/>
      <c r="J56" s="63"/>
      <c r="K56" s="303"/>
      <c r="L56" s="295"/>
      <c r="M56" s="1122"/>
      <c r="AH56" s="538">
        <v>0</v>
      </c>
    </row>
    <row r="57" spans="1:34" ht="18.75" hidden="1" customHeight="1">
      <c r="A57" s="79" t="s">
        <v>246</v>
      </c>
      <c r="B57" s="79" t="s">
        <v>247</v>
      </c>
      <c r="D57" s="1396"/>
      <c r="E57" s="1149"/>
      <c r="F57" s="1284" t="str">
        <f>INDEX(PT_DIFFERENTIATION_VTAR,MATCH(A57,PT_DIFFERENTIATION_VTAR_ID,0))</f>
        <v>Тариф на транспортировку воды</v>
      </c>
      <c r="G57" s="1365" t="str">
        <f>INDEX(PT_DIFFERENTIATION_NTAR,MATCH(B57,PT_DIFFERENTIATION_NTAR_ID,0))</f>
        <v/>
      </c>
      <c r="H57" s="674"/>
      <c r="I57" s="301"/>
      <c r="J57" s="302"/>
      <c r="K57" s="823"/>
      <c r="L57" s="674" t="s">
        <v>317</v>
      </c>
      <c r="M57" s="1122"/>
      <c r="AH57" s="538">
        <v>0</v>
      </c>
    </row>
    <row r="58" spans="1:34" ht="18.75" hidden="1" customHeight="1">
      <c r="C58" s="825" t="s">
        <v>1321</v>
      </c>
      <c r="D58" s="1396"/>
      <c r="E58" s="1149"/>
      <c r="F58" s="1284"/>
      <c r="G58" s="1365"/>
      <c r="H58" s="303"/>
      <c r="I58" s="49" t="s">
        <v>1322</v>
      </c>
      <c r="J58" s="63"/>
      <c r="K58" s="303"/>
      <c r="L58" s="295"/>
      <c r="M58" s="1122"/>
      <c r="AH58" s="538">
        <v>0</v>
      </c>
    </row>
    <row r="59" spans="1:34" ht="0.75" hidden="1" customHeight="1">
      <c r="C59" s="825" t="s">
        <v>1327</v>
      </c>
      <c r="D59" s="1396"/>
      <c r="E59" s="1149"/>
      <c r="F59" s="1284"/>
      <c r="G59" s="305"/>
      <c r="H59" s="303"/>
      <c r="I59" s="49"/>
      <c r="J59" s="63"/>
      <c r="K59" s="303"/>
      <c r="L59" s="295"/>
      <c r="M59" s="1122"/>
      <c r="AH59" s="538">
        <v>0</v>
      </c>
    </row>
    <row r="60" spans="1:34" ht="18.75" hidden="1" customHeight="1">
      <c r="A60" s="79" t="s">
        <v>251</v>
      </c>
      <c r="B60" s="79" t="s">
        <v>252</v>
      </c>
      <c r="D60" s="1396"/>
      <c r="E60" s="1149"/>
      <c r="F60" s="1284" t="str">
        <f>INDEX(PT_DIFFERENTIATION_VTAR,MATCH(A60,PT_DIFFERENTIATION_VTAR_ID,0))</f>
        <v>Тариф на подвоз воды</v>
      </c>
      <c r="G60" s="1365" t="str">
        <f>INDEX(PT_DIFFERENTIATION_NTAR,MATCH(B60,PT_DIFFERENTIATION_NTAR_ID,0))</f>
        <v/>
      </c>
      <c r="H60" s="674"/>
      <c r="I60" s="301"/>
      <c r="J60" s="302"/>
      <c r="K60" s="823"/>
      <c r="L60" s="674" t="s">
        <v>317</v>
      </c>
      <c r="M60" s="1122"/>
      <c r="AH60" s="538">
        <v>0</v>
      </c>
    </row>
    <row r="61" spans="1:34" ht="18.75" hidden="1" customHeight="1">
      <c r="C61" s="825" t="s">
        <v>1321</v>
      </c>
      <c r="D61" s="1396"/>
      <c r="E61" s="1149"/>
      <c r="F61" s="1284"/>
      <c r="G61" s="1365"/>
      <c r="H61" s="303"/>
      <c r="I61" s="49" t="s">
        <v>1322</v>
      </c>
      <c r="J61" s="63"/>
      <c r="K61" s="303"/>
      <c r="L61" s="295"/>
      <c r="M61" s="1122"/>
      <c r="AH61" s="538">
        <v>0</v>
      </c>
    </row>
    <row r="62" spans="1:34" ht="0.75" hidden="1" customHeight="1">
      <c r="C62" s="825" t="s">
        <v>1327</v>
      </c>
      <c r="D62" s="1396"/>
      <c r="E62" s="1149"/>
      <c r="F62" s="1284"/>
      <c r="G62" s="305"/>
      <c r="H62" s="303"/>
      <c r="I62" s="49"/>
      <c r="J62" s="63"/>
      <c r="K62" s="303"/>
      <c r="L62" s="295"/>
      <c r="M62" s="1122"/>
      <c r="AH62" s="538">
        <v>0</v>
      </c>
    </row>
    <row r="63" spans="1:34" ht="18.75" hidden="1" customHeight="1">
      <c r="A63" s="79" t="s">
        <v>256</v>
      </c>
      <c r="B63" s="79" t="s">
        <v>257</v>
      </c>
      <c r="D63" s="1396"/>
      <c r="E63" s="1149"/>
      <c r="F63" s="1284" t="str">
        <f>INDEX(PT_DIFFERENTIATION_VTAR,MATCH(A63,PT_DIFFERENTIATION_VTAR_ID,0))</f>
        <v>Тариф на подключение (технологическое присоединение) к централизованной системе холодного водоснабжения</v>
      </c>
      <c r="G63" s="1365" t="str">
        <f>INDEX(PT_DIFFERENTIATION_NTAR,MATCH(B63,PT_DIFFERENTIATION_NTAR_ID,0))</f>
        <v/>
      </c>
      <c r="H63" s="674"/>
      <c r="I63" s="301"/>
      <c r="J63" s="302"/>
      <c r="K63" s="823"/>
      <c r="L63" s="674" t="s">
        <v>317</v>
      </c>
      <c r="M63" s="1122"/>
      <c r="AH63" s="538">
        <v>0</v>
      </c>
    </row>
    <row r="64" spans="1:34" ht="18.75" hidden="1" customHeight="1">
      <c r="C64" s="825" t="s">
        <v>1321</v>
      </c>
      <c r="D64" s="1396"/>
      <c r="E64" s="1149"/>
      <c r="F64" s="1284"/>
      <c r="G64" s="1365"/>
      <c r="H64" s="303"/>
      <c r="I64" s="49" t="s">
        <v>1322</v>
      </c>
      <c r="J64" s="63"/>
      <c r="K64" s="303"/>
      <c r="L64" s="295"/>
      <c r="M64" s="1122"/>
      <c r="AH64" s="538">
        <v>0</v>
      </c>
    </row>
    <row r="65" spans="1:34" ht="0.75" hidden="1" customHeight="1">
      <c r="C65" s="825" t="s">
        <v>1327</v>
      </c>
      <c r="D65" s="1396"/>
      <c r="E65" s="1149"/>
      <c r="F65" s="1284"/>
      <c r="G65" s="305"/>
      <c r="H65" s="303"/>
      <c r="I65" s="49"/>
      <c r="J65" s="63"/>
      <c r="K65" s="303"/>
      <c r="L65" s="295"/>
      <c r="M65" s="1122"/>
      <c r="AH65" s="538">
        <v>0</v>
      </c>
    </row>
    <row r="66" spans="1:34" ht="18.75" hidden="1" customHeight="1">
      <c r="A66" s="79" t="s">
        <v>261</v>
      </c>
      <c r="B66" s="79" t="s">
        <v>262</v>
      </c>
      <c r="D66" s="1396"/>
      <c r="E66" s="1149"/>
      <c r="F66" s="1284" t="str">
        <f>INDEX(PT_DIFFERENTIATION_VTAR,MATCH(A66,PT_DIFFERENTIATION_VTAR_ID,0))</f>
        <v>Тариф на горячую воду (горячее водоснабжение)</v>
      </c>
      <c r="G66" s="1365" t="str">
        <f>INDEX(PT_DIFFERENTIATION_NTAR,MATCH(B66,PT_DIFFERENTIATION_NTAR_ID,0))</f>
        <v/>
      </c>
      <c r="H66" s="674"/>
      <c r="I66" s="301"/>
      <c r="J66" s="302"/>
      <c r="K66" s="823"/>
      <c r="L66" s="674" t="s">
        <v>317</v>
      </c>
      <c r="M66" s="1122"/>
      <c r="AH66" s="538">
        <v>0</v>
      </c>
    </row>
    <row r="67" spans="1:34" ht="18.75" hidden="1" customHeight="1">
      <c r="C67" s="825" t="s">
        <v>1321</v>
      </c>
      <c r="D67" s="1396"/>
      <c r="E67" s="1149"/>
      <c r="F67" s="1284"/>
      <c r="G67" s="1365"/>
      <c r="H67" s="303"/>
      <c r="I67" s="49" t="s">
        <v>1322</v>
      </c>
      <c r="J67" s="63"/>
      <c r="K67" s="303"/>
      <c r="L67" s="295"/>
      <c r="M67" s="1122"/>
      <c r="AH67" s="538">
        <v>0</v>
      </c>
    </row>
    <row r="68" spans="1:34" ht="0.75" hidden="1" customHeight="1">
      <c r="C68" s="825" t="s">
        <v>1327</v>
      </c>
      <c r="D68" s="1396"/>
      <c r="E68" s="1149"/>
      <c r="F68" s="1284"/>
      <c r="G68" s="305"/>
      <c r="H68" s="303"/>
      <c r="I68" s="49"/>
      <c r="J68" s="63"/>
      <c r="K68" s="303"/>
      <c r="L68" s="295"/>
      <c r="M68" s="1122"/>
      <c r="AH68" s="538">
        <v>0</v>
      </c>
    </row>
    <row r="69" spans="1:34" ht="18.75" hidden="1" customHeight="1">
      <c r="A69" s="79" t="s">
        <v>266</v>
      </c>
      <c r="B69" s="79" t="s">
        <v>267</v>
      </c>
      <c r="D69" s="1396"/>
      <c r="E69" s="1149"/>
      <c r="F69" s="1284" t="str">
        <f>INDEX(PT_DIFFERENTIATION_VTAR,MATCH(A69,PT_DIFFERENTIATION_VTAR_ID,0))</f>
        <v>Тариф на транспортировку горячей воды</v>
      </c>
      <c r="G69" s="1365" t="str">
        <f>INDEX(PT_DIFFERENTIATION_NTAR,MATCH(B69,PT_DIFFERENTIATION_NTAR_ID,0))</f>
        <v/>
      </c>
      <c r="H69" s="674"/>
      <c r="I69" s="301"/>
      <c r="J69" s="302"/>
      <c r="K69" s="823"/>
      <c r="L69" s="674" t="s">
        <v>317</v>
      </c>
      <c r="M69" s="1122"/>
      <c r="AH69" s="538">
        <v>0</v>
      </c>
    </row>
    <row r="70" spans="1:34" ht="18.75" hidden="1" customHeight="1">
      <c r="C70" s="825" t="s">
        <v>1321</v>
      </c>
      <c r="D70" s="1396"/>
      <c r="E70" s="1149"/>
      <c r="F70" s="1284"/>
      <c r="G70" s="1365"/>
      <c r="H70" s="303"/>
      <c r="I70" s="49" t="s">
        <v>1322</v>
      </c>
      <c r="J70" s="63"/>
      <c r="K70" s="303"/>
      <c r="L70" s="295"/>
      <c r="M70" s="1122"/>
      <c r="AH70" s="538">
        <v>0</v>
      </c>
    </row>
    <row r="71" spans="1:34" ht="0.75" hidden="1" customHeight="1">
      <c r="C71" s="825" t="s">
        <v>1327</v>
      </c>
      <c r="D71" s="1396"/>
      <c r="E71" s="1149"/>
      <c r="F71" s="1284"/>
      <c r="G71" s="305"/>
      <c r="H71" s="303"/>
      <c r="I71" s="49"/>
      <c r="J71" s="63"/>
      <c r="K71" s="303"/>
      <c r="L71" s="295"/>
      <c r="M71" s="1122"/>
      <c r="AH71" s="538">
        <v>0</v>
      </c>
    </row>
    <row r="72" spans="1:34" ht="18.75" hidden="1" customHeight="1">
      <c r="A72" s="79" t="s">
        <v>271</v>
      </c>
      <c r="B72" s="79" t="s">
        <v>272</v>
      </c>
      <c r="D72" s="1396"/>
      <c r="E72" s="1149"/>
      <c r="F72" s="1284" t="str">
        <f>INDEX(PT_DIFFERENTIATION_VTAR,MATCH(A72,PT_DIFFERENTIATION_VTAR_ID,0))</f>
        <v>Тариф на подключение (технологическое присоединение) к централизованной системе горячего водоснабжения</v>
      </c>
      <c r="G72" s="1365" t="str">
        <f>INDEX(PT_DIFFERENTIATION_NTAR,MATCH(B72,PT_DIFFERENTIATION_NTAR_ID,0))</f>
        <v/>
      </c>
      <c r="H72" s="674"/>
      <c r="I72" s="301"/>
      <c r="J72" s="302"/>
      <c r="K72" s="823"/>
      <c r="L72" s="674" t="s">
        <v>317</v>
      </c>
      <c r="M72" s="1122"/>
      <c r="AH72" s="538">
        <v>0</v>
      </c>
    </row>
    <row r="73" spans="1:34" ht="18.75" hidden="1" customHeight="1">
      <c r="C73" s="825" t="s">
        <v>1321</v>
      </c>
      <c r="D73" s="1396"/>
      <c r="E73" s="1149"/>
      <c r="F73" s="1284"/>
      <c r="G73" s="1365"/>
      <c r="H73" s="303"/>
      <c r="I73" s="49" t="s">
        <v>1322</v>
      </c>
      <c r="J73" s="63"/>
      <c r="K73" s="303"/>
      <c r="L73" s="295"/>
      <c r="M73" s="1122"/>
      <c r="AH73" s="538">
        <v>0</v>
      </c>
    </row>
    <row r="74" spans="1:34" ht="0.75" hidden="1" customHeight="1">
      <c r="C74" s="825" t="s">
        <v>1327</v>
      </c>
      <c r="D74" s="1396"/>
      <c r="E74" s="1149"/>
      <c r="F74" s="1284"/>
      <c r="G74" s="305"/>
      <c r="H74" s="303"/>
      <c r="I74" s="49"/>
      <c r="J74" s="63"/>
      <c r="K74" s="303"/>
      <c r="L74" s="295"/>
      <c r="M74" s="1122"/>
      <c r="AH74" s="538">
        <v>0</v>
      </c>
    </row>
    <row r="75" spans="1:34" ht="18.75" hidden="1" customHeight="1">
      <c r="A75" s="79" t="s">
        <v>276</v>
      </c>
      <c r="B75" s="79" t="s">
        <v>277</v>
      </c>
      <c r="D75" s="1396"/>
      <c r="E75" s="1149"/>
      <c r="F75" s="1284" t="str">
        <f>INDEX(PT_DIFFERENTIATION_VTAR,MATCH(A75,PT_DIFFERENTIATION_VTAR_ID,0))</f>
        <v>Тариф на водоотведение</v>
      </c>
      <c r="G75" s="1365" t="str">
        <f>INDEX(PT_DIFFERENTIATION_NTAR,MATCH(B75,PT_DIFFERENTIATION_NTAR_ID,0))</f>
        <v/>
      </c>
      <c r="H75" s="674"/>
      <c r="I75" s="301"/>
      <c r="J75" s="302"/>
      <c r="K75" s="823"/>
      <c r="L75" s="674" t="s">
        <v>317</v>
      </c>
      <c r="M75" s="1122"/>
      <c r="AH75" s="538">
        <v>0</v>
      </c>
    </row>
    <row r="76" spans="1:34" ht="18.75" hidden="1" customHeight="1">
      <c r="C76" s="825" t="s">
        <v>1321</v>
      </c>
      <c r="D76" s="1396"/>
      <c r="E76" s="1149"/>
      <c r="F76" s="1284"/>
      <c r="G76" s="1365"/>
      <c r="H76" s="303"/>
      <c r="I76" s="49" t="s">
        <v>1322</v>
      </c>
      <c r="J76" s="63"/>
      <c r="K76" s="303"/>
      <c r="L76" s="295"/>
      <c r="M76" s="1122"/>
      <c r="AH76" s="538">
        <v>0</v>
      </c>
    </row>
    <row r="77" spans="1:34" ht="0.75" hidden="1" customHeight="1">
      <c r="C77" s="825" t="s">
        <v>1327</v>
      </c>
      <c r="D77" s="1396"/>
      <c r="E77" s="1149"/>
      <c r="F77" s="1284"/>
      <c r="G77" s="305"/>
      <c r="H77" s="303"/>
      <c r="I77" s="49"/>
      <c r="J77" s="63"/>
      <c r="K77" s="303"/>
      <c r="L77" s="295"/>
      <c r="M77" s="1122"/>
      <c r="AH77" s="538">
        <v>0</v>
      </c>
    </row>
    <row r="78" spans="1:34" ht="18.75" hidden="1" customHeight="1">
      <c r="A78" s="79" t="s">
        <v>281</v>
      </c>
      <c r="B78" s="79" t="s">
        <v>282</v>
      </c>
      <c r="D78" s="1396"/>
      <c r="E78" s="1149"/>
      <c r="F78" s="1284" t="str">
        <f>INDEX(PT_DIFFERENTIATION_VTAR,MATCH(A78,PT_DIFFERENTIATION_VTAR_ID,0))</f>
        <v>Тариф на транспортировку сточных вод</v>
      </c>
      <c r="G78" s="1365" t="str">
        <f>INDEX(PT_DIFFERENTIATION_NTAR,MATCH(B78,PT_DIFFERENTIATION_NTAR_ID,0))</f>
        <v/>
      </c>
      <c r="H78" s="674"/>
      <c r="I78" s="301"/>
      <c r="J78" s="302"/>
      <c r="K78" s="823"/>
      <c r="L78" s="674" t="s">
        <v>317</v>
      </c>
      <c r="M78" s="1122"/>
      <c r="AH78" s="538">
        <v>0</v>
      </c>
    </row>
    <row r="79" spans="1:34" ht="18.75" hidden="1" customHeight="1">
      <c r="C79" s="825" t="s">
        <v>1321</v>
      </c>
      <c r="D79" s="1396"/>
      <c r="E79" s="1149"/>
      <c r="F79" s="1284"/>
      <c r="G79" s="1365"/>
      <c r="H79" s="303"/>
      <c r="I79" s="49" t="s">
        <v>1322</v>
      </c>
      <c r="J79" s="63"/>
      <c r="K79" s="303"/>
      <c r="L79" s="295"/>
      <c r="M79" s="1122"/>
      <c r="AH79" s="538">
        <v>0</v>
      </c>
    </row>
    <row r="80" spans="1:34" ht="0.75" hidden="1" customHeight="1">
      <c r="C80" s="825" t="s">
        <v>1327</v>
      </c>
      <c r="D80" s="1396"/>
      <c r="E80" s="1149"/>
      <c r="F80" s="1284"/>
      <c r="G80" s="305"/>
      <c r="H80" s="303"/>
      <c r="I80" s="49"/>
      <c r="J80" s="63"/>
      <c r="K80" s="303"/>
      <c r="L80" s="295"/>
      <c r="M80" s="1122"/>
      <c r="AH80" s="538">
        <v>0</v>
      </c>
    </row>
    <row r="81" spans="1:34" ht="18.75" hidden="1" customHeight="1">
      <c r="A81" s="79" t="s">
        <v>286</v>
      </c>
      <c r="B81" s="79" t="s">
        <v>287</v>
      </c>
      <c r="D81" s="1396"/>
      <c r="E81" s="1149"/>
      <c r="F81" s="1284" t="str">
        <f>INDEX(PT_DIFFERENTIATION_VTAR,MATCH(A81,PT_DIFFERENTIATION_VTAR_ID,0))</f>
        <v>Тариф на подключение (технологическое присоединение) к централизованной системе водоотведения</v>
      </c>
      <c r="G81" s="1365" t="str">
        <f>INDEX(PT_DIFFERENTIATION_NTAR,MATCH(B81,PT_DIFFERENTIATION_NTAR_ID,0))</f>
        <v/>
      </c>
      <c r="H81" s="674"/>
      <c r="I81" s="301"/>
      <c r="J81" s="302"/>
      <c r="K81" s="823"/>
      <c r="L81" s="674" t="s">
        <v>317</v>
      </c>
      <c r="M81" s="1122"/>
      <c r="AH81" s="538">
        <v>0</v>
      </c>
    </row>
    <row r="82" spans="1:34" ht="18.75" hidden="1" customHeight="1">
      <c r="C82" s="825" t="s">
        <v>1321</v>
      </c>
      <c r="D82" s="1396"/>
      <c r="E82" s="1149"/>
      <c r="F82" s="1284"/>
      <c r="G82" s="1365"/>
      <c r="H82" s="303"/>
      <c r="I82" s="49" t="s">
        <v>1322</v>
      </c>
      <c r="J82" s="63"/>
      <c r="K82" s="303"/>
      <c r="L82" s="295"/>
      <c r="M82" s="1122"/>
      <c r="AH82" s="538">
        <v>0</v>
      </c>
    </row>
    <row r="83" spans="1:34" ht="1.1499999999999999" customHeight="1">
      <c r="C83" s="825" t="s">
        <v>1327</v>
      </c>
      <c r="D83" s="1396"/>
      <c r="E83" s="1149"/>
      <c r="F83" s="1284"/>
      <c r="G83" s="305"/>
      <c r="H83" s="303"/>
      <c r="I83" s="49"/>
      <c r="J83" s="63"/>
      <c r="K83" s="303"/>
      <c r="L83" s="295"/>
      <c r="M83" s="1122"/>
      <c r="AH83" s="538">
        <v>1</v>
      </c>
    </row>
    <row r="84" spans="1:34" ht="19.899999999999999" customHeight="1">
      <c r="D84" s="756"/>
      <c r="E84" s="91" t="s">
        <v>102</v>
      </c>
      <c r="F84" s="139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1395"/>
      <c r="H84" s="1395"/>
      <c r="I84" s="1395"/>
      <c r="J84" s="1395"/>
      <c r="K84" s="1395"/>
      <c r="L84" s="1395"/>
      <c r="M84" s="831"/>
      <c r="AH84" s="538">
        <v>19</v>
      </c>
    </row>
    <row r="85" spans="1:34" ht="35.65" customHeight="1">
      <c r="D85" s="756"/>
      <c r="E85" s="306"/>
      <c r="F85" s="602" t="s">
        <v>317</v>
      </c>
      <c r="G85" s="602" t="s">
        <v>317</v>
      </c>
      <c r="H85" s="1162" t="s">
        <v>317</v>
      </c>
      <c r="I85" s="1164"/>
      <c r="J85" s="602" t="s">
        <v>317</v>
      </c>
      <c r="K85" s="602" t="s">
        <v>317</v>
      </c>
      <c r="L85" s="307"/>
      <c r="M85" s="795" t="s">
        <v>1328</v>
      </c>
      <c r="AH85" s="538">
        <v>34</v>
      </c>
    </row>
    <row r="86" spans="1:34" ht="19.899999999999999" customHeight="1">
      <c r="D86" s="756"/>
      <c r="E86" s="91" t="s">
        <v>89</v>
      </c>
      <c r="F86" s="1395" t="s">
        <v>1329</v>
      </c>
      <c r="G86" s="1395"/>
      <c r="H86" s="1395"/>
      <c r="I86" s="1395"/>
      <c r="J86" s="1395"/>
      <c r="K86" s="1395"/>
      <c r="L86" s="1395"/>
      <c r="M86" s="831"/>
      <c r="AH86" s="538">
        <v>19</v>
      </c>
    </row>
    <row r="87" spans="1:34" ht="60.75" hidden="1" customHeight="1">
      <c r="A87" s="79" t="s">
        <v>168</v>
      </c>
      <c r="B87" s="79" t="s">
        <v>169</v>
      </c>
      <c r="D87" s="1396"/>
      <c r="E87" s="1149"/>
      <c r="F87" s="128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365" t="str">
        <f>INDEX(PT_DIFFERENTIATION_NTAR,MATCH(B87,PT_DIFFERENTIATION_NTAR_ID,0))</f>
        <v/>
      </c>
      <c r="H87" s="674"/>
      <c r="I87" s="301"/>
      <c r="J87" s="302"/>
      <c r="K87" s="115"/>
      <c r="L87" s="674" t="s">
        <v>317</v>
      </c>
      <c r="M87" s="11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AH87" s="538">
        <v>0</v>
      </c>
    </row>
    <row r="88" spans="1:34" ht="18.75" hidden="1" customHeight="1">
      <c r="C88" s="825" t="s">
        <v>1323</v>
      </c>
      <c r="D88" s="1396"/>
      <c r="E88" s="1149"/>
      <c r="F88" s="1284"/>
      <c r="G88" s="1365"/>
      <c r="H88" s="303"/>
      <c r="I88" s="49" t="s">
        <v>1322</v>
      </c>
      <c r="J88" s="63"/>
      <c r="K88" s="303"/>
      <c r="L88" s="295"/>
      <c r="M88" s="1122"/>
      <c r="AH88" s="538">
        <v>0</v>
      </c>
    </row>
    <row r="89" spans="1:34" ht="0.75" hidden="1" customHeight="1">
      <c r="C89" s="825" t="s">
        <v>1330</v>
      </c>
      <c r="D89" s="1396"/>
      <c r="E89" s="1149"/>
      <c r="F89" s="1284"/>
      <c r="G89" s="305"/>
      <c r="H89" s="303"/>
      <c r="I89" s="49"/>
      <c r="J89" s="63"/>
      <c r="K89" s="303"/>
      <c r="L89" s="295"/>
      <c r="M89" s="1122"/>
      <c r="AH89" s="538">
        <v>0</v>
      </c>
    </row>
    <row r="90" spans="1:34" ht="45" hidden="1" customHeight="1">
      <c r="A90" s="79" t="s">
        <v>173</v>
      </c>
      <c r="B90" s="79" t="s">
        <v>174</v>
      </c>
      <c r="D90" s="1396"/>
      <c r="E90" s="1149"/>
      <c r="F90" s="1284" t="str">
        <f>INDEX(PT_DIFFERENTIATION_VTAR,MATCH(A90,PT_DIFFERENTIATION_VTAR_ID,0))</f>
        <v/>
      </c>
      <c r="G90" s="1365" t="str">
        <f>INDEX(PT_DIFFERENTIATION_NTAR,MATCH(B90,PT_DIFFERENTIATION_NTAR_ID,0))</f>
        <v/>
      </c>
      <c r="H90" s="674"/>
      <c r="I90" s="301"/>
      <c r="J90" s="302"/>
      <c r="K90" s="115"/>
      <c r="L90" s="674" t="s">
        <v>317</v>
      </c>
      <c r="M90" s="1123"/>
      <c r="AH90" s="538">
        <v>0</v>
      </c>
    </row>
    <row r="91" spans="1:34" ht="18.75" hidden="1" customHeight="1">
      <c r="C91" s="825" t="s">
        <v>1323</v>
      </c>
      <c r="D91" s="1396"/>
      <c r="E91" s="1149"/>
      <c r="F91" s="1284"/>
      <c r="G91" s="1365"/>
      <c r="H91" s="303"/>
      <c r="I91" s="49" t="s">
        <v>1322</v>
      </c>
      <c r="J91" s="63"/>
      <c r="K91" s="303"/>
      <c r="L91" s="295"/>
      <c r="M91" s="613"/>
      <c r="AH91" s="538">
        <v>0</v>
      </c>
    </row>
    <row r="92" spans="1:34" ht="0.75" hidden="1" customHeight="1">
      <c r="C92" s="825" t="s">
        <v>1330</v>
      </c>
      <c r="D92" s="1396"/>
      <c r="E92" s="1149"/>
      <c r="F92" s="1284"/>
      <c r="G92" s="305"/>
      <c r="H92" s="303"/>
      <c r="I92" s="49"/>
      <c r="J92" s="63"/>
      <c r="K92" s="303"/>
      <c r="L92" s="295"/>
      <c r="M92" s="819"/>
      <c r="AH92" s="538">
        <v>0</v>
      </c>
    </row>
    <row r="93" spans="1:34" ht="45" hidden="1" customHeight="1">
      <c r="A93" s="79" t="s">
        <v>180</v>
      </c>
      <c r="B93" s="79" t="s">
        <v>181</v>
      </c>
      <c r="D93" s="1396"/>
      <c r="E93" s="1149"/>
      <c r="F93" s="128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365" t="str">
        <f>INDEX(PT_DIFFERENTIATION_NTAR,MATCH(B93,PT_DIFFERENTIATION_NTAR_ID,0))</f>
        <v/>
      </c>
      <c r="H93" s="674"/>
      <c r="I93" s="301"/>
      <c r="J93" s="302"/>
      <c r="K93" s="115"/>
      <c r="L93" s="674" t="s">
        <v>317</v>
      </c>
      <c r="M93" s="819"/>
      <c r="AH93" s="538">
        <v>0</v>
      </c>
    </row>
    <row r="94" spans="1:34" ht="18.75" hidden="1" customHeight="1">
      <c r="C94" s="825" t="s">
        <v>1323</v>
      </c>
      <c r="D94" s="1396"/>
      <c r="E94" s="1149"/>
      <c r="F94" s="1284"/>
      <c r="G94" s="1365"/>
      <c r="H94" s="303"/>
      <c r="I94" s="49" t="s">
        <v>1322</v>
      </c>
      <c r="J94" s="63"/>
      <c r="K94" s="303"/>
      <c r="L94" s="295"/>
      <c r="M94" s="819"/>
      <c r="AH94" s="538">
        <v>0</v>
      </c>
    </row>
    <row r="95" spans="1:34" ht="0.75" hidden="1" customHeight="1">
      <c r="C95" s="825" t="s">
        <v>1330</v>
      </c>
      <c r="D95" s="1396"/>
      <c r="E95" s="1149"/>
      <c r="F95" s="1284"/>
      <c r="G95" s="305"/>
      <c r="H95" s="303"/>
      <c r="I95" s="49"/>
      <c r="J95" s="63"/>
      <c r="K95" s="303"/>
      <c r="L95" s="295"/>
      <c r="M95" s="819"/>
      <c r="AH95" s="538">
        <v>0</v>
      </c>
    </row>
    <row r="96" spans="1:34" ht="45" hidden="1" customHeight="1">
      <c r="A96" s="79" t="s">
        <v>186</v>
      </c>
      <c r="B96" s="79" t="s">
        <v>187</v>
      </c>
      <c r="D96" s="1396"/>
      <c r="E96" s="1149"/>
      <c r="F96" s="128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365" t="str">
        <f>INDEX(PT_DIFFERENTIATION_NTAR,MATCH(B96,PT_DIFFERENTIATION_NTAR_ID,0))</f>
        <v/>
      </c>
      <c r="H96" s="674"/>
      <c r="I96" s="301"/>
      <c r="J96" s="302"/>
      <c r="K96" s="115"/>
      <c r="L96" s="674" t="s">
        <v>317</v>
      </c>
      <c r="M96" s="819"/>
      <c r="AH96" s="538">
        <v>0</v>
      </c>
    </row>
    <row r="97" spans="1:34" ht="18.75" hidden="1" customHeight="1">
      <c r="C97" s="825" t="s">
        <v>1323</v>
      </c>
      <c r="D97" s="1396"/>
      <c r="E97" s="1149"/>
      <c r="F97" s="1284"/>
      <c r="G97" s="1365"/>
      <c r="H97" s="303"/>
      <c r="I97" s="49" t="s">
        <v>1322</v>
      </c>
      <c r="J97" s="63"/>
      <c r="K97" s="303"/>
      <c r="L97" s="295"/>
      <c r="M97" s="819"/>
      <c r="AH97" s="538">
        <v>0</v>
      </c>
    </row>
    <row r="98" spans="1:34" ht="0.75" hidden="1" customHeight="1">
      <c r="C98" s="825" t="s">
        <v>1330</v>
      </c>
      <c r="D98" s="1396"/>
      <c r="E98" s="1149"/>
      <c r="F98" s="1284"/>
      <c r="G98" s="305"/>
      <c r="H98" s="303"/>
      <c r="I98" s="49"/>
      <c r="J98" s="63"/>
      <c r="K98" s="303"/>
      <c r="L98" s="295"/>
      <c r="M98" s="819"/>
      <c r="AH98" s="538">
        <v>0</v>
      </c>
    </row>
    <row r="99" spans="1:34" ht="18.75" hidden="1" customHeight="1">
      <c r="A99" s="79" t="s">
        <v>192</v>
      </c>
      <c r="B99" s="79" t="s">
        <v>193</v>
      </c>
      <c r="D99" s="1396"/>
      <c r="E99" s="1149"/>
      <c r="F99" s="1284" t="str">
        <f>INDEX(PT_DIFFERENTIATION_VTAR,MATCH(A99,PT_DIFFERENTIATION_VTAR_ID,0))</f>
        <v>Тарифы на услуги по передаче тепловой энергии</v>
      </c>
      <c r="G99" s="1365" t="str">
        <f>INDEX(PT_DIFFERENTIATION_NTAR,MATCH(B99,PT_DIFFERENTIATION_NTAR_ID,0))</f>
        <v/>
      </c>
      <c r="H99" s="674"/>
      <c r="I99" s="301"/>
      <c r="J99" s="302"/>
      <c r="K99" s="115"/>
      <c r="L99" s="674" t="s">
        <v>317</v>
      </c>
      <c r="M99" s="819"/>
      <c r="AH99" s="538">
        <v>0</v>
      </c>
    </row>
    <row r="100" spans="1:34" ht="18.75" hidden="1" customHeight="1">
      <c r="C100" s="825" t="s">
        <v>1323</v>
      </c>
      <c r="D100" s="1396"/>
      <c r="E100" s="1149"/>
      <c r="F100" s="1284"/>
      <c r="G100" s="1365"/>
      <c r="H100" s="303"/>
      <c r="I100" s="49" t="s">
        <v>1322</v>
      </c>
      <c r="J100" s="63"/>
      <c r="K100" s="303"/>
      <c r="L100" s="295"/>
      <c r="M100" s="819"/>
      <c r="AH100" s="538">
        <v>0</v>
      </c>
    </row>
    <row r="101" spans="1:34" ht="0.75" hidden="1" customHeight="1">
      <c r="C101" s="825" t="s">
        <v>1330</v>
      </c>
      <c r="D101" s="1396"/>
      <c r="E101" s="1149"/>
      <c r="F101" s="1284"/>
      <c r="G101" s="305"/>
      <c r="H101" s="303"/>
      <c r="I101" s="49"/>
      <c r="J101" s="63"/>
      <c r="K101" s="303"/>
      <c r="L101" s="295"/>
      <c r="M101" s="819"/>
      <c r="AH101" s="538">
        <v>0</v>
      </c>
    </row>
    <row r="102" spans="1:34" ht="18.75" hidden="1" customHeight="1">
      <c r="A102" s="79" t="s">
        <v>198</v>
      </c>
      <c r="B102" s="79" t="s">
        <v>199</v>
      </c>
      <c r="D102" s="1396"/>
      <c r="E102" s="1149"/>
      <c r="F102" s="1284" t="str">
        <f>INDEX(PT_DIFFERENTIATION_VTAR,MATCH(A102,PT_DIFFERENTIATION_VTAR_ID,0))</f>
        <v>Тарифы на услуги по передаче теплоносителя</v>
      </c>
      <c r="G102" s="1365" t="str">
        <f>INDEX(PT_DIFFERENTIATION_NTAR,MATCH(B102,PT_DIFFERENTIATION_NTAR_ID,0))</f>
        <v/>
      </c>
      <c r="H102" s="674"/>
      <c r="I102" s="301"/>
      <c r="J102" s="302"/>
      <c r="K102" s="115"/>
      <c r="L102" s="674" t="s">
        <v>317</v>
      </c>
      <c r="M102" s="819"/>
      <c r="AH102" s="538">
        <v>0</v>
      </c>
    </row>
    <row r="103" spans="1:34" ht="18.75" hidden="1" customHeight="1">
      <c r="C103" s="825" t="s">
        <v>1323</v>
      </c>
      <c r="D103" s="1396"/>
      <c r="E103" s="1149"/>
      <c r="F103" s="1284"/>
      <c r="G103" s="1365"/>
      <c r="H103" s="303"/>
      <c r="I103" s="49" t="s">
        <v>1322</v>
      </c>
      <c r="J103" s="63"/>
      <c r="K103" s="303"/>
      <c r="L103" s="295"/>
      <c r="M103" s="819"/>
      <c r="AH103" s="538">
        <v>0</v>
      </c>
    </row>
    <row r="104" spans="1:34" ht="0.75" hidden="1" customHeight="1">
      <c r="C104" s="825" t="s">
        <v>1330</v>
      </c>
      <c r="D104" s="1396"/>
      <c r="E104" s="1149"/>
      <c r="F104" s="1284"/>
      <c r="G104" s="305"/>
      <c r="H104" s="303"/>
      <c r="I104" s="49"/>
      <c r="J104" s="63"/>
      <c r="K104" s="303"/>
      <c r="L104" s="295"/>
      <c r="M104" s="819"/>
      <c r="AH104" s="538">
        <v>0</v>
      </c>
    </row>
    <row r="105" spans="1:34" ht="18.75" hidden="1" customHeight="1">
      <c r="A105" s="79" t="s">
        <v>204</v>
      </c>
      <c r="B105" s="79" t="s">
        <v>205</v>
      </c>
      <c r="D105" s="1396"/>
      <c r="E105" s="1149"/>
      <c r="F105" s="128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365" t="str">
        <f>INDEX(PT_DIFFERENTIATION_NTAR,MATCH(B105,PT_DIFFERENTIATION_NTAR_ID,0))</f>
        <v/>
      </c>
      <c r="H105" s="674"/>
      <c r="I105" s="301"/>
      <c r="J105" s="302"/>
      <c r="K105" s="115"/>
      <c r="L105" s="674" t="s">
        <v>317</v>
      </c>
      <c r="M105" s="819"/>
      <c r="AH105" s="538">
        <v>0</v>
      </c>
    </row>
    <row r="106" spans="1:34" ht="18.75" hidden="1" customHeight="1">
      <c r="C106" s="825" t="s">
        <v>1323</v>
      </c>
      <c r="D106" s="1396"/>
      <c r="E106" s="1149"/>
      <c r="F106" s="1284"/>
      <c r="G106" s="1365"/>
      <c r="H106" s="303"/>
      <c r="I106" s="49" t="s">
        <v>1322</v>
      </c>
      <c r="J106" s="63"/>
      <c r="K106" s="303"/>
      <c r="L106" s="295"/>
      <c r="M106" s="819"/>
      <c r="AH106" s="538">
        <v>0</v>
      </c>
    </row>
    <row r="107" spans="1:34" ht="0.75" hidden="1" customHeight="1">
      <c r="C107" s="825" t="s">
        <v>1330</v>
      </c>
      <c r="D107" s="1396"/>
      <c r="E107" s="1149"/>
      <c r="F107" s="1284"/>
      <c r="G107" s="305"/>
      <c r="H107" s="303"/>
      <c r="I107" s="49"/>
      <c r="J107" s="63"/>
      <c r="K107" s="303"/>
      <c r="L107" s="295"/>
      <c r="M107" s="819"/>
      <c r="AH107" s="538">
        <v>0</v>
      </c>
    </row>
    <row r="108" spans="1:34" ht="18.75" hidden="1" customHeight="1">
      <c r="A108" s="79" t="s">
        <v>210</v>
      </c>
      <c r="B108" s="79" t="s">
        <v>211</v>
      </c>
      <c r="D108" s="1396"/>
      <c r="E108" s="1149"/>
      <c r="F108" s="1284" t="str">
        <f>INDEX(PT_DIFFERENTIATION_VTAR,MATCH(A108,PT_DIFFERENTIATION_VTAR_ID,0))</f>
        <v>Плата за подключение (технологическое присоединение) к системе теплоснабжения</v>
      </c>
      <c r="G108" s="1365" t="str">
        <f>INDEX(PT_DIFFERENTIATION_NTAR,MATCH(B108,PT_DIFFERENTIATION_NTAR_ID,0))</f>
        <v/>
      </c>
      <c r="H108" s="674"/>
      <c r="I108" s="301"/>
      <c r="J108" s="302"/>
      <c r="K108" s="115"/>
      <c r="L108" s="674" t="s">
        <v>317</v>
      </c>
      <c r="M108" s="819"/>
      <c r="AH108" s="538">
        <v>0</v>
      </c>
    </row>
    <row r="109" spans="1:34" ht="18.75" hidden="1" customHeight="1">
      <c r="C109" s="825" t="s">
        <v>1323</v>
      </c>
      <c r="D109" s="1396"/>
      <c r="E109" s="1149"/>
      <c r="F109" s="1284"/>
      <c r="G109" s="1365"/>
      <c r="H109" s="303"/>
      <c r="I109" s="49" t="s">
        <v>1322</v>
      </c>
      <c r="J109" s="63"/>
      <c r="K109" s="303"/>
      <c r="L109" s="295"/>
      <c r="M109" s="819"/>
      <c r="AH109" s="538">
        <v>0</v>
      </c>
    </row>
    <row r="110" spans="1:34" ht="0.75" hidden="1" customHeight="1">
      <c r="C110" s="825" t="s">
        <v>1330</v>
      </c>
      <c r="D110" s="1396"/>
      <c r="E110" s="1149"/>
      <c r="F110" s="1284"/>
      <c r="G110" s="305"/>
      <c r="H110" s="303"/>
      <c r="I110" s="49"/>
      <c r="J110" s="63"/>
      <c r="K110" s="303"/>
      <c r="L110" s="295"/>
      <c r="M110" s="819"/>
      <c r="AH110" s="538">
        <v>0</v>
      </c>
    </row>
    <row r="111" spans="1:34" ht="18.75" hidden="1" customHeight="1">
      <c r="A111" s="79" t="s">
        <v>216</v>
      </c>
      <c r="B111" s="79" t="s">
        <v>217</v>
      </c>
      <c r="D111" s="1396"/>
      <c r="E111" s="1149"/>
      <c r="F111" s="1284" t="str">
        <f>INDEX(PT_DIFFERENTIATION_VTAR,MATCH(A111,PT_DIFFERENTIATION_VTAR_ID,0))</f>
        <v>Плата за подключение (технологическое присоединение) к системе теплоснабжения (индивидуальная)</v>
      </c>
      <c r="G111" s="1365" t="str">
        <f>INDEX(PT_DIFFERENTIATION_NTAR,MATCH(B111,PT_DIFFERENTIATION_NTAR_ID,0))</f>
        <v/>
      </c>
      <c r="H111" s="674"/>
      <c r="I111" s="301"/>
      <c r="J111" s="302"/>
      <c r="K111" s="115"/>
      <c r="L111" s="674" t="s">
        <v>317</v>
      </c>
      <c r="M111" s="819"/>
      <c r="AH111" s="538">
        <v>0</v>
      </c>
    </row>
    <row r="112" spans="1:34" ht="18.75" hidden="1" customHeight="1">
      <c r="C112" s="825" t="s">
        <v>1323</v>
      </c>
      <c r="D112" s="1396"/>
      <c r="E112" s="1149"/>
      <c r="F112" s="1284"/>
      <c r="G112" s="1365"/>
      <c r="H112" s="303"/>
      <c r="I112" s="49" t="s">
        <v>1322</v>
      </c>
      <c r="J112" s="63"/>
      <c r="K112" s="303"/>
      <c r="L112" s="295"/>
      <c r="M112" s="819"/>
      <c r="AH112" s="538">
        <v>0</v>
      </c>
    </row>
    <row r="113" spans="1:34" ht="0.75" hidden="1" customHeight="1">
      <c r="C113" s="825" t="s">
        <v>1330</v>
      </c>
      <c r="D113" s="1396"/>
      <c r="E113" s="1149"/>
      <c r="F113" s="1284"/>
      <c r="G113" s="305"/>
      <c r="H113" s="303"/>
      <c r="I113" s="49"/>
      <c r="J113" s="63"/>
      <c r="K113" s="303"/>
      <c r="L113" s="295"/>
      <c r="M113" s="819"/>
      <c r="AH113" s="538">
        <v>0</v>
      </c>
    </row>
    <row r="114" spans="1:34" ht="18.75" hidden="1" customHeight="1">
      <c r="A114" s="79" t="s">
        <v>236</v>
      </c>
      <c r="B114" s="79" t="s">
        <v>237</v>
      </c>
      <c r="D114" s="1396"/>
      <c r="E114" s="1149"/>
      <c r="F114" s="1284" t="str">
        <f>INDEX(PT_DIFFERENTIATION_VTAR,MATCH(A114,PT_DIFFERENTIATION_VTAR_ID,0))</f>
        <v>Тариф на питьевую воду (питьевое водоснабжение)</v>
      </c>
      <c r="G114" s="1365" t="str">
        <f>INDEX(PT_DIFFERENTIATION_NTAR,MATCH(B114,PT_DIFFERENTIATION_NTAR_ID,0))</f>
        <v/>
      </c>
      <c r="H114" s="674"/>
      <c r="I114" s="301"/>
      <c r="J114" s="302"/>
      <c r="K114" s="115"/>
      <c r="L114" s="674" t="s">
        <v>317</v>
      </c>
      <c r="M114" s="819"/>
      <c r="AH114" s="538">
        <v>0</v>
      </c>
    </row>
    <row r="115" spans="1:34" ht="18.75" hidden="1" customHeight="1">
      <c r="C115" s="825" t="s">
        <v>1323</v>
      </c>
      <c r="D115" s="1396"/>
      <c r="E115" s="1149"/>
      <c r="F115" s="1284"/>
      <c r="G115" s="1365"/>
      <c r="H115" s="303"/>
      <c r="I115" s="49" t="s">
        <v>1322</v>
      </c>
      <c r="J115" s="63"/>
      <c r="K115" s="303"/>
      <c r="L115" s="295"/>
      <c r="M115" s="819"/>
      <c r="AH115" s="538">
        <v>0</v>
      </c>
    </row>
    <row r="116" spans="1:34" ht="0.75" hidden="1" customHeight="1">
      <c r="C116" s="825" t="s">
        <v>1330</v>
      </c>
      <c r="D116" s="1396"/>
      <c r="E116" s="1149"/>
      <c r="F116" s="1284"/>
      <c r="G116" s="305"/>
      <c r="H116" s="303"/>
      <c r="I116" s="49"/>
      <c r="J116" s="63"/>
      <c r="K116" s="303"/>
      <c r="L116" s="295"/>
      <c r="M116" s="819"/>
      <c r="AH116" s="538">
        <v>0</v>
      </c>
    </row>
    <row r="117" spans="1:34" ht="18.75" hidden="1" customHeight="1">
      <c r="A117" s="79" t="s">
        <v>241</v>
      </c>
      <c r="B117" s="79" t="s">
        <v>242</v>
      </c>
      <c r="D117" s="1396"/>
      <c r="E117" s="1149"/>
      <c r="F117" s="1284" t="str">
        <f>INDEX(PT_DIFFERENTIATION_VTAR,MATCH(A117,PT_DIFFERENTIATION_VTAR_ID,0))</f>
        <v>Тариф на техническую воду</v>
      </c>
      <c r="G117" s="1365" t="str">
        <f>INDEX(PT_DIFFERENTIATION_NTAR,MATCH(B117,PT_DIFFERENTIATION_NTAR_ID,0))</f>
        <v/>
      </c>
      <c r="H117" s="674"/>
      <c r="I117" s="301"/>
      <c r="J117" s="302"/>
      <c r="K117" s="115"/>
      <c r="L117" s="674" t="s">
        <v>317</v>
      </c>
      <c r="M117" s="819"/>
      <c r="AH117" s="538">
        <v>0</v>
      </c>
    </row>
    <row r="118" spans="1:34" ht="18.75" hidden="1" customHeight="1">
      <c r="C118" s="825" t="s">
        <v>1323</v>
      </c>
      <c r="D118" s="1396"/>
      <c r="E118" s="1149"/>
      <c r="F118" s="1284"/>
      <c r="G118" s="1365"/>
      <c r="H118" s="303"/>
      <c r="I118" s="49" t="s">
        <v>1322</v>
      </c>
      <c r="J118" s="63"/>
      <c r="K118" s="303"/>
      <c r="L118" s="295"/>
      <c r="M118" s="819"/>
      <c r="AH118" s="538">
        <v>0</v>
      </c>
    </row>
    <row r="119" spans="1:34" ht="0.75" hidden="1" customHeight="1">
      <c r="C119" s="825" t="s">
        <v>1330</v>
      </c>
      <c r="D119" s="1396"/>
      <c r="E119" s="1149"/>
      <c r="F119" s="1284"/>
      <c r="G119" s="305"/>
      <c r="H119" s="303"/>
      <c r="I119" s="49"/>
      <c r="J119" s="63"/>
      <c r="K119" s="303"/>
      <c r="L119" s="295"/>
      <c r="M119" s="819"/>
      <c r="AH119" s="538">
        <v>0</v>
      </c>
    </row>
    <row r="120" spans="1:34" ht="18.75" hidden="1" customHeight="1">
      <c r="A120" s="79" t="s">
        <v>246</v>
      </c>
      <c r="B120" s="79" t="s">
        <v>247</v>
      </c>
      <c r="D120" s="1396"/>
      <c r="E120" s="1149"/>
      <c r="F120" s="1284" t="str">
        <f>INDEX(PT_DIFFERENTIATION_VTAR,MATCH(A120,PT_DIFFERENTIATION_VTAR_ID,0))</f>
        <v>Тариф на транспортировку воды</v>
      </c>
      <c r="G120" s="1365" t="str">
        <f>INDEX(PT_DIFFERENTIATION_NTAR,MATCH(B120,PT_DIFFERENTIATION_NTAR_ID,0))</f>
        <v/>
      </c>
      <c r="H120" s="674"/>
      <c r="I120" s="301"/>
      <c r="J120" s="302"/>
      <c r="K120" s="115"/>
      <c r="L120" s="674" t="s">
        <v>317</v>
      </c>
      <c r="M120" s="819"/>
      <c r="AH120" s="538">
        <v>0</v>
      </c>
    </row>
    <row r="121" spans="1:34" ht="18.75" hidden="1" customHeight="1">
      <c r="C121" s="825" t="s">
        <v>1323</v>
      </c>
      <c r="D121" s="1396"/>
      <c r="E121" s="1149"/>
      <c r="F121" s="1284"/>
      <c r="G121" s="1365"/>
      <c r="H121" s="303"/>
      <c r="I121" s="49" t="s">
        <v>1322</v>
      </c>
      <c r="J121" s="63"/>
      <c r="K121" s="303"/>
      <c r="L121" s="295"/>
      <c r="M121" s="819"/>
      <c r="AH121" s="538">
        <v>0</v>
      </c>
    </row>
    <row r="122" spans="1:34" ht="0.75" hidden="1" customHeight="1">
      <c r="C122" s="825" t="s">
        <v>1330</v>
      </c>
      <c r="D122" s="1396"/>
      <c r="E122" s="1149"/>
      <c r="F122" s="1284"/>
      <c r="G122" s="305"/>
      <c r="H122" s="303"/>
      <c r="I122" s="49"/>
      <c r="J122" s="63"/>
      <c r="K122" s="303"/>
      <c r="L122" s="295"/>
      <c r="M122" s="819"/>
      <c r="AH122" s="538">
        <v>0</v>
      </c>
    </row>
    <row r="123" spans="1:34" ht="18.75" hidden="1" customHeight="1">
      <c r="A123" s="79" t="s">
        <v>251</v>
      </c>
      <c r="B123" s="79" t="s">
        <v>252</v>
      </c>
      <c r="D123" s="1396"/>
      <c r="E123" s="1149"/>
      <c r="F123" s="1284" t="str">
        <f>INDEX(PT_DIFFERENTIATION_VTAR,MATCH(A123,PT_DIFFERENTIATION_VTAR_ID,0))</f>
        <v>Тариф на подвоз воды</v>
      </c>
      <c r="G123" s="1365" t="str">
        <f>INDEX(PT_DIFFERENTIATION_NTAR,MATCH(B123,PT_DIFFERENTIATION_NTAR_ID,0))</f>
        <v/>
      </c>
      <c r="H123" s="674"/>
      <c r="I123" s="301"/>
      <c r="J123" s="302"/>
      <c r="K123" s="115"/>
      <c r="L123" s="674" t="s">
        <v>317</v>
      </c>
      <c r="M123" s="819"/>
      <c r="AH123" s="538">
        <v>0</v>
      </c>
    </row>
    <row r="124" spans="1:34" ht="18.75" hidden="1" customHeight="1">
      <c r="C124" s="825" t="s">
        <v>1323</v>
      </c>
      <c r="D124" s="1396"/>
      <c r="E124" s="1149"/>
      <c r="F124" s="1284"/>
      <c r="G124" s="1365"/>
      <c r="H124" s="303"/>
      <c r="I124" s="49" t="s">
        <v>1322</v>
      </c>
      <c r="J124" s="63"/>
      <c r="K124" s="303"/>
      <c r="L124" s="295"/>
      <c r="M124" s="819"/>
      <c r="AH124" s="538">
        <v>0</v>
      </c>
    </row>
    <row r="125" spans="1:34" ht="0.75" hidden="1" customHeight="1">
      <c r="C125" s="825" t="s">
        <v>1330</v>
      </c>
      <c r="D125" s="1396"/>
      <c r="E125" s="1149"/>
      <c r="F125" s="1284"/>
      <c r="G125" s="305"/>
      <c r="H125" s="303"/>
      <c r="I125" s="49"/>
      <c r="J125" s="63"/>
      <c r="K125" s="303"/>
      <c r="L125" s="295"/>
      <c r="M125" s="819"/>
      <c r="AH125" s="538">
        <v>0</v>
      </c>
    </row>
    <row r="126" spans="1:34" ht="18.75" hidden="1" customHeight="1">
      <c r="A126" s="79" t="s">
        <v>256</v>
      </c>
      <c r="B126" s="79" t="s">
        <v>257</v>
      </c>
      <c r="D126" s="1396"/>
      <c r="E126" s="1149"/>
      <c r="F126" s="128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365" t="str">
        <f>INDEX(PT_DIFFERENTIATION_NTAR,MATCH(B126,PT_DIFFERENTIATION_NTAR_ID,0))</f>
        <v/>
      </c>
      <c r="H126" s="674"/>
      <c r="I126" s="301"/>
      <c r="J126" s="302"/>
      <c r="K126" s="115"/>
      <c r="L126" s="674" t="s">
        <v>317</v>
      </c>
      <c r="M126" s="819"/>
      <c r="AH126" s="538">
        <v>0</v>
      </c>
    </row>
    <row r="127" spans="1:34" ht="18.75" hidden="1" customHeight="1">
      <c r="C127" s="825" t="s">
        <v>1323</v>
      </c>
      <c r="D127" s="1396"/>
      <c r="E127" s="1149"/>
      <c r="F127" s="1284"/>
      <c r="G127" s="1365"/>
      <c r="H127" s="303"/>
      <c r="I127" s="49" t="s">
        <v>1322</v>
      </c>
      <c r="J127" s="63"/>
      <c r="K127" s="303"/>
      <c r="L127" s="295"/>
      <c r="M127" s="819"/>
      <c r="AH127" s="538">
        <v>0</v>
      </c>
    </row>
    <row r="128" spans="1:34" ht="0.75" hidden="1" customHeight="1">
      <c r="C128" s="825" t="s">
        <v>1330</v>
      </c>
      <c r="D128" s="1396"/>
      <c r="E128" s="1149"/>
      <c r="F128" s="1284"/>
      <c r="G128" s="305"/>
      <c r="H128" s="303"/>
      <c r="I128" s="49"/>
      <c r="J128" s="63"/>
      <c r="K128" s="303"/>
      <c r="L128" s="295"/>
      <c r="M128" s="819"/>
      <c r="AH128" s="538">
        <v>0</v>
      </c>
    </row>
    <row r="129" spans="1:34" ht="18.75" hidden="1" customHeight="1">
      <c r="A129" s="79" t="s">
        <v>261</v>
      </c>
      <c r="B129" s="79" t="s">
        <v>262</v>
      </c>
      <c r="D129" s="1396"/>
      <c r="E129" s="1149"/>
      <c r="F129" s="1284" t="str">
        <f>INDEX(PT_DIFFERENTIATION_VTAR,MATCH(A129,PT_DIFFERENTIATION_VTAR_ID,0))</f>
        <v>Тариф на горячую воду (горячее водоснабжение)</v>
      </c>
      <c r="G129" s="1365" t="str">
        <f>INDEX(PT_DIFFERENTIATION_NTAR,MATCH(B129,PT_DIFFERENTIATION_NTAR_ID,0))</f>
        <v/>
      </c>
      <c r="H129" s="674"/>
      <c r="I129" s="301"/>
      <c r="J129" s="302"/>
      <c r="K129" s="115"/>
      <c r="L129" s="674" t="s">
        <v>317</v>
      </c>
      <c r="M129" s="819"/>
      <c r="AH129" s="538">
        <v>0</v>
      </c>
    </row>
    <row r="130" spans="1:34" ht="18.75" hidden="1" customHeight="1">
      <c r="C130" s="825" t="s">
        <v>1323</v>
      </c>
      <c r="D130" s="1396"/>
      <c r="E130" s="1149"/>
      <c r="F130" s="1284"/>
      <c r="G130" s="1365"/>
      <c r="H130" s="303"/>
      <c r="I130" s="49" t="s">
        <v>1322</v>
      </c>
      <c r="J130" s="63"/>
      <c r="K130" s="303"/>
      <c r="L130" s="295"/>
      <c r="M130" s="819"/>
      <c r="AH130" s="538">
        <v>0</v>
      </c>
    </row>
    <row r="131" spans="1:34" ht="0.75" hidden="1" customHeight="1">
      <c r="C131" s="825" t="s">
        <v>1330</v>
      </c>
      <c r="D131" s="1396"/>
      <c r="E131" s="1149"/>
      <c r="F131" s="1284"/>
      <c r="G131" s="305"/>
      <c r="H131" s="303"/>
      <c r="I131" s="49"/>
      <c r="J131" s="63"/>
      <c r="K131" s="303"/>
      <c r="L131" s="295"/>
      <c r="M131" s="819"/>
      <c r="AH131" s="538">
        <v>0</v>
      </c>
    </row>
    <row r="132" spans="1:34" ht="18.75" hidden="1" customHeight="1">
      <c r="A132" s="79" t="s">
        <v>266</v>
      </c>
      <c r="B132" s="79" t="s">
        <v>267</v>
      </c>
      <c r="D132" s="1396"/>
      <c r="E132" s="1149"/>
      <c r="F132" s="1284" t="str">
        <f>INDEX(PT_DIFFERENTIATION_VTAR,MATCH(A132,PT_DIFFERENTIATION_VTAR_ID,0))</f>
        <v>Тариф на транспортировку горячей воды</v>
      </c>
      <c r="G132" s="1365" t="str">
        <f>INDEX(PT_DIFFERENTIATION_NTAR,MATCH(B132,PT_DIFFERENTIATION_NTAR_ID,0))</f>
        <v/>
      </c>
      <c r="H132" s="674"/>
      <c r="I132" s="301"/>
      <c r="J132" s="302"/>
      <c r="K132" s="115"/>
      <c r="L132" s="674" t="s">
        <v>317</v>
      </c>
      <c r="M132" s="819"/>
      <c r="AH132" s="538">
        <v>0</v>
      </c>
    </row>
    <row r="133" spans="1:34" ht="18.75" hidden="1" customHeight="1">
      <c r="C133" s="825" t="s">
        <v>1323</v>
      </c>
      <c r="D133" s="1396"/>
      <c r="E133" s="1149"/>
      <c r="F133" s="1284"/>
      <c r="G133" s="1365"/>
      <c r="H133" s="303"/>
      <c r="I133" s="49" t="s">
        <v>1322</v>
      </c>
      <c r="J133" s="63"/>
      <c r="K133" s="303"/>
      <c r="L133" s="295"/>
      <c r="M133" s="819"/>
      <c r="AH133" s="538">
        <v>0</v>
      </c>
    </row>
    <row r="134" spans="1:34" ht="0.75" hidden="1" customHeight="1">
      <c r="C134" s="825" t="s">
        <v>1330</v>
      </c>
      <c r="D134" s="1396"/>
      <c r="E134" s="1149"/>
      <c r="F134" s="1284"/>
      <c r="G134" s="305"/>
      <c r="H134" s="303"/>
      <c r="I134" s="49"/>
      <c r="J134" s="63"/>
      <c r="K134" s="303"/>
      <c r="L134" s="295"/>
      <c r="M134" s="819"/>
      <c r="AH134" s="538">
        <v>0</v>
      </c>
    </row>
    <row r="135" spans="1:34" ht="18.75" hidden="1" customHeight="1">
      <c r="A135" s="79" t="s">
        <v>271</v>
      </c>
      <c r="B135" s="79" t="s">
        <v>272</v>
      </c>
      <c r="D135" s="1396"/>
      <c r="E135" s="1149"/>
      <c r="F135" s="1284" t="str">
        <f>INDEX(PT_DIFFERENTIATION_VTAR,MATCH(A135,PT_DIFFERENTIATION_VTAR_ID,0))</f>
        <v>Тариф на подключение (технологическое присоединение) к централизованной системе горячего водоснабжения</v>
      </c>
      <c r="G135" s="1365" t="str">
        <f>INDEX(PT_DIFFERENTIATION_NTAR,MATCH(B135,PT_DIFFERENTIATION_NTAR_ID,0))</f>
        <v/>
      </c>
      <c r="H135" s="674"/>
      <c r="I135" s="301"/>
      <c r="J135" s="302"/>
      <c r="K135" s="115"/>
      <c r="L135" s="674" t="s">
        <v>317</v>
      </c>
      <c r="M135" s="819"/>
      <c r="AH135" s="538">
        <v>0</v>
      </c>
    </row>
    <row r="136" spans="1:34" ht="18.75" hidden="1" customHeight="1">
      <c r="C136" s="825" t="s">
        <v>1323</v>
      </c>
      <c r="D136" s="1396"/>
      <c r="E136" s="1149"/>
      <c r="F136" s="1284"/>
      <c r="G136" s="1365"/>
      <c r="H136" s="303"/>
      <c r="I136" s="49" t="s">
        <v>1322</v>
      </c>
      <c r="J136" s="63"/>
      <c r="K136" s="303"/>
      <c r="L136" s="295"/>
      <c r="M136" s="819"/>
      <c r="AH136" s="538">
        <v>0</v>
      </c>
    </row>
    <row r="137" spans="1:34" ht="0.75" hidden="1" customHeight="1">
      <c r="C137" s="825" t="s">
        <v>1330</v>
      </c>
      <c r="D137" s="1396"/>
      <c r="E137" s="1149"/>
      <c r="F137" s="1284"/>
      <c r="G137" s="305"/>
      <c r="H137" s="303"/>
      <c r="I137" s="49"/>
      <c r="J137" s="63"/>
      <c r="K137" s="303"/>
      <c r="L137" s="295"/>
      <c r="M137" s="819"/>
      <c r="AH137" s="538">
        <v>0</v>
      </c>
    </row>
    <row r="138" spans="1:34" ht="18.75" hidden="1" customHeight="1">
      <c r="A138" s="79" t="s">
        <v>276</v>
      </c>
      <c r="B138" s="79" t="s">
        <v>277</v>
      </c>
      <c r="D138" s="1396"/>
      <c r="E138" s="1149"/>
      <c r="F138" s="1284" t="str">
        <f>INDEX(PT_DIFFERENTIATION_VTAR,MATCH(A138,PT_DIFFERENTIATION_VTAR_ID,0))</f>
        <v>Тариф на водоотведение</v>
      </c>
      <c r="G138" s="1365" t="str">
        <f>INDEX(PT_DIFFERENTIATION_NTAR,MATCH(B138,PT_DIFFERENTIATION_NTAR_ID,0))</f>
        <v/>
      </c>
      <c r="H138" s="674"/>
      <c r="I138" s="301"/>
      <c r="J138" s="302"/>
      <c r="K138" s="115"/>
      <c r="L138" s="674" t="s">
        <v>317</v>
      </c>
      <c r="M138" s="819"/>
      <c r="AH138" s="538">
        <v>0</v>
      </c>
    </row>
    <row r="139" spans="1:34" ht="18.75" hidden="1" customHeight="1">
      <c r="C139" s="825" t="s">
        <v>1323</v>
      </c>
      <c r="D139" s="1396"/>
      <c r="E139" s="1149"/>
      <c r="F139" s="1284"/>
      <c r="G139" s="1365"/>
      <c r="H139" s="303"/>
      <c r="I139" s="49" t="s">
        <v>1322</v>
      </c>
      <c r="J139" s="63"/>
      <c r="K139" s="303"/>
      <c r="L139" s="295"/>
      <c r="M139" s="819"/>
      <c r="AH139" s="538">
        <v>0</v>
      </c>
    </row>
    <row r="140" spans="1:34" ht="0.75" hidden="1" customHeight="1">
      <c r="C140" s="825" t="s">
        <v>1330</v>
      </c>
      <c r="D140" s="1396"/>
      <c r="E140" s="1149"/>
      <c r="F140" s="1284"/>
      <c r="G140" s="305"/>
      <c r="H140" s="303"/>
      <c r="I140" s="49"/>
      <c r="J140" s="63"/>
      <c r="K140" s="303"/>
      <c r="L140" s="295"/>
      <c r="M140" s="819"/>
      <c r="AH140" s="538">
        <v>0</v>
      </c>
    </row>
    <row r="141" spans="1:34" ht="18.75" hidden="1" customHeight="1">
      <c r="A141" s="79" t="s">
        <v>281</v>
      </c>
      <c r="B141" s="79" t="s">
        <v>282</v>
      </c>
      <c r="D141" s="1396"/>
      <c r="E141" s="1149"/>
      <c r="F141" s="1284" t="str">
        <f>INDEX(PT_DIFFERENTIATION_VTAR,MATCH(A141,PT_DIFFERENTIATION_VTAR_ID,0))</f>
        <v>Тариф на транспортировку сточных вод</v>
      </c>
      <c r="G141" s="1365" t="str">
        <f>INDEX(PT_DIFFERENTIATION_NTAR,MATCH(B141,PT_DIFFERENTIATION_NTAR_ID,0))</f>
        <v/>
      </c>
      <c r="H141" s="674"/>
      <c r="I141" s="301"/>
      <c r="J141" s="302"/>
      <c r="K141" s="115"/>
      <c r="L141" s="674" t="s">
        <v>317</v>
      </c>
      <c r="M141" s="819"/>
      <c r="AH141" s="538">
        <v>0</v>
      </c>
    </row>
    <row r="142" spans="1:34" ht="18.75" hidden="1" customHeight="1">
      <c r="C142" s="825" t="s">
        <v>1323</v>
      </c>
      <c r="D142" s="1396"/>
      <c r="E142" s="1149"/>
      <c r="F142" s="1284"/>
      <c r="G142" s="1365"/>
      <c r="H142" s="303"/>
      <c r="I142" s="49" t="s">
        <v>1322</v>
      </c>
      <c r="J142" s="63"/>
      <c r="K142" s="303"/>
      <c r="L142" s="295"/>
      <c r="M142" s="819"/>
      <c r="AH142" s="538">
        <v>0</v>
      </c>
    </row>
    <row r="143" spans="1:34" ht="0.75" hidden="1" customHeight="1">
      <c r="C143" s="825" t="s">
        <v>1330</v>
      </c>
      <c r="D143" s="1396"/>
      <c r="E143" s="1149"/>
      <c r="F143" s="1284"/>
      <c r="G143" s="305"/>
      <c r="H143" s="303"/>
      <c r="I143" s="49"/>
      <c r="J143" s="63"/>
      <c r="K143" s="303"/>
      <c r="L143" s="295"/>
      <c r="M143" s="819"/>
      <c r="AH143" s="538">
        <v>0</v>
      </c>
    </row>
    <row r="144" spans="1:34" ht="18.75" hidden="1" customHeight="1">
      <c r="A144" s="79" t="s">
        <v>286</v>
      </c>
      <c r="B144" s="79" t="s">
        <v>287</v>
      </c>
      <c r="D144" s="1396"/>
      <c r="E144" s="1149"/>
      <c r="F144" s="1284" t="str">
        <f>INDEX(PT_DIFFERENTIATION_VTAR,MATCH(A144,PT_DIFFERENTIATION_VTAR_ID,0))</f>
        <v>Тариф на подключение (технологическое присоединение) к централизованной системе водоотведения</v>
      </c>
      <c r="G144" s="1365" t="str">
        <f>INDEX(PT_DIFFERENTIATION_NTAR,MATCH(B144,PT_DIFFERENTIATION_NTAR_ID,0))</f>
        <v/>
      </c>
      <c r="H144" s="674"/>
      <c r="I144" s="301"/>
      <c r="J144" s="302"/>
      <c r="K144" s="115"/>
      <c r="L144" s="674" t="s">
        <v>317</v>
      </c>
      <c r="M144" s="819"/>
      <c r="AH144" s="538">
        <v>0</v>
      </c>
    </row>
    <row r="145" spans="1:34" ht="18.75" hidden="1" customHeight="1">
      <c r="C145" s="825" t="s">
        <v>1323</v>
      </c>
      <c r="D145" s="1396"/>
      <c r="E145" s="1149"/>
      <c r="F145" s="1284"/>
      <c r="G145" s="1365"/>
      <c r="H145" s="303"/>
      <c r="I145" s="49" t="s">
        <v>1322</v>
      </c>
      <c r="J145" s="63"/>
      <c r="K145" s="303"/>
      <c r="L145" s="295"/>
      <c r="M145" s="819"/>
      <c r="AH145" s="538">
        <v>0</v>
      </c>
    </row>
    <row r="146" spans="1:34" ht="1.1499999999999999" customHeight="1">
      <c r="C146" s="825" t="s">
        <v>1330</v>
      </c>
      <c r="D146" s="1396"/>
      <c r="E146" s="1149"/>
      <c r="F146" s="1284"/>
      <c r="G146" s="305"/>
      <c r="H146" s="303"/>
      <c r="I146" s="49"/>
      <c r="J146" s="63"/>
      <c r="K146" s="303"/>
      <c r="L146" s="295"/>
      <c r="M146" s="819"/>
      <c r="AH146" s="538">
        <v>1</v>
      </c>
    </row>
    <row r="147" spans="1:34" ht="19.899999999999999" customHeight="1">
      <c r="D147" s="756"/>
      <c r="E147" s="91" t="s">
        <v>90</v>
      </c>
      <c r="F147" s="139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1395"/>
      <c r="H147" s="1395"/>
      <c r="I147" s="1395"/>
      <c r="J147" s="1395"/>
      <c r="K147" s="1395"/>
      <c r="L147" s="1395"/>
      <c r="M147" s="831"/>
      <c r="AH147" s="538">
        <v>19</v>
      </c>
    </row>
    <row r="148" spans="1:34" ht="60.75" hidden="1" customHeight="1">
      <c r="A148" s="79" t="s">
        <v>168</v>
      </c>
      <c r="B148" s="79" t="s">
        <v>169</v>
      </c>
      <c r="D148" s="1396"/>
      <c r="E148" s="1149"/>
      <c r="F148" s="128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365" t="str">
        <f>INDEX(PT_DIFFERENTIATION_NTAR,MATCH(B148,PT_DIFFERENTIATION_NTAR_ID,0))</f>
        <v/>
      </c>
      <c r="H148" s="674"/>
      <c r="I148" s="301"/>
      <c r="J148" s="302"/>
      <c r="K148" s="115"/>
      <c r="L148" s="674" t="s">
        <v>317</v>
      </c>
      <c r="M148" s="11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AH148" s="538">
        <v>0</v>
      </c>
    </row>
    <row r="149" spans="1:34" ht="18.75" hidden="1" customHeight="1">
      <c r="C149" s="825" t="s">
        <v>1323</v>
      </c>
      <c r="D149" s="1396"/>
      <c r="E149" s="1149"/>
      <c r="F149" s="1284"/>
      <c r="G149" s="1365"/>
      <c r="H149" s="303"/>
      <c r="I149" s="49" t="s">
        <v>1322</v>
      </c>
      <c r="J149" s="63"/>
      <c r="K149" s="303"/>
      <c r="L149" s="295"/>
      <c r="M149" s="1122"/>
      <c r="AH149" s="538">
        <v>0</v>
      </c>
    </row>
    <row r="150" spans="1:34" ht="0.75" hidden="1" customHeight="1">
      <c r="C150" s="825" t="s">
        <v>1330</v>
      </c>
      <c r="D150" s="1396"/>
      <c r="E150" s="1149"/>
      <c r="F150" s="1284"/>
      <c r="G150" s="305"/>
      <c r="H150" s="303"/>
      <c r="I150" s="49"/>
      <c r="J150" s="63"/>
      <c r="K150" s="303"/>
      <c r="L150" s="295"/>
      <c r="M150" s="1122"/>
      <c r="AH150" s="538">
        <v>0</v>
      </c>
    </row>
    <row r="151" spans="1:34" ht="45" hidden="1" customHeight="1">
      <c r="A151" s="79" t="s">
        <v>173</v>
      </c>
      <c r="B151" s="79" t="s">
        <v>174</v>
      </c>
      <c r="D151" s="1396"/>
      <c r="E151" s="1149"/>
      <c r="F151" s="1284" t="str">
        <f>INDEX(PT_DIFFERENTIATION_VTAR,MATCH(A151,PT_DIFFERENTIATION_VTAR_ID,0))</f>
        <v/>
      </c>
      <c r="G151" s="1365" t="str">
        <f>INDEX(PT_DIFFERENTIATION_NTAR,MATCH(B151,PT_DIFFERENTIATION_NTAR_ID,0))</f>
        <v/>
      </c>
      <c r="H151" s="674"/>
      <c r="I151" s="301"/>
      <c r="J151" s="302"/>
      <c r="K151" s="115"/>
      <c r="L151" s="674" t="s">
        <v>317</v>
      </c>
      <c r="M151" s="1123"/>
      <c r="AH151" s="538">
        <v>0</v>
      </c>
    </row>
    <row r="152" spans="1:34" ht="18.75" hidden="1" customHeight="1">
      <c r="C152" s="825" t="s">
        <v>1323</v>
      </c>
      <c r="D152" s="1396"/>
      <c r="E152" s="1149"/>
      <c r="F152" s="1284"/>
      <c r="G152" s="1365"/>
      <c r="H152" s="303"/>
      <c r="I152" s="49" t="s">
        <v>1322</v>
      </c>
      <c r="J152" s="63"/>
      <c r="K152" s="303"/>
      <c r="L152" s="295"/>
      <c r="M152" s="613"/>
      <c r="AH152" s="538">
        <v>0</v>
      </c>
    </row>
    <row r="153" spans="1:34" ht="0.75" hidden="1" customHeight="1">
      <c r="C153" s="825" t="s">
        <v>1330</v>
      </c>
      <c r="D153" s="1396"/>
      <c r="E153" s="1149"/>
      <c r="F153" s="1284"/>
      <c r="G153" s="305"/>
      <c r="H153" s="303"/>
      <c r="I153" s="49"/>
      <c r="J153" s="63"/>
      <c r="K153" s="303"/>
      <c r="L153" s="295"/>
      <c r="M153" s="819"/>
      <c r="AH153" s="538">
        <v>0</v>
      </c>
    </row>
    <row r="154" spans="1:34" ht="45" hidden="1" customHeight="1">
      <c r="A154" s="79" t="s">
        <v>180</v>
      </c>
      <c r="B154" s="79" t="s">
        <v>181</v>
      </c>
      <c r="D154" s="1396"/>
      <c r="E154" s="1149"/>
      <c r="F154" s="128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365" t="str">
        <f>INDEX(PT_DIFFERENTIATION_NTAR,MATCH(B154,PT_DIFFERENTIATION_NTAR_ID,0))</f>
        <v/>
      </c>
      <c r="H154" s="674"/>
      <c r="I154" s="301"/>
      <c r="J154" s="302"/>
      <c r="K154" s="115"/>
      <c r="L154" s="674" t="s">
        <v>317</v>
      </c>
      <c r="M154" s="819"/>
      <c r="AH154" s="538">
        <v>0</v>
      </c>
    </row>
    <row r="155" spans="1:34" ht="18.75" hidden="1" customHeight="1">
      <c r="C155" s="825" t="s">
        <v>1323</v>
      </c>
      <c r="D155" s="1396"/>
      <c r="E155" s="1149"/>
      <c r="F155" s="1284"/>
      <c r="G155" s="1365"/>
      <c r="H155" s="303"/>
      <c r="I155" s="49" t="s">
        <v>1322</v>
      </c>
      <c r="J155" s="63"/>
      <c r="K155" s="303"/>
      <c r="L155" s="295"/>
      <c r="M155" s="819"/>
      <c r="AH155" s="538">
        <v>0</v>
      </c>
    </row>
    <row r="156" spans="1:34" ht="0.75" hidden="1" customHeight="1">
      <c r="C156" s="825" t="s">
        <v>1330</v>
      </c>
      <c r="D156" s="1396"/>
      <c r="E156" s="1149"/>
      <c r="F156" s="1284"/>
      <c r="G156" s="305"/>
      <c r="H156" s="303"/>
      <c r="I156" s="49"/>
      <c r="J156" s="63"/>
      <c r="K156" s="303"/>
      <c r="L156" s="295"/>
      <c r="M156" s="819"/>
      <c r="AH156" s="538">
        <v>0</v>
      </c>
    </row>
    <row r="157" spans="1:34" ht="45" hidden="1" customHeight="1">
      <c r="A157" s="79" t="s">
        <v>186</v>
      </c>
      <c r="B157" s="79" t="s">
        <v>187</v>
      </c>
      <c r="D157" s="1396"/>
      <c r="E157" s="1149"/>
      <c r="F157" s="128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365" t="str">
        <f>INDEX(PT_DIFFERENTIATION_NTAR,MATCH(B157,PT_DIFFERENTIATION_NTAR_ID,0))</f>
        <v/>
      </c>
      <c r="H157" s="674"/>
      <c r="I157" s="301"/>
      <c r="J157" s="302"/>
      <c r="K157" s="115"/>
      <c r="L157" s="674" t="s">
        <v>317</v>
      </c>
      <c r="M157" s="819"/>
      <c r="AH157" s="538">
        <v>0</v>
      </c>
    </row>
    <row r="158" spans="1:34" ht="18.75" hidden="1" customHeight="1">
      <c r="C158" s="825" t="s">
        <v>1323</v>
      </c>
      <c r="D158" s="1396"/>
      <c r="E158" s="1149"/>
      <c r="F158" s="1284"/>
      <c r="G158" s="1365"/>
      <c r="H158" s="303"/>
      <c r="I158" s="49" t="s">
        <v>1322</v>
      </c>
      <c r="J158" s="63"/>
      <c r="K158" s="303"/>
      <c r="L158" s="295"/>
      <c r="M158" s="819"/>
      <c r="AH158" s="538">
        <v>0</v>
      </c>
    </row>
    <row r="159" spans="1:34" ht="0.75" hidden="1" customHeight="1">
      <c r="C159" s="825" t="s">
        <v>1330</v>
      </c>
      <c r="D159" s="1396"/>
      <c r="E159" s="1149"/>
      <c r="F159" s="1284"/>
      <c r="G159" s="305"/>
      <c r="H159" s="303"/>
      <c r="I159" s="49"/>
      <c r="J159" s="63"/>
      <c r="K159" s="303"/>
      <c r="L159" s="295"/>
      <c r="M159" s="819"/>
      <c r="AH159" s="538">
        <v>0</v>
      </c>
    </row>
    <row r="160" spans="1:34" ht="18.75" hidden="1" customHeight="1">
      <c r="A160" s="79" t="s">
        <v>192</v>
      </c>
      <c r="B160" s="79" t="s">
        <v>193</v>
      </c>
      <c r="D160" s="1396"/>
      <c r="E160" s="1149"/>
      <c r="F160" s="1284" t="str">
        <f>INDEX(PT_DIFFERENTIATION_VTAR,MATCH(A160,PT_DIFFERENTIATION_VTAR_ID,0))</f>
        <v>Тарифы на услуги по передаче тепловой энергии</v>
      </c>
      <c r="G160" s="1365" t="str">
        <f>INDEX(PT_DIFFERENTIATION_NTAR,MATCH(B160,PT_DIFFERENTIATION_NTAR_ID,0))</f>
        <v/>
      </c>
      <c r="H160" s="674"/>
      <c r="I160" s="301"/>
      <c r="J160" s="302"/>
      <c r="K160" s="115"/>
      <c r="L160" s="674" t="s">
        <v>317</v>
      </c>
      <c r="M160" s="819"/>
      <c r="AH160" s="538">
        <v>0</v>
      </c>
    </row>
    <row r="161" spans="1:34" ht="18.75" hidden="1" customHeight="1">
      <c r="C161" s="825" t="s">
        <v>1323</v>
      </c>
      <c r="D161" s="1396"/>
      <c r="E161" s="1149"/>
      <c r="F161" s="1284"/>
      <c r="G161" s="1365"/>
      <c r="H161" s="303"/>
      <c r="I161" s="49" t="s">
        <v>1322</v>
      </c>
      <c r="J161" s="63"/>
      <c r="K161" s="303"/>
      <c r="L161" s="295"/>
      <c r="M161" s="819"/>
      <c r="AH161" s="538">
        <v>0</v>
      </c>
    </row>
    <row r="162" spans="1:34" ht="0.75" hidden="1" customHeight="1">
      <c r="C162" s="825" t="s">
        <v>1330</v>
      </c>
      <c r="D162" s="1396"/>
      <c r="E162" s="1149"/>
      <c r="F162" s="1284"/>
      <c r="G162" s="305"/>
      <c r="H162" s="303"/>
      <c r="I162" s="49"/>
      <c r="J162" s="63"/>
      <c r="K162" s="303"/>
      <c r="L162" s="295"/>
      <c r="M162" s="819"/>
      <c r="AH162" s="538">
        <v>0</v>
      </c>
    </row>
    <row r="163" spans="1:34" ht="18.75" hidden="1" customHeight="1">
      <c r="A163" s="79" t="s">
        <v>198</v>
      </c>
      <c r="B163" s="79" t="s">
        <v>199</v>
      </c>
      <c r="D163" s="1396"/>
      <c r="E163" s="1149"/>
      <c r="F163" s="1284" t="str">
        <f>INDEX(PT_DIFFERENTIATION_VTAR,MATCH(A163,PT_DIFFERENTIATION_VTAR_ID,0))</f>
        <v>Тарифы на услуги по передаче теплоносителя</v>
      </c>
      <c r="G163" s="1365" t="str">
        <f>INDEX(PT_DIFFERENTIATION_NTAR,MATCH(B163,PT_DIFFERENTIATION_NTAR_ID,0))</f>
        <v/>
      </c>
      <c r="H163" s="674"/>
      <c r="I163" s="301"/>
      <c r="J163" s="302"/>
      <c r="K163" s="115"/>
      <c r="L163" s="674" t="s">
        <v>317</v>
      </c>
      <c r="M163" s="819"/>
      <c r="AH163" s="538">
        <v>0</v>
      </c>
    </row>
    <row r="164" spans="1:34" ht="18.75" hidden="1" customHeight="1">
      <c r="C164" s="825" t="s">
        <v>1323</v>
      </c>
      <c r="D164" s="1396"/>
      <c r="E164" s="1149"/>
      <c r="F164" s="1284"/>
      <c r="G164" s="1365"/>
      <c r="H164" s="303"/>
      <c r="I164" s="49" t="s">
        <v>1322</v>
      </c>
      <c r="J164" s="63"/>
      <c r="K164" s="303"/>
      <c r="L164" s="295"/>
      <c r="M164" s="819"/>
      <c r="AH164" s="538">
        <v>0</v>
      </c>
    </row>
    <row r="165" spans="1:34" ht="0.75" hidden="1" customHeight="1">
      <c r="C165" s="825" t="s">
        <v>1330</v>
      </c>
      <c r="D165" s="1396"/>
      <c r="E165" s="1149"/>
      <c r="F165" s="1284"/>
      <c r="G165" s="305"/>
      <c r="H165" s="303"/>
      <c r="I165" s="49"/>
      <c r="J165" s="63"/>
      <c r="K165" s="303"/>
      <c r="L165" s="295"/>
      <c r="M165" s="819"/>
      <c r="AH165" s="538">
        <v>0</v>
      </c>
    </row>
    <row r="166" spans="1:34" ht="18.75" hidden="1" customHeight="1">
      <c r="A166" s="79" t="s">
        <v>204</v>
      </c>
      <c r="B166" s="79" t="s">
        <v>205</v>
      </c>
      <c r="D166" s="1396"/>
      <c r="E166" s="1149"/>
      <c r="F166" s="128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365" t="str">
        <f>INDEX(PT_DIFFERENTIATION_NTAR,MATCH(B166,PT_DIFFERENTIATION_NTAR_ID,0))</f>
        <v/>
      </c>
      <c r="H166" s="674"/>
      <c r="I166" s="301"/>
      <c r="J166" s="302"/>
      <c r="K166" s="115"/>
      <c r="L166" s="674" t="s">
        <v>317</v>
      </c>
      <c r="M166" s="819"/>
      <c r="AH166" s="538">
        <v>0</v>
      </c>
    </row>
    <row r="167" spans="1:34" ht="18.75" hidden="1" customHeight="1">
      <c r="C167" s="825" t="s">
        <v>1323</v>
      </c>
      <c r="D167" s="1396"/>
      <c r="E167" s="1149"/>
      <c r="F167" s="1284"/>
      <c r="G167" s="1365"/>
      <c r="H167" s="303"/>
      <c r="I167" s="49" t="s">
        <v>1322</v>
      </c>
      <c r="J167" s="63"/>
      <c r="K167" s="303"/>
      <c r="L167" s="295"/>
      <c r="M167" s="819"/>
      <c r="AH167" s="538">
        <v>0</v>
      </c>
    </row>
    <row r="168" spans="1:34" ht="0.75" hidden="1" customHeight="1">
      <c r="C168" s="825" t="s">
        <v>1330</v>
      </c>
      <c r="D168" s="1396"/>
      <c r="E168" s="1149"/>
      <c r="F168" s="1284"/>
      <c r="G168" s="305"/>
      <c r="H168" s="303"/>
      <c r="I168" s="49"/>
      <c r="J168" s="63"/>
      <c r="K168" s="303"/>
      <c r="L168" s="295"/>
      <c r="M168" s="819"/>
      <c r="AH168" s="538">
        <v>0</v>
      </c>
    </row>
    <row r="169" spans="1:34" ht="18.75" hidden="1" customHeight="1">
      <c r="A169" s="79" t="s">
        <v>210</v>
      </c>
      <c r="B169" s="79" t="s">
        <v>211</v>
      </c>
      <c r="D169" s="1396"/>
      <c r="E169" s="1149"/>
      <c r="F169" s="1284" t="str">
        <f>INDEX(PT_DIFFERENTIATION_VTAR,MATCH(A169,PT_DIFFERENTIATION_VTAR_ID,0))</f>
        <v>Плата за подключение (технологическое присоединение) к системе теплоснабжения</v>
      </c>
      <c r="G169" s="1365" t="str">
        <f>INDEX(PT_DIFFERENTIATION_NTAR,MATCH(B169,PT_DIFFERENTIATION_NTAR_ID,0))</f>
        <v/>
      </c>
      <c r="H169" s="674"/>
      <c r="I169" s="301"/>
      <c r="J169" s="302"/>
      <c r="K169" s="115"/>
      <c r="L169" s="674" t="s">
        <v>317</v>
      </c>
      <c r="M169" s="819"/>
      <c r="AH169" s="538">
        <v>0</v>
      </c>
    </row>
    <row r="170" spans="1:34" ht="18.75" hidden="1" customHeight="1">
      <c r="C170" s="825" t="s">
        <v>1323</v>
      </c>
      <c r="D170" s="1396"/>
      <c r="E170" s="1149"/>
      <c r="F170" s="1284"/>
      <c r="G170" s="1365"/>
      <c r="H170" s="303"/>
      <c r="I170" s="49" t="s">
        <v>1322</v>
      </c>
      <c r="J170" s="63"/>
      <c r="K170" s="303"/>
      <c r="L170" s="295"/>
      <c r="M170" s="819"/>
      <c r="AH170" s="538">
        <v>0</v>
      </c>
    </row>
    <row r="171" spans="1:34" ht="0.75" hidden="1" customHeight="1">
      <c r="C171" s="825" t="s">
        <v>1330</v>
      </c>
      <c r="D171" s="1396"/>
      <c r="E171" s="1149"/>
      <c r="F171" s="1284"/>
      <c r="G171" s="305"/>
      <c r="H171" s="303"/>
      <c r="I171" s="49"/>
      <c r="J171" s="63"/>
      <c r="K171" s="303"/>
      <c r="L171" s="295"/>
      <c r="M171" s="819"/>
      <c r="AH171" s="538">
        <v>0</v>
      </c>
    </row>
    <row r="172" spans="1:34" ht="18.75" hidden="1" customHeight="1">
      <c r="A172" s="79" t="s">
        <v>216</v>
      </c>
      <c r="B172" s="79" t="s">
        <v>217</v>
      </c>
      <c r="D172" s="1396"/>
      <c r="E172" s="1149"/>
      <c r="F172" s="1284" t="str">
        <f>INDEX(PT_DIFFERENTIATION_VTAR,MATCH(A172,PT_DIFFERENTIATION_VTAR_ID,0))</f>
        <v>Плата за подключение (технологическое присоединение) к системе теплоснабжения (индивидуальная)</v>
      </c>
      <c r="G172" s="1365" t="str">
        <f>INDEX(PT_DIFFERENTIATION_NTAR,MATCH(B172,PT_DIFFERENTIATION_NTAR_ID,0))</f>
        <v/>
      </c>
      <c r="H172" s="674"/>
      <c r="I172" s="301"/>
      <c r="J172" s="302"/>
      <c r="K172" s="115"/>
      <c r="L172" s="674" t="s">
        <v>317</v>
      </c>
      <c r="M172" s="819"/>
      <c r="AH172" s="538">
        <v>0</v>
      </c>
    </row>
    <row r="173" spans="1:34" ht="18.75" hidden="1" customHeight="1">
      <c r="C173" s="825" t="s">
        <v>1323</v>
      </c>
      <c r="D173" s="1396"/>
      <c r="E173" s="1149"/>
      <c r="F173" s="1284"/>
      <c r="G173" s="1365"/>
      <c r="H173" s="303"/>
      <c r="I173" s="49" t="s">
        <v>1322</v>
      </c>
      <c r="J173" s="63"/>
      <c r="K173" s="303"/>
      <c r="L173" s="295"/>
      <c r="M173" s="819"/>
      <c r="AH173" s="538">
        <v>0</v>
      </c>
    </row>
    <row r="174" spans="1:34" ht="0.75" hidden="1" customHeight="1">
      <c r="C174" s="825" t="s">
        <v>1330</v>
      </c>
      <c r="D174" s="1396"/>
      <c r="E174" s="1149"/>
      <c r="F174" s="1284"/>
      <c r="G174" s="305"/>
      <c r="H174" s="303"/>
      <c r="I174" s="49"/>
      <c r="J174" s="63"/>
      <c r="K174" s="303"/>
      <c r="L174" s="295"/>
      <c r="M174" s="819"/>
      <c r="AH174" s="538">
        <v>0</v>
      </c>
    </row>
    <row r="175" spans="1:34" ht="18.75" hidden="1" customHeight="1">
      <c r="A175" s="79" t="s">
        <v>236</v>
      </c>
      <c r="B175" s="79" t="s">
        <v>237</v>
      </c>
      <c r="D175" s="1396"/>
      <c r="E175" s="1149"/>
      <c r="F175" s="1284" t="str">
        <f>INDEX(PT_DIFFERENTIATION_VTAR,MATCH(A175,PT_DIFFERENTIATION_VTAR_ID,0))</f>
        <v>Тариф на питьевую воду (питьевое водоснабжение)</v>
      </c>
      <c r="G175" s="1365" t="str">
        <f>INDEX(PT_DIFFERENTIATION_NTAR,MATCH(B175,PT_DIFFERENTIATION_NTAR_ID,0))</f>
        <v/>
      </c>
      <c r="H175" s="674"/>
      <c r="I175" s="301"/>
      <c r="J175" s="302"/>
      <c r="K175" s="115"/>
      <c r="L175" s="674" t="s">
        <v>317</v>
      </c>
      <c r="M175" s="819"/>
      <c r="AH175" s="538">
        <v>0</v>
      </c>
    </row>
    <row r="176" spans="1:34" ht="18.75" hidden="1" customHeight="1">
      <c r="C176" s="825" t="s">
        <v>1323</v>
      </c>
      <c r="D176" s="1396"/>
      <c r="E176" s="1149"/>
      <c r="F176" s="1284"/>
      <c r="G176" s="1365"/>
      <c r="H176" s="303"/>
      <c r="I176" s="49" t="s">
        <v>1322</v>
      </c>
      <c r="J176" s="63"/>
      <c r="K176" s="303"/>
      <c r="L176" s="295"/>
      <c r="M176" s="819"/>
      <c r="AH176" s="538">
        <v>0</v>
      </c>
    </row>
    <row r="177" spans="1:34" ht="0.75" hidden="1" customHeight="1">
      <c r="C177" s="825" t="s">
        <v>1330</v>
      </c>
      <c r="D177" s="1396"/>
      <c r="E177" s="1149"/>
      <c r="F177" s="1284"/>
      <c r="G177" s="305"/>
      <c r="H177" s="303"/>
      <c r="I177" s="49"/>
      <c r="J177" s="63"/>
      <c r="K177" s="303"/>
      <c r="L177" s="295"/>
      <c r="M177" s="819"/>
      <c r="AH177" s="538">
        <v>0</v>
      </c>
    </row>
    <row r="178" spans="1:34" ht="18.75" hidden="1" customHeight="1">
      <c r="A178" s="79" t="s">
        <v>241</v>
      </c>
      <c r="B178" s="79" t="s">
        <v>242</v>
      </c>
      <c r="D178" s="1396"/>
      <c r="E178" s="1149"/>
      <c r="F178" s="1284" t="str">
        <f>INDEX(PT_DIFFERENTIATION_VTAR,MATCH(A178,PT_DIFFERENTIATION_VTAR_ID,0))</f>
        <v>Тариф на техническую воду</v>
      </c>
      <c r="G178" s="1365" t="str">
        <f>INDEX(PT_DIFFERENTIATION_NTAR,MATCH(B178,PT_DIFFERENTIATION_NTAR_ID,0))</f>
        <v/>
      </c>
      <c r="H178" s="674"/>
      <c r="I178" s="301"/>
      <c r="J178" s="302"/>
      <c r="K178" s="115"/>
      <c r="L178" s="674" t="s">
        <v>317</v>
      </c>
      <c r="M178" s="819"/>
      <c r="AH178" s="538">
        <v>0</v>
      </c>
    </row>
    <row r="179" spans="1:34" ht="18.75" hidden="1" customHeight="1">
      <c r="C179" s="825" t="s">
        <v>1323</v>
      </c>
      <c r="D179" s="1396"/>
      <c r="E179" s="1149"/>
      <c r="F179" s="1284"/>
      <c r="G179" s="1365"/>
      <c r="H179" s="303"/>
      <c r="I179" s="49" t="s">
        <v>1322</v>
      </c>
      <c r="J179" s="63"/>
      <c r="K179" s="303"/>
      <c r="L179" s="295"/>
      <c r="M179" s="819"/>
      <c r="AH179" s="538">
        <v>0</v>
      </c>
    </row>
    <row r="180" spans="1:34" ht="0.75" hidden="1" customHeight="1">
      <c r="C180" s="825" t="s">
        <v>1330</v>
      </c>
      <c r="D180" s="1396"/>
      <c r="E180" s="1149"/>
      <c r="F180" s="1284"/>
      <c r="G180" s="305"/>
      <c r="H180" s="303"/>
      <c r="I180" s="49"/>
      <c r="J180" s="63"/>
      <c r="K180" s="303"/>
      <c r="L180" s="295"/>
      <c r="M180" s="819"/>
      <c r="AH180" s="538">
        <v>0</v>
      </c>
    </row>
    <row r="181" spans="1:34" ht="18.75" hidden="1" customHeight="1">
      <c r="A181" s="79" t="s">
        <v>246</v>
      </c>
      <c r="B181" s="79" t="s">
        <v>247</v>
      </c>
      <c r="D181" s="1396"/>
      <c r="E181" s="1149"/>
      <c r="F181" s="1284" t="str">
        <f>INDEX(PT_DIFFERENTIATION_VTAR,MATCH(A181,PT_DIFFERENTIATION_VTAR_ID,0))</f>
        <v>Тариф на транспортировку воды</v>
      </c>
      <c r="G181" s="1365" t="str">
        <f>INDEX(PT_DIFFERENTIATION_NTAR,MATCH(B181,PT_DIFFERENTIATION_NTAR_ID,0))</f>
        <v/>
      </c>
      <c r="H181" s="674"/>
      <c r="I181" s="301"/>
      <c r="J181" s="302"/>
      <c r="K181" s="115"/>
      <c r="L181" s="674" t="s">
        <v>317</v>
      </c>
      <c r="M181" s="819"/>
      <c r="AH181" s="538">
        <v>0</v>
      </c>
    </row>
    <row r="182" spans="1:34" ht="18.75" hidden="1" customHeight="1">
      <c r="C182" s="825" t="s">
        <v>1323</v>
      </c>
      <c r="D182" s="1396"/>
      <c r="E182" s="1149"/>
      <c r="F182" s="1284"/>
      <c r="G182" s="1365"/>
      <c r="H182" s="303"/>
      <c r="I182" s="49" t="s">
        <v>1322</v>
      </c>
      <c r="J182" s="63"/>
      <c r="K182" s="303"/>
      <c r="L182" s="295"/>
      <c r="M182" s="819"/>
      <c r="AH182" s="538">
        <v>0</v>
      </c>
    </row>
    <row r="183" spans="1:34" ht="0.75" hidden="1" customHeight="1">
      <c r="C183" s="825" t="s">
        <v>1330</v>
      </c>
      <c r="D183" s="1396"/>
      <c r="E183" s="1149"/>
      <c r="F183" s="1284"/>
      <c r="G183" s="305"/>
      <c r="H183" s="303"/>
      <c r="I183" s="49"/>
      <c r="J183" s="63"/>
      <c r="K183" s="303"/>
      <c r="L183" s="295"/>
      <c r="M183" s="819"/>
      <c r="AH183" s="538">
        <v>0</v>
      </c>
    </row>
    <row r="184" spans="1:34" ht="18.75" hidden="1" customHeight="1">
      <c r="A184" s="79" t="s">
        <v>251</v>
      </c>
      <c r="B184" s="79" t="s">
        <v>252</v>
      </c>
      <c r="D184" s="1396"/>
      <c r="E184" s="1149"/>
      <c r="F184" s="1284" t="str">
        <f>INDEX(PT_DIFFERENTIATION_VTAR,MATCH(A184,PT_DIFFERENTIATION_VTAR_ID,0))</f>
        <v>Тариф на подвоз воды</v>
      </c>
      <c r="G184" s="1365" t="str">
        <f>INDEX(PT_DIFFERENTIATION_NTAR,MATCH(B184,PT_DIFFERENTIATION_NTAR_ID,0))</f>
        <v/>
      </c>
      <c r="H184" s="674"/>
      <c r="I184" s="301"/>
      <c r="J184" s="302"/>
      <c r="K184" s="115"/>
      <c r="L184" s="674" t="s">
        <v>317</v>
      </c>
      <c r="M184" s="819"/>
      <c r="AH184" s="538">
        <v>0</v>
      </c>
    </row>
    <row r="185" spans="1:34" ht="18.75" hidden="1" customHeight="1">
      <c r="C185" s="825" t="s">
        <v>1323</v>
      </c>
      <c r="D185" s="1396"/>
      <c r="E185" s="1149"/>
      <c r="F185" s="1284"/>
      <c r="G185" s="1365"/>
      <c r="H185" s="303"/>
      <c r="I185" s="49" t="s">
        <v>1322</v>
      </c>
      <c r="J185" s="63"/>
      <c r="K185" s="303"/>
      <c r="L185" s="295"/>
      <c r="M185" s="819"/>
      <c r="AH185" s="538">
        <v>0</v>
      </c>
    </row>
    <row r="186" spans="1:34" ht="0.75" hidden="1" customHeight="1">
      <c r="C186" s="825" t="s">
        <v>1330</v>
      </c>
      <c r="D186" s="1396"/>
      <c r="E186" s="1149"/>
      <c r="F186" s="1284"/>
      <c r="G186" s="305"/>
      <c r="H186" s="303"/>
      <c r="I186" s="49"/>
      <c r="J186" s="63"/>
      <c r="K186" s="303"/>
      <c r="L186" s="295"/>
      <c r="M186" s="819"/>
      <c r="AH186" s="538">
        <v>0</v>
      </c>
    </row>
    <row r="187" spans="1:34" ht="18.75" hidden="1" customHeight="1">
      <c r="A187" s="79" t="s">
        <v>256</v>
      </c>
      <c r="B187" s="79" t="s">
        <v>257</v>
      </c>
      <c r="D187" s="1396"/>
      <c r="E187" s="1149"/>
      <c r="F187" s="128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365" t="str">
        <f>INDEX(PT_DIFFERENTIATION_NTAR,MATCH(B187,PT_DIFFERENTIATION_NTAR_ID,0))</f>
        <v/>
      </c>
      <c r="H187" s="674"/>
      <c r="I187" s="301"/>
      <c r="J187" s="302"/>
      <c r="K187" s="115"/>
      <c r="L187" s="674" t="s">
        <v>317</v>
      </c>
      <c r="M187" s="819"/>
      <c r="AH187" s="538">
        <v>0</v>
      </c>
    </row>
    <row r="188" spans="1:34" ht="18.75" hidden="1" customHeight="1">
      <c r="C188" s="825" t="s">
        <v>1323</v>
      </c>
      <c r="D188" s="1396"/>
      <c r="E188" s="1149"/>
      <c r="F188" s="1284"/>
      <c r="G188" s="1365"/>
      <c r="H188" s="303"/>
      <c r="I188" s="49" t="s">
        <v>1322</v>
      </c>
      <c r="J188" s="63"/>
      <c r="K188" s="303"/>
      <c r="L188" s="295"/>
      <c r="M188" s="819"/>
      <c r="AH188" s="538">
        <v>0</v>
      </c>
    </row>
    <row r="189" spans="1:34" ht="0.75" hidden="1" customHeight="1">
      <c r="C189" s="825" t="s">
        <v>1330</v>
      </c>
      <c r="D189" s="1396"/>
      <c r="E189" s="1149"/>
      <c r="F189" s="1284"/>
      <c r="G189" s="305"/>
      <c r="H189" s="303"/>
      <c r="I189" s="49"/>
      <c r="J189" s="63"/>
      <c r="K189" s="303"/>
      <c r="L189" s="295"/>
      <c r="M189" s="819"/>
      <c r="AH189" s="538">
        <v>0</v>
      </c>
    </row>
    <row r="190" spans="1:34" ht="18.75" hidden="1" customHeight="1">
      <c r="A190" s="79" t="s">
        <v>261</v>
      </c>
      <c r="B190" s="79" t="s">
        <v>262</v>
      </c>
      <c r="D190" s="1396"/>
      <c r="E190" s="1149"/>
      <c r="F190" s="1284" t="str">
        <f>INDEX(PT_DIFFERENTIATION_VTAR,MATCH(A190,PT_DIFFERENTIATION_VTAR_ID,0))</f>
        <v>Тариф на горячую воду (горячее водоснабжение)</v>
      </c>
      <c r="G190" s="1365" t="str">
        <f>INDEX(PT_DIFFERENTIATION_NTAR,MATCH(B190,PT_DIFFERENTIATION_NTAR_ID,0))</f>
        <v/>
      </c>
      <c r="H190" s="674"/>
      <c r="I190" s="301"/>
      <c r="J190" s="302"/>
      <c r="K190" s="115"/>
      <c r="L190" s="674" t="s">
        <v>317</v>
      </c>
      <c r="M190" s="819"/>
      <c r="AH190" s="538">
        <v>0</v>
      </c>
    </row>
    <row r="191" spans="1:34" ht="18.75" hidden="1" customHeight="1">
      <c r="C191" s="825" t="s">
        <v>1323</v>
      </c>
      <c r="D191" s="1396"/>
      <c r="E191" s="1149"/>
      <c r="F191" s="1284"/>
      <c r="G191" s="1365"/>
      <c r="H191" s="303"/>
      <c r="I191" s="49" t="s">
        <v>1322</v>
      </c>
      <c r="J191" s="63"/>
      <c r="K191" s="303"/>
      <c r="L191" s="295"/>
      <c r="M191" s="819"/>
      <c r="AH191" s="538">
        <v>0</v>
      </c>
    </row>
    <row r="192" spans="1:34" ht="0.75" hidden="1" customHeight="1">
      <c r="C192" s="825" t="s">
        <v>1330</v>
      </c>
      <c r="D192" s="1396"/>
      <c r="E192" s="1149"/>
      <c r="F192" s="1284"/>
      <c r="G192" s="305"/>
      <c r="H192" s="303"/>
      <c r="I192" s="49"/>
      <c r="J192" s="63"/>
      <c r="K192" s="303"/>
      <c r="L192" s="295"/>
      <c r="M192" s="819"/>
      <c r="AH192" s="538">
        <v>0</v>
      </c>
    </row>
    <row r="193" spans="1:34" ht="18.75" hidden="1" customHeight="1">
      <c r="A193" s="79" t="s">
        <v>266</v>
      </c>
      <c r="B193" s="79" t="s">
        <v>267</v>
      </c>
      <c r="D193" s="1396"/>
      <c r="E193" s="1149"/>
      <c r="F193" s="1284" t="str">
        <f>INDEX(PT_DIFFERENTIATION_VTAR,MATCH(A193,PT_DIFFERENTIATION_VTAR_ID,0))</f>
        <v>Тариф на транспортировку горячей воды</v>
      </c>
      <c r="G193" s="1365" t="str">
        <f>INDEX(PT_DIFFERENTIATION_NTAR,MATCH(B193,PT_DIFFERENTIATION_NTAR_ID,0))</f>
        <v/>
      </c>
      <c r="H193" s="674"/>
      <c r="I193" s="301"/>
      <c r="J193" s="302"/>
      <c r="K193" s="115"/>
      <c r="L193" s="674" t="s">
        <v>317</v>
      </c>
      <c r="M193" s="819"/>
      <c r="AH193" s="538">
        <v>0</v>
      </c>
    </row>
    <row r="194" spans="1:34" ht="18.75" hidden="1" customHeight="1">
      <c r="C194" s="825" t="s">
        <v>1323</v>
      </c>
      <c r="D194" s="1396"/>
      <c r="E194" s="1149"/>
      <c r="F194" s="1284"/>
      <c r="G194" s="1365"/>
      <c r="H194" s="303"/>
      <c r="I194" s="49" t="s">
        <v>1322</v>
      </c>
      <c r="J194" s="63"/>
      <c r="K194" s="303"/>
      <c r="L194" s="295"/>
      <c r="M194" s="819"/>
      <c r="AH194" s="538">
        <v>0</v>
      </c>
    </row>
    <row r="195" spans="1:34" ht="0.75" hidden="1" customHeight="1">
      <c r="C195" s="825" t="s">
        <v>1330</v>
      </c>
      <c r="D195" s="1396"/>
      <c r="E195" s="1149"/>
      <c r="F195" s="1284"/>
      <c r="G195" s="305"/>
      <c r="H195" s="303"/>
      <c r="I195" s="49"/>
      <c r="J195" s="63"/>
      <c r="K195" s="303"/>
      <c r="L195" s="295"/>
      <c r="M195" s="819"/>
      <c r="AH195" s="538">
        <v>0</v>
      </c>
    </row>
    <row r="196" spans="1:34" ht="18.75" hidden="1" customHeight="1">
      <c r="A196" s="79" t="s">
        <v>271</v>
      </c>
      <c r="B196" s="79" t="s">
        <v>272</v>
      </c>
      <c r="D196" s="1396"/>
      <c r="E196" s="1149"/>
      <c r="F196" s="1284" t="str">
        <f>INDEX(PT_DIFFERENTIATION_VTAR,MATCH(A196,PT_DIFFERENTIATION_VTAR_ID,0))</f>
        <v>Тариф на подключение (технологическое присоединение) к централизованной системе горячего водоснабжения</v>
      </c>
      <c r="G196" s="1365" t="str">
        <f>INDEX(PT_DIFFERENTIATION_NTAR,MATCH(B196,PT_DIFFERENTIATION_NTAR_ID,0))</f>
        <v/>
      </c>
      <c r="H196" s="674"/>
      <c r="I196" s="301"/>
      <c r="J196" s="302"/>
      <c r="K196" s="115"/>
      <c r="L196" s="674" t="s">
        <v>317</v>
      </c>
      <c r="M196" s="819"/>
      <c r="AH196" s="538">
        <v>0</v>
      </c>
    </row>
    <row r="197" spans="1:34" ht="18.75" hidden="1" customHeight="1">
      <c r="C197" s="825" t="s">
        <v>1323</v>
      </c>
      <c r="D197" s="1396"/>
      <c r="E197" s="1149"/>
      <c r="F197" s="1284"/>
      <c r="G197" s="1365"/>
      <c r="H197" s="303"/>
      <c r="I197" s="49" t="s">
        <v>1322</v>
      </c>
      <c r="J197" s="63"/>
      <c r="K197" s="303"/>
      <c r="L197" s="295"/>
      <c r="M197" s="819"/>
      <c r="AH197" s="538">
        <v>0</v>
      </c>
    </row>
    <row r="198" spans="1:34" ht="0.75" hidden="1" customHeight="1">
      <c r="C198" s="825" t="s">
        <v>1330</v>
      </c>
      <c r="D198" s="1396"/>
      <c r="E198" s="1149"/>
      <c r="F198" s="1284"/>
      <c r="G198" s="305"/>
      <c r="H198" s="303"/>
      <c r="I198" s="49"/>
      <c r="J198" s="63"/>
      <c r="K198" s="303"/>
      <c r="L198" s="295"/>
      <c r="M198" s="819"/>
      <c r="AH198" s="538">
        <v>0</v>
      </c>
    </row>
    <row r="199" spans="1:34" ht="18.75" hidden="1" customHeight="1">
      <c r="A199" s="79" t="s">
        <v>276</v>
      </c>
      <c r="B199" s="79" t="s">
        <v>277</v>
      </c>
      <c r="D199" s="1396"/>
      <c r="E199" s="1149"/>
      <c r="F199" s="1284" t="str">
        <f>INDEX(PT_DIFFERENTIATION_VTAR,MATCH(A199,PT_DIFFERENTIATION_VTAR_ID,0))</f>
        <v>Тариф на водоотведение</v>
      </c>
      <c r="G199" s="1365" t="str">
        <f>INDEX(PT_DIFFERENTIATION_NTAR,MATCH(B199,PT_DIFFERENTIATION_NTAR_ID,0))</f>
        <v/>
      </c>
      <c r="H199" s="674"/>
      <c r="I199" s="301"/>
      <c r="J199" s="302"/>
      <c r="K199" s="115"/>
      <c r="L199" s="674" t="s">
        <v>317</v>
      </c>
      <c r="M199" s="819"/>
      <c r="AH199" s="538">
        <v>0</v>
      </c>
    </row>
    <row r="200" spans="1:34" ht="18.75" hidden="1" customHeight="1">
      <c r="C200" s="825" t="s">
        <v>1323</v>
      </c>
      <c r="D200" s="1396"/>
      <c r="E200" s="1149"/>
      <c r="F200" s="1284"/>
      <c r="G200" s="1365"/>
      <c r="H200" s="303"/>
      <c r="I200" s="49" t="s">
        <v>1322</v>
      </c>
      <c r="J200" s="63"/>
      <c r="K200" s="303"/>
      <c r="L200" s="295"/>
      <c r="M200" s="819"/>
      <c r="AH200" s="538">
        <v>0</v>
      </c>
    </row>
    <row r="201" spans="1:34" ht="0.75" hidden="1" customHeight="1">
      <c r="C201" s="825" t="s">
        <v>1330</v>
      </c>
      <c r="D201" s="1396"/>
      <c r="E201" s="1149"/>
      <c r="F201" s="1284"/>
      <c r="G201" s="305"/>
      <c r="H201" s="303"/>
      <c r="I201" s="49"/>
      <c r="J201" s="63"/>
      <c r="K201" s="303"/>
      <c r="L201" s="295"/>
      <c r="M201" s="819"/>
      <c r="AH201" s="538">
        <v>0</v>
      </c>
    </row>
    <row r="202" spans="1:34" ht="18.75" hidden="1" customHeight="1">
      <c r="A202" s="79" t="s">
        <v>281</v>
      </c>
      <c r="B202" s="79" t="s">
        <v>282</v>
      </c>
      <c r="D202" s="1396"/>
      <c r="E202" s="1149"/>
      <c r="F202" s="1284" t="str">
        <f>INDEX(PT_DIFFERENTIATION_VTAR,MATCH(A202,PT_DIFFERENTIATION_VTAR_ID,0))</f>
        <v>Тариф на транспортировку сточных вод</v>
      </c>
      <c r="G202" s="1365" t="str">
        <f>INDEX(PT_DIFFERENTIATION_NTAR,MATCH(B202,PT_DIFFERENTIATION_NTAR_ID,0))</f>
        <v/>
      </c>
      <c r="H202" s="674"/>
      <c r="I202" s="301"/>
      <c r="J202" s="302"/>
      <c r="K202" s="115"/>
      <c r="L202" s="674" t="s">
        <v>317</v>
      </c>
      <c r="M202" s="819"/>
      <c r="AH202" s="538">
        <v>0</v>
      </c>
    </row>
    <row r="203" spans="1:34" ht="18.75" hidden="1" customHeight="1">
      <c r="C203" s="825" t="s">
        <v>1323</v>
      </c>
      <c r="D203" s="1396"/>
      <c r="E203" s="1149"/>
      <c r="F203" s="1284"/>
      <c r="G203" s="1365"/>
      <c r="H203" s="303"/>
      <c r="I203" s="49" t="s">
        <v>1322</v>
      </c>
      <c r="J203" s="63"/>
      <c r="K203" s="303"/>
      <c r="L203" s="295"/>
      <c r="M203" s="819"/>
      <c r="AH203" s="538">
        <v>0</v>
      </c>
    </row>
    <row r="204" spans="1:34" ht="0.75" hidden="1" customHeight="1">
      <c r="C204" s="825" t="s">
        <v>1330</v>
      </c>
      <c r="D204" s="1396"/>
      <c r="E204" s="1149"/>
      <c r="F204" s="1284"/>
      <c r="G204" s="305"/>
      <c r="H204" s="303"/>
      <c r="I204" s="49"/>
      <c r="J204" s="63"/>
      <c r="K204" s="303"/>
      <c r="L204" s="295"/>
      <c r="M204" s="819"/>
      <c r="AH204" s="538">
        <v>0</v>
      </c>
    </row>
    <row r="205" spans="1:34" ht="18.75" hidden="1" customHeight="1">
      <c r="A205" s="79" t="s">
        <v>286</v>
      </c>
      <c r="B205" s="79" t="s">
        <v>287</v>
      </c>
      <c r="D205" s="1396"/>
      <c r="E205" s="1149"/>
      <c r="F205" s="1284" t="str">
        <f>INDEX(PT_DIFFERENTIATION_VTAR,MATCH(A205,PT_DIFFERENTIATION_VTAR_ID,0))</f>
        <v>Тариф на подключение (технологическое присоединение) к централизованной системе водоотведения</v>
      </c>
      <c r="G205" s="1365" t="str">
        <f>INDEX(PT_DIFFERENTIATION_NTAR,MATCH(B205,PT_DIFFERENTIATION_NTAR_ID,0))</f>
        <v/>
      </c>
      <c r="H205" s="674"/>
      <c r="I205" s="301"/>
      <c r="J205" s="302"/>
      <c r="K205" s="115"/>
      <c r="L205" s="674" t="s">
        <v>317</v>
      </c>
      <c r="M205" s="819"/>
      <c r="AH205" s="538">
        <v>0</v>
      </c>
    </row>
    <row r="206" spans="1:34" ht="18.75" hidden="1" customHeight="1">
      <c r="C206" s="825" t="s">
        <v>1323</v>
      </c>
      <c r="D206" s="1396"/>
      <c r="E206" s="1149"/>
      <c r="F206" s="1284"/>
      <c r="G206" s="1365"/>
      <c r="H206" s="303"/>
      <c r="I206" s="49" t="s">
        <v>1322</v>
      </c>
      <c r="J206" s="63"/>
      <c r="K206" s="303"/>
      <c r="L206" s="295"/>
      <c r="M206" s="819"/>
      <c r="AH206" s="538">
        <v>0</v>
      </c>
    </row>
    <row r="207" spans="1:34" ht="1.1499999999999999" customHeight="1">
      <c r="C207" s="825" t="s">
        <v>1330</v>
      </c>
      <c r="D207" s="1396"/>
      <c r="E207" s="1149"/>
      <c r="F207" s="1284"/>
      <c r="G207" s="305"/>
      <c r="H207" s="303"/>
      <c r="I207" s="49"/>
      <c r="J207" s="63"/>
      <c r="K207" s="303"/>
      <c r="L207" s="295"/>
      <c r="M207" s="819"/>
      <c r="AH207" s="538">
        <v>1</v>
      </c>
    </row>
    <row r="208" spans="1:34" ht="27.4" customHeight="1">
      <c r="D208" s="756"/>
      <c r="E208" s="91" t="s">
        <v>115</v>
      </c>
      <c r="F208" s="139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395"/>
      <c r="H208" s="1395"/>
      <c r="I208" s="1395"/>
      <c r="J208" s="1395"/>
      <c r="K208" s="1395"/>
      <c r="L208" s="1395"/>
      <c r="M208" s="831"/>
      <c r="AH208" s="538">
        <v>26</v>
      </c>
    </row>
    <row r="209" spans="1:34" ht="60.75" hidden="1" customHeight="1">
      <c r="A209" s="79" t="s">
        <v>168</v>
      </c>
      <c r="B209" s="79" t="s">
        <v>169</v>
      </c>
      <c r="D209" s="1396"/>
      <c r="E209" s="1149"/>
      <c r="F209" s="128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365" t="str">
        <f>INDEX(PT_DIFFERENTIATION_NTAR,MATCH(B209,PT_DIFFERENTIATION_NTAR_ID,0))</f>
        <v/>
      </c>
      <c r="H209" s="674"/>
      <c r="I209" s="301"/>
      <c r="J209" s="302"/>
      <c r="K209" s="115"/>
      <c r="L209" s="674" t="s">
        <v>317</v>
      </c>
      <c r="M209" s="11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AH209" s="538">
        <v>0</v>
      </c>
    </row>
    <row r="210" spans="1:34" ht="18.75" hidden="1" customHeight="1">
      <c r="C210" s="825" t="s">
        <v>1323</v>
      </c>
      <c r="D210" s="1396"/>
      <c r="E210" s="1149"/>
      <c r="F210" s="1284"/>
      <c r="G210" s="1365"/>
      <c r="H210" s="303"/>
      <c r="I210" s="49" t="s">
        <v>1322</v>
      </c>
      <c r="J210" s="63"/>
      <c r="K210" s="303"/>
      <c r="L210" s="295"/>
      <c r="M210" s="1122"/>
      <c r="AH210" s="538">
        <v>0</v>
      </c>
    </row>
    <row r="211" spans="1:34" ht="0.75" hidden="1" customHeight="1">
      <c r="C211" s="825" t="s">
        <v>1330</v>
      </c>
      <c r="D211" s="1396"/>
      <c r="E211" s="1149"/>
      <c r="F211" s="1284"/>
      <c r="G211" s="305"/>
      <c r="H211" s="303"/>
      <c r="I211" s="49"/>
      <c r="J211" s="63"/>
      <c r="K211" s="303"/>
      <c r="L211" s="295"/>
      <c r="M211" s="1122"/>
      <c r="AH211" s="538">
        <v>0</v>
      </c>
    </row>
    <row r="212" spans="1:34" ht="45" hidden="1" customHeight="1">
      <c r="A212" s="79" t="s">
        <v>173</v>
      </c>
      <c r="B212" s="79" t="s">
        <v>174</v>
      </c>
      <c r="D212" s="1396"/>
      <c r="E212" s="1149"/>
      <c r="F212" s="1284" t="str">
        <f>INDEX(PT_DIFFERENTIATION_VTAR,MATCH(A212,PT_DIFFERENTIATION_VTAR_ID,0))</f>
        <v/>
      </c>
      <c r="G212" s="1365" t="str">
        <f>INDEX(PT_DIFFERENTIATION_NTAR,MATCH(B212,PT_DIFFERENTIATION_NTAR_ID,0))</f>
        <v/>
      </c>
      <c r="H212" s="674"/>
      <c r="I212" s="301"/>
      <c r="J212" s="302"/>
      <c r="K212" s="115"/>
      <c r="L212" s="674" t="s">
        <v>317</v>
      </c>
      <c r="M212" s="1123"/>
      <c r="AH212" s="538">
        <v>0</v>
      </c>
    </row>
    <row r="213" spans="1:34" ht="18.75" hidden="1" customHeight="1">
      <c r="C213" s="825" t="s">
        <v>1323</v>
      </c>
      <c r="D213" s="1396"/>
      <c r="E213" s="1149"/>
      <c r="F213" s="1284"/>
      <c r="G213" s="1365"/>
      <c r="H213" s="303"/>
      <c r="I213" s="49" t="s">
        <v>1322</v>
      </c>
      <c r="J213" s="63"/>
      <c r="K213" s="303"/>
      <c r="L213" s="295"/>
      <c r="M213" s="613"/>
      <c r="AH213" s="538">
        <v>0</v>
      </c>
    </row>
    <row r="214" spans="1:34" ht="0.75" hidden="1" customHeight="1">
      <c r="C214" s="825" t="s">
        <v>1330</v>
      </c>
      <c r="D214" s="1396"/>
      <c r="E214" s="1149"/>
      <c r="F214" s="1284"/>
      <c r="G214" s="305"/>
      <c r="H214" s="303"/>
      <c r="I214" s="49"/>
      <c r="J214" s="63"/>
      <c r="K214" s="303"/>
      <c r="L214" s="295"/>
      <c r="M214" s="819"/>
      <c r="AH214" s="538">
        <v>0</v>
      </c>
    </row>
    <row r="215" spans="1:34" ht="45" hidden="1" customHeight="1">
      <c r="A215" s="79" t="s">
        <v>180</v>
      </c>
      <c r="B215" s="79" t="s">
        <v>181</v>
      </c>
      <c r="D215" s="1396"/>
      <c r="E215" s="1149"/>
      <c r="F215" s="128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365" t="str">
        <f>INDEX(PT_DIFFERENTIATION_NTAR,MATCH(B215,PT_DIFFERENTIATION_NTAR_ID,0))</f>
        <v/>
      </c>
      <c r="H215" s="674"/>
      <c r="I215" s="301"/>
      <c r="J215" s="302"/>
      <c r="K215" s="115"/>
      <c r="L215" s="674" t="s">
        <v>317</v>
      </c>
      <c r="M215" s="819"/>
      <c r="AH215" s="538">
        <v>0</v>
      </c>
    </row>
    <row r="216" spans="1:34" ht="18.75" hidden="1" customHeight="1">
      <c r="C216" s="825" t="s">
        <v>1323</v>
      </c>
      <c r="D216" s="1396"/>
      <c r="E216" s="1149"/>
      <c r="F216" s="1284"/>
      <c r="G216" s="1365"/>
      <c r="H216" s="303"/>
      <c r="I216" s="49" t="s">
        <v>1322</v>
      </c>
      <c r="J216" s="63"/>
      <c r="K216" s="303"/>
      <c r="L216" s="295"/>
      <c r="M216" s="819"/>
      <c r="AH216" s="538">
        <v>0</v>
      </c>
    </row>
    <row r="217" spans="1:34" ht="0.75" hidden="1" customHeight="1">
      <c r="C217" s="825" t="s">
        <v>1330</v>
      </c>
      <c r="D217" s="1396"/>
      <c r="E217" s="1149"/>
      <c r="F217" s="1284"/>
      <c r="G217" s="305"/>
      <c r="H217" s="303"/>
      <c r="I217" s="49"/>
      <c r="J217" s="63"/>
      <c r="K217" s="303"/>
      <c r="L217" s="295"/>
      <c r="M217" s="819"/>
      <c r="AH217" s="538">
        <v>0</v>
      </c>
    </row>
    <row r="218" spans="1:34" ht="45" hidden="1" customHeight="1">
      <c r="A218" s="79" t="s">
        <v>186</v>
      </c>
      <c r="B218" s="79" t="s">
        <v>187</v>
      </c>
      <c r="D218" s="1396"/>
      <c r="E218" s="1149"/>
      <c r="F218" s="128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365" t="str">
        <f>INDEX(PT_DIFFERENTIATION_NTAR,MATCH(B218,PT_DIFFERENTIATION_NTAR_ID,0))</f>
        <v/>
      </c>
      <c r="H218" s="674"/>
      <c r="I218" s="301"/>
      <c r="J218" s="302"/>
      <c r="K218" s="115"/>
      <c r="L218" s="674" t="s">
        <v>317</v>
      </c>
      <c r="M218" s="819"/>
      <c r="AH218" s="538">
        <v>0</v>
      </c>
    </row>
    <row r="219" spans="1:34" ht="18.75" hidden="1" customHeight="1">
      <c r="C219" s="825" t="s">
        <v>1323</v>
      </c>
      <c r="D219" s="1396"/>
      <c r="E219" s="1149"/>
      <c r="F219" s="1284"/>
      <c r="G219" s="1365"/>
      <c r="H219" s="303"/>
      <c r="I219" s="49" t="s">
        <v>1322</v>
      </c>
      <c r="J219" s="63"/>
      <c r="K219" s="303"/>
      <c r="L219" s="295"/>
      <c r="M219" s="819"/>
      <c r="AH219" s="538">
        <v>0</v>
      </c>
    </row>
    <row r="220" spans="1:34" ht="0.75" hidden="1" customHeight="1">
      <c r="C220" s="825" t="s">
        <v>1330</v>
      </c>
      <c r="D220" s="1396"/>
      <c r="E220" s="1149"/>
      <c r="F220" s="1284"/>
      <c r="G220" s="305"/>
      <c r="H220" s="303"/>
      <c r="I220" s="49"/>
      <c r="J220" s="63"/>
      <c r="K220" s="303"/>
      <c r="L220" s="295"/>
      <c r="M220" s="819"/>
      <c r="AH220" s="538">
        <v>0</v>
      </c>
    </row>
    <row r="221" spans="1:34" ht="18.75" hidden="1" customHeight="1">
      <c r="A221" s="79" t="s">
        <v>192</v>
      </c>
      <c r="B221" s="79" t="s">
        <v>193</v>
      </c>
      <c r="D221" s="1396"/>
      <c r="E221" s="1149"/>
      <c r="F221" s="1284" t="str">
        <f>INDEX(PT_DIFFERENTIATION_VTAR,MATCH(A221,PT_DIFFERENTIATION_VTAR_ID,0))</f>
        <v>Тарифы на услуги по передаче тепловой энергии</v>
      </c>
      <c r="G221" s="1365" t="str">
        <f>INDEX(PT_DIFFERENTIATION_NTAR,MATCH(B221,PT_DIFFERENTIATION_NTAR_ID,0))</f>
        <v/>
      </c>
      <c r="H221" s="674"/>
      <c r="I221" s="301"/>
      <c r="J221" s="302"/>
      <c r="K221" s="115"/>
      <c r="L221" s="674" t="s">
        <v>317</v>
      </c>
      <c r="M221" s="819"/>
      <c r="AH221" s="538">
        <v>0</v>
      </c>
    </row>
    <row r="222" spans="1:34" ht="18.75" hidden="1" customHeight="1">
      <c r="C222" s="825" t="s">
        <v>1323</v>
      </c>
      <c r="D222" s="1396"/>
      <c r="E222" s="1149"/>
      <c r="F222" s="1284"/>
      <c r="G222" s="1365"/>
      <c r="H222" s="303"/>
      <c r="I222" s="49" t="s">
        <v>1322</v>
      </c>
      <c r="J222" s="63"/>
      <c r="K222" s="303"/>
      <c r="L222" s="295"/>
      <c r="M222" s="819"/>
      <c r="AH222" s="538">
        <v>0</v>
      </c>
    </row>
    <row r="223" spans="1:34" ht="0.75" hidden="1" customHeight="1">
      <c r="C223" s="825" t="s">
        <v>1330</v>
      </c>
      <c r="D223" s="1396"/>
      <c r="E223" s="1149"/>
      <c r="F223" s="1284"/>
      <c r="G223" s="305"/>
      <c r="H223" s="303"/>
      <c r="I223" s="49"/>
      <c r="J223" s="63"/>
      <c r="K223" s="303"/>
      <c r="L223" s="295"/>
      <c r="M223" s="819"/>
      <c r="AH223" s="538">
        <v>0</v>
      </c>
    </row>
    <row r="224" spans="1:34" ht="18.75" hidden="1" customHeight="1">
      <c r="A224" s="79" t="s">
        <v>198</v>
      </c>
      <c r="B224" s="79" t="s">
        <v>199</v>
      </c>
      <c r="D224" s="1396"/>
      <c r="E224" s="1149"/>
      <c r="F224" s="1284" t="str">
        <f>INDEX(PT_DIFFERENTIATION_VTAR,MATCH(A224,PT_DIFFERENTIATION_VTAR_ID,0))</f>
        <v>Тарифы на услуги по передаче теплоносителя</v>
      </c>
      <c r="G224" s="1365" t="str">
        <f>INDEX(PT_DIFFERENTIATION_NTAR,MATCH(B224,PT_DIFFERENTIATION_NTAR_ID,0))</f>
        <v/>
      </c>
      <c r="H224" s="674"/>
      <c r="I224" s="301"/>
      <c r="J224" s="302"/>
      <c r="K224" s="115"/>
      <c r="L224" s="674" t="s">
        <v>317</v>
      </c>
      <c r="M224" s="819"/>
      <c r="AH224" s="538">
        <v>0</v>
      </c>
    </row>
    <row r="225" spans="1:34" ht="18.75" hidden="1" customHeight="1">
      <c r="C225" s="825" t="s">
        <v>1323</v>
      </c>
      <c r="D225" s="1396"/>
      <c r="E225" s="1149"/>
      <c r="F225" s="1284"/>
      <c r="G225" s="1365"/>
      <c r="H225" s="303"/>
      <c r="I225" s="49" t="s">
        <v>1322</v>
      </c>
      <c r="J225" s="63"/>
      <c r="K225" s="303"/>
      <c r="L225" s="295"/>
      <c r="M225" s="819"/>
      <c r="AH225" s="538">
        <v>0</v>
      </c>
    </row>
    <row r="226" spans="1:34" ht="0.75" hidden="1" customHeight="1">
      <c r="C226" s="825" t="s">
        <v>1330</v>
      </c>
      <c r="D226" s="1396"/>
      <c r="E226" s="1149"/>
      <c r="F226" s="1284"/>
      <c r="G226" s="305"/>
      <c r="H226" s="303"/>
      <c r="I226" s="49"/>
      <c r="J226" s="63"/>
      <c r="K226" s="303"/>
      <c r="L226" s="295"/>
      <c r="M226" s="819"/>
      <c r="AH226" s="538">
        <v>0</v>
      </c>
    </row>
    <row r="227" spans="1:34" ht="18.75" hidden="1" customHeight="1">
      <c r="A227" s="79" t="s">
        <v>204</v>
      </c>
      <c r="B227" s="79" t="s">
        <v>205</v>
      </c>
      <c r="D227" s="1396"/>
      <c r="E227" s="1149"/>
      <c r="F227" s="128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365" t="str">
        <f>INDEX(PT_DIFFERENTIATION_NTAR,MATCH(B227,PT_DIFFERENTIATION_NTAR_ID,0))</f>
        <v/>
      </c>
      <c r="H227" s="674"/>
      <c r="I227" s="301"/>
      <c r="J227" s="302"/>
      <c r="K227" s="115"/>
      <c r="L227" s="674" t="s">
        <v>317</v>
      </c>
      <c r="M227" s="819"/>
      <c r="AH227" s="538">
        <v>0</v>
      </c>
    </row>
    <row r="228" spans="1:34" ht="18.75" hidden="1" customHeight="1">
      <c r="C228" s="825" t="s">
        <v>1323</v>
      </c>
      <c r="D228" s="1396"/>
      <c r="E228" s="1149"/>
      <c r="F228" s="1284"/>
      <c r="G228" s="1365"/>
      <c r="H228" s="303"/>
      <c r="I228" s="49" t="s">
        <v>1322</v>
      </c>
      <c r="J228" s="63"/>
      <c r="K228" s="303"/>
      <c r="L228" s="295"/>
      <c r="M228" s="819"/>
      <c r="AH228" s="538">
        <v>0</v>
      </c>
    </row>
    <row r="229" spans="1:34" ht="0.75" hidden="1" customHeight="1">
      <c r="C229" s="825" t="s">
        <v>1330</v>
      </c>
      <c r="D229" s="1396"/>
      <c r="E229" s="1149"/>
      <c r="F229" s="1284"/>
      <c r="G229" s="305"/>
      <c r="H229" s="303"/>
      <c r="I229" s="49"/>
      <c r="J229" s="63"/>
      <c r="K229" s="303"/>
      <c r="L229" s="295"/>
      <c r="M229" s="819"/>
      <c r="AH229" s="538">
        <v>0</v>
      </c>
    </row>
    <row r="230" spans="1:34" ht="18.75" hidden="1" customHeight="1">
      <c r="A230" s="79" t="s">
        <v>210</v>
      </c>
      <c r="B230" s="79" t="s">
        <v>211</v>
      </c>
      <c r="D230" s="1396"/>
      <c r="E230" s="1149"/>
      <c r="F230" s="1284" t="str">
        <f>INDEX(PT_DIFFERENTIATION_VTAR,MATCH(A230,PT_DIFFERENTIATION_VTAR_ID,0))</f>
        <v>Плата за подключение (технологическое присоединение) к системе теплоснабжения</v>
      </c>
      <c r="G230" s="1365" t="str">
        <f>INDEX(PT_DIFFERENTIATION_NTAR,MATCH(B230,PT_DIFFERENTIATION_NTAR_ID,0))</f>
        <v/>
      </c>
      <c r="H230" s="674"/>
      <c r="I230" s="301"/>
      <c r="J230" s="302"/>
      <c r="K230" s="115"/>
      <c r="L230" s="674" t="s">
        <v>317</v>
      </c>
      <c r="M230" s="819"/>
      <c r="AH230" s="538">
        <v>0</v>
      </c>
    </row>
    <row r="231" spans="1:34" ht="18.75" hidden="1" customHeight="1">
      <c r="C231" s="825" t="s">
        <v>1323</v>
      </c>
      <c r="D231" s="1396"/>
      <c r="E231" s="1149"/>
      <c r="F231" s="1284"/>
      <c r="G231" s="1365"/>
      <c r="H231" s="303"/>
      <c r="I231" s="49" t="s">
        <v>1322</v>
      </c>
      <c r="J231" s="63"/>
      <c r="K231" s="303"/>
      <c r="L231" s="295"/>
      <c r="M231" s="819"/>
      <c r="AH231" s="538">
        <v>0</v>
      </c>
    </row>
    <row r="232" spans="1:34" ht="0.75" hidden="1" customHeight="1">
      <c r="C232" s="825" t="s">
        <v>1330</v>
      </c>
      <c r="D232" s="1396"/>
      <c r="E232" s="1149"/>
      <c r="F232" s="1284"/>
      <c r="G232" s="305"/>
      <c r="H232" s="303"/>
      <c r="I232" s="49"/>
      <c r="J232" s="63"/>
      <c r="K232" s="303"/>
      <c r="L232" s="295"/>
      <c r="M232" s="819"/>
      <c r="AH232" s="538">
        <v>0</v>
      </c>
    </row>
    <row r="233" spans="1:34" ht="18.75" hidden="1" customHeight="1">
      <c r="A233" s="79" t="s">
        <v>216</v>
      </c>
      <c r="B233" s="79" t="s">
        <v>217</v>
      </c>
      <c r="D233" s="1396"/>
      <c r="E233" s="1149"/>
      <c r="F233" s="1284" t="str">
        <f>INDEX(PT_DIFFERENTIATION_VTAR,MATCH(A233,PT_DIFFERENTIATION_VTAR_ID,0))</f>
        <v>Плата за подключение (технологическое присоединение) к системе теплоснабжения (индивидуальная)</v>
      </c>
      <c r="G233" s="1365" t="str">
        <f>INDEX(PT_DIFFERENTIATION_NTAR,MATCH(B233,PT_DIFFERENTIATION_NTAR_ID,0))</f>
        <v/>
      </c>
      <c r="H233" s="674"/>
      <c r="I233" s="301"/>
      <c r="J233" s="302"/>
      <c r="K233" s="115"/>
      <c r="L233" s="674" t="s">
        <v>317</v>
      </c>
      <c r="M233" s="819"/>
      <c r="AH233" s="538">
        <v>0</v>
      </c>
    </row>
    <row r="234" spans="1:34" ht="18.75" hidden="1" customHeight="1">
      <c r="C234" s="825" t="s">
        <v>1323</v>
      </c>
      <c r="D234" s="1396"/>
      <c r="E234" s="1149"/>
      <c r="F234" s="1284"/>
      <c r="G234" s="1365"/>
      <c r="H234" s="303"/>
      <c r="I234" s="49" t="s">
        <v>1322</v>
      </c>
      <c r="J234" s="63"/>
      <c r="K234" s="303"/>
      <c r="L234" s="295"/>
      <c r="M234" s="819"/>
      <c r="AH234" s="538">
        <v>0</v>
      </c>
    </row>
    <row r="235" spans="1:34" ht="0.75" hidden="1" customHeight="1">
      <c r="C235" s="825" t="s">
        <v>1330</v>
      </c>
      <c r="D235" s="1396"/>
      <c r="E235" s="1149"/>
      <c r="F235" s="1284"/>
      <c r="G235" s="305"/>
      <c r="H235" s="303"/>
      <c r="I235" s="49"/>
      <c r="J235" s="63"/>
      <c r="K235" s="303"/>
      <c r="L235" s="295"/>
      <c r="M235" s="819"/>
      <c r="AH235" s="538">
        <v>0</v>
      </c>
    </row>
    <row r="236" spans="1:34" ht="18.75" hidden="1" customHeight="1">
      <c r="A236" s="79" t="s">
        <v>236</v>
      </c>
      <c r="B236" s="79" t="s">
        <v>237</v>
      </c>
      <c r="D236" s="1396"/>
      <c r="E236" s="1149"/>
      <c r="F236" s="1284" t="str">
        <f>INDEX(PT_DIFFERENTIATION_VTAR,MATCH(A236,PT_DIFFERENTIATION_VTAR_ID,0))</f>
        <v>Тариф на питьевую воду (питьевое водоснабжение)</v>
      </c>
      <c r="G236" s="1365" t="str">
        <f>INDEX(PT_DIFFERENTIATION_NTAR,MATCH(B236,PT_DIFFERENTIATION_NTAR_ID,0))</f>
        <v/>
      </c>
      <c r="H236" s="674"/>
      <c r="I236" s="301"/>
      <c r="J236" s="302"/>
      <c r="K236" s="115"/>
      <c r="L236" s="674" t="s">
        <v>317</v>
      </c>
      <c r="M236" s="819"/>
      <c r="AH236" s="538">
        <v>0</v>
      </c>
    </row>
    <row r="237" spans="1:34" ht="18.75" hidden="1" customHeight="1">
      <c r="C237" s="825" t="s">
        <v>1323</v>
      </c>
      <c r="D237" s="1396"/>
      <c r="E237" s="1149"/>
      <c r="F237" s="1284"/>
      <c r="G237" s="1365"/>
      <c r="H237" s="303"/>
      <c r="I237" s="49" t="s">
        <v>1322</v>
      </c>
      <c r="J237" s="63"/>
      <c r="K237" s="303"/>
      <c r="L237" s="295"/>
      <c r="M237" s="819"/>
      <c r="AH237" s="538">
        <v>0</v>
      </c>
    </row>
    <row r="238" spans="1:34" ht="0.75" hidden="1" customHeight="1">
      <c r="C238" s="825" t="s">
        <v>1330</v>
      </c>
      <c r="D238" s="1396"/>
      <c r="E238" s="1149"/>
      <c r="F238" s="1284"/>
      <c r="G238" s="305"/>
      <c r="H238" s="303"/>
      <c r="I238" s="49"/>
      <c r="J238" s="63"/>
      <c r="K238" s="303"/>
      <c r="L238" s="295"/>
      <c r="M238" s="819"/>
      <c r="AH238" s="538">
        <v>0</v>
      </c>
    </row>
    <row r="239" spans="1:34" ht="18.75" hidden="1" customHeight="1">
      <c r="A239" s="79" t="s">
        <v>241</v>
      </c>
      <c r="B239" s="79" t="s">
        <v>242</v>
      </c>
      <c r="D239" s="1396"/>
      <c r="E239" s="1149"/>
      <c r="F239" s="1284" t="str">
        <f>INDEX(PT_DIFFERENTIATION_VTAR,MATCH(A239,PT_DIFFERENTIATION_VTAR_ID,0))</f>
        <v>Тариф на техническую воду</v>
      </c>
      <c r="G239" s="1365" t="str">
        <f>INDEX(PT_DIFFERENTIATION_NTAR,MATCH(B239,PT_DIFFERENTIATION_NTAR_ID,0))</f>
        <v/>
      </c>
      <c r="H239" s="674"/>
      <c r="I239" s="301"/>
      <c r="J239" s="302"/>
      <c r="K239" s="115"/>
      <c r="L239" s="674" t="s">
        <v>317</v>
      </c>
      <c r="M239" s="819"/>
      <c r="AH239" s="538">
        <v>0</v>
      </c>
    </row>
    <row r="240" spans="1:34" ht="18.75" hidden="1" customHeight="1">
      <c r="C240" s="825" t="s">
        <v>1323</v>
      </c>
      <c r="D240" s="1396"/>
      <c r="E240" s="1149"/>
      <c r="F240" s="1284"/>
      <c r="G240" s="1365"/>
      <c r="H240" s="303"/>
      <c r="I240" s="49" t="s">
        <v>1322</v>
      </c>
      <c r="J240" s="63"/>
      <c r="K240" s="303"/>
      <c r="L240" s="295"/>
      <c r="M240" s="819"/>
      <c r="AH240" s="538">
        <v>0</v>
      </c>
    </row>
    <row r="241" spans="1:34" ht="0.75" hidden="1" customHeight="1">
      <c r="C241" s="825" t="s">
        <v>1330</v>
      </c>
      <c r="D241" s="1396"/>
      <c r="E241" s="1149"/>
      <c r="F241" s="1284"/>
      <c r="G241" s="305"/>
      <c r="H241" s="303"/>
      <c r="I241" s="49"/>
      <c r="J241" s="63"/>
      <c r="K241" s="303"/>
      <c r="L241" s="295"/>
      <c r="M241" s="819"/>
      <c r="AH241" s="538">
        <v>0</v>
      </c>
    </row>
    <row r="242" spans="1:34" ht="18.75" hidden="1" customHeight="1">
      <c r="A242" s="79" t="s">
        <v>246</v>
      </c>
      <c r="B242" s="79" t="s">
        <v>247</v>
      </c>
      <c r="D242" s="1396"/>
      <c r="E242" s="1149"/>
      <c r="F242" s="1284" t="str">
        <f>INDEX(PT_DIFFERENTIATION_VTAR,MATCH(A242,PT_DIFFERENTIATION_VTAR_ID,0))</f>
        <v>Тариф на транспортировку воды</v>
      </c>
      <c r="G242" s="1365" t="str">
        <f>INDEX(PT_DIFFERENTIATION_NTAR,MATCH(B242,PT_DIFFERENTIATION_NTAR_ID,0))</f>
        <v/>
      </c>
      <c r="H242" s="674"/>
      <c r="I242" s="301"/>
      <c r="J242" s="302"/>
      <c r="K242" s="115"/>
      <c r="L242" s="674" t="s">
        <v>317</v>
      </c>
      <c r="M242" s="819"/>
      <c r="AH242" s="538">
        <v>0</v>
      </c>
    </row>
    <row r="243" spans="1:34" ht="18.75" hidden="1" customHeight="1">
      <c r="C243" s="825" t="s">
        <v>1323</v>
      </c>
      <c r="D243" s="1396"/>
      <c r="E243" s="1149"/>
      <c r="F243" s="1284"/>
      <c r="G243" s="1365"/>
      <c r="H243" s="303"/>
      <c r="I243" s="49" t="s">
        <v>1322</v>
      </c>
      <c r="J243" s="63"/>
      <c r="K243" s="303"/>
      <c r="L243" s="295"/>
      <c r="M243" s="819"/>
      <c r="AH243" s="538">
        <v>0</v>
      </c>
    </row>
    <row r="244" spans="1:34" ht="0.75" hidden="1" customHeight="1">
      <c r="C244" s="825" t="s">
        <v>1330</v>
      </c>
      <c r="D244" s="1396"/>
      <c r="E244" s="1149"/>
      <c r="F244" s="1284"/>
      <c r="G244" s="305"/>
      <c r="H244" s="303"/>
      <c r="I244" s="49"/>
      <c r="J244" s="63"/>
      <c r="K244" s="303"/>
      <c r="L244" s="295"/>
      <c r="M244" s="819"/>
      <c r="AH244" s="538">
        <v>0</v>
      </c>
    </row>
    <row r="245" spans="1:34" ht="18.75" hidden="1" customHeight="1">
      <c r="A245" s="79" t="s">
        <v>251</v>
      </c>
      <c r="B245" s="79" t="s">
        <v>252</v>
      </c>
      <c r="D245" s="1396"/>
      <c r="E245" s="1149"/>
      <c r="F245" s="1284" t="str">
        <f>INDEX(PT_DIFFERENTIATION_VTAR,MATCH(A245,PT_DIFFERENTIATION_VTAR_ID,0))</f>
        <v>Тариф на подвоз воды</v>
      </c>
      <c r="G245" s="1365" t="str">
        <f>INDEX(PT_DIFFERENTIATION_NTAR,MATCH(B245,PT_DIFFERENTIATION_NTAR_ID,0))</f>
        <v/>
      </c>
      <c r="H245" s="674"/>
      <c r="I245" s="301"/>
      <c r="J245" s="302"/>
      <c r="K245" s="115"/>
      <c r="L245" s="674" t="s">
        <v>317</v>
      </c>
      <c r="M245" s="819"/>
      <c r="AH245" s="538">
        <v>0</v>
      </c>
    </row>
    <row r="246" spans="1:34" ht="18.75" hidden="1" customHeight="1">
      <c r="C246" s="825" t="s">
        <v>1323</v>
      </c>
      <c r="D246" s="1396"/>
      <c r="E246" s="1149"/>
      <c r="F246" s="1284"/>
      <c r="G246" s="1365"/>
      <c r="H246" s="303"/>
      <c r="I246" s="49" t="s">
        <v>1322</v>
      </c>
      <c r="J246" s="63"/>
      <c r="K246" s="303"/>
      <c r="L246" s="295"/>
      <c r="M246" s="819"/>
      <c r="AH246" s="538">
        <v>0</v>
      </c>
    </row>
    <row r="247" spans="1:34" ht="0.75" hidden="1" customHeight="1">
      <c r="C247" s="825" t="s">
        <v>1330</v>
      </c>
      <c r="D247" s="1396"/>
      <c r="E247" s="1149"/>
      <c r="F247" s="1284"/>
      <c r="G247" s="305"/>
      <c r="H247" s="303"/>
      <c r="I247" s="49"/>
      <c r="J247" s="63"/>
      <c r="K247" s="303"/>
      <c r="L247" s="295"/>
      <c r="M247" s="819"/>
      <c r="AH247" s="538">
        <v>0</v>
      </c>
    </row>
    <row r="248" spans="1:34" ht="18.75" hidden="1" customHeight="1">
      <c r="A248" s="79" t="s">
        <v>256</v>
      </c>
      <c r="B248" s="79" t="s">
        <v>257</v>
      </c>
      <c r="D248" s="1396"/>
      <c r="E248" s="1149"/>
      <c r="F248" s="128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365" t="str">
        <f>INDEX(PT_DIFFERENTIATION_NTAR,MATCH(B248,PT_DIFFERENTIATION_NTAR_ID,0))</f>
        <v/>
      </c>
      <c r="H248" s="674"/>
      <c r="I248" s="301"/>
      <c r="J248" s="302"/>
      <c r="K248" s="115"/>
      <c r="L248" s="674" t="s">
        <v>317</v>
      </c>
      <c r="M248" s="819"/>
      <c r="AH248" s="538">
        <v>0</v>
      </c>
    </row>
    <row r="249" spans="1:34" ht="18.75" hidden="1" customHeight="1">
      <c r="C249" s="825" t="s">
        <v>1323</v>
      </c>
      <c r="D249" s="1396"/>
      <c r="E249" s="1149"/>
      <c r="F249" s="1284"/>
      <c r="G249" s="1365"/>
      <c r="H249" s="303"/>
      <c r="I249" s="49" t="s">
        <v>1322</v>
      </c>
      <c r="J249" s="63"/>
      <c r="K249" s="303"/>
      <c r="L249" s="295"/>
      <c r="M249" s="819"/>
      <c r="AH249" s="538">
        <v>0</v>
      </c>
    </row>
    <row r="250" spans="1:34" ht="0.75" hidden="1" customHeight="1">
      <c r="C250" s="825" t="s">
        <v>1330</v>
      </c>
      <c r="D250" s="1396"/>
      <c r="E250" s="1149"/>
      <c r="F250" s="1284"/>
      <c r="G250" s="305"/>
      <c r="H250" s="303"/>
      <c r="I250" s="49"/>
      <c r="J250" s="63"/>
      <c r="K250" s="303"/>
      <c r="L250" s="295"/>
      <c r="M250" s="819"/>
      <c r="AH250" s="538">
        <v>0</v>
      </c>
    </row>
    <row r="251" spans="1:34" ht="18.75" hidden="1" customHeight="1">
      <c r="A251" s="79" t="s">
        <v>261</v>
      </c>
      <c r="B251" s="79" t="s">
        <v>262</v>
      </c>
      <c r="D251" s="1396"/>
      <c r="E251" s="1149"/>
      <c r="F251" s="1284" t="str">
        <f>INDEX(PT_DIFFERENTIATION_VTAR,MATCH(A251,PT_DIFFERENTIATION_VTAR_ID,0))</f>
        <v>Тариф на горячую воду (горячее водоснабжение)</v>
      </c>
      <c r="G251" s="1365" t="str">
        <f>INDEX(PT_DIFFERENTIATION_NTAR,MATCH(B251,PT_DIFFERENTIATION_NTAR_ID,0))</f>
        <v/>
      </c>
      <c r="H251" s="674"/>
      <c r="I251" s="301"/>
      <c r="J251" s="302"/>
      <c r="K251" s="115"/>
      <c r="L251" s="674" t="s">
        <v>317</v>
      </c>
      <c r="M251" s="819"/>
      <c r="AH251" s="538">
        <v>0</v>
      </c>
    </row>
    <row r="252" spans="1:34" ht="18.75" hidden="1" customHeight="1">
      <c r="C252" s="825" t="s">
        <v>1323</v>
      </c>
      <c r="D252" s="1396"/>
      <c r="E252" s="1149"/>
      <c r="F252" s="1284"/>
      <c r="G252" s="1365"/>
      <c r="H252" s="303"/>
      <c r="I252" s="49" t="s">
        <v>1322</v>
      </c>
      <c r="J252" s="63"/>
      <c r="K252" s="303"/>
      <c r="L252" s="295"/>
      <c r="M252" s="819"/>
      <c r="AH252" s="538">
        <v>0</v>
      </c>
    </row>
    <row r="253" spans="1:34" ht="0.75" hidden="1" customHeight="1">
      <c r="C253" s="825" t="s">
        <v>1330</v>
      </c>
      <c r="D253" s="1396"/>
      <c r="E253" s="1149"/>
      <c r="F253" s="1284"/>
      <c r="G253" s="305"/>
      <c r="H253" s="303"/>
      <c r="I253" s="49"/>
      <c r="J253" s="63"/>
      <c r="K253" s="303"/>
      <c r="L253" s="295"/>
      <c r="M253" s="819"/>
      <c r="AH253" s="538">
        <v>0</v>
      </c>
    </row>
    <row r="254" spans="1:34" ht="18.75" hidden="1" customHeight="1">
      <c r="A254" s="79" t="s">
        <v>266</v>
      </c>
      <c r="B254" s="79" t="s">
        <v>267</v>
      </c>
      <c r="D254" s="1396"/>
      <c r="E254" s="1149"/>
      <c r="F254" s="1284" t="str">
        <f>INDEX(PT_DIFFERENTIATION_VTAR,MATCH(A254,PT_DIFFERENTIATION_VTAR_ID,0))</f>
        <v>Тариф на транспортировку горячей воды</v>
      </c>
      <c r="G254" s="1365" t="str">
        <f>INDEX(PT_DIFFERENTIATION_NTAR,MATCH(B254,PT_DIFFERENTIATION_NTAR_ID,0))</f>
        <v/>
      </c>
      <c r="H254" s="674"/>
      <c r="I254" s="301"/>
      <c r="J254" s="302"/>
      <c r="K254" s="115"/>
      <c r="L254" s="674" t="s">
        <v>317</v>
      </c>
      <c r="M254" s="819"/>
      <c r="AH254" s="538">
        <v>0</v>
      </c>
    </row>
    <row r="255" spans="1:34" ht="18.75" hidden="1" customHeight="1">
      <c r="C255" s="825" t="s">
        <v>1323</v>
      </c>
      <c r="D255" s="1396"/>
      <c r="E255" s="1149"/>
      <c r="F255" s="1284"/>
      <c r="G255" s="1365"/>
      <c r="H255" s="303"/>
      <c r="I255" s="49" t="s">
        <v>1322</v>
      </c>
      <c r="J255" s="63"/>
      <c r="K255" s="303"/>
      <c r="L255" s="295"/>
      <c r="M255" s="819"/>
      <c r="AH255" s="538">
        <v>0</v>
      </c>
    </row>
    <row r="256" spans="1:34" ht="0.75" hidden="1" customHeight="1">
      <c r="C256" s="825" t="s">
        <v>1330</v>
      </c>
      <c r="D256" s="1396"/>
      <c r="E256" s="1149"/>
      <c r="F256" s="1284"/>
      <c r="G256" s="305"/>
      <c r="H256" s="303"/>
      <c r="I256" s="49"/>
      <c r="J256" s="63"/>
      <c r="K256" s="303"/>
      <c r="L256" s="295"/>
      <c r="M256" s="819"/>
      <c r="AH256" s="538">
        <v>0</v>
      </c>
    </row>
    <row r="257" spans="1:34" ht="18.75" hidden="1" customHeight="1">
      <c r="A257" s="79" t="s">
        <v>271</v>
      </c>
      <c r="B257" s="79" t="s">
        <v>272</v>
      </c>
      <c r="D257" s="1396"/>
      <c r="E257" s="1149"/>
      <c r="F257" s="1284" t="str">
        <f>INDEX(PT_DIFFERENTIATION_VTAR,MATCH(A257,PT_DIFFERENTIATION_VTAR_ID,0))</f>
        <v>Тариф на подключение (технологическое присоединение) к централизованной системе горячего водоснабжения</v>
      </c>
      <c r="G257" s="1365" t="str">
        <f>INDEX(PT_DIFFERENTIATION_NTAR,MATCH(B257,PT_DIFFERENTIATION_NTAR_ID,0))</f>
        <v/>
      </c>
      <c r="H257" s="674"/>
      <c r="I257" s="301"/>
      <c r="J257" s="302"/>
      <c r="K257" s="115"/>
      <c r="L257" s="674" t="s">
        <v>317</v>
      </c>
      <c r="M257" s="819"/>
      <c r="AH257" s="538">
        <v>0</v>
      </c>
    </row>
    <row r="258" spans="1:34" ht="18.75" hidden="1" customHeight="1">
      <c r="C258" s="825" t="s">
        <v>1323</v>
      </c>
      <c r="D258" s="1396"/>
      <c r="E258" s="1149"/>
      <c r="F258" s="1284"/>
      <c r="G258" s="1365"/>
      <c r="H258" s="303"/>
      <c r="I258" s="49" t="s">
        <v>1322</v>
      </c>
      <c r="J258" s="63"/>
      <c r="K258" s="303"/>
      <c r="L258" s="295"/>
      <c r="M258" s="819"/>
      <c r="AH258" s="538">
        <v>0</v>
      </c>
    </row>
    <row r="259" spans="1:34" ht="0.75" hidden="1" customHeight="1">
      <c r="C259" s="825" t="s">
        <v>1330</v>
      </c>
      <c r="D259" s="1396"/>
      <c r="E259" s="1149"/>
      <c r="F259" s="1284"/>
      <c r="G259" s="305"/>
      <c r="H259" s="303"/>
      <c r="I259" s="49"/>
      <c r="J259" s="63"/>
      <c r="K259" s="303"/>
      <c r="L259" s="295"/>
      <c r="M259" s="819"/>
      <c r="AH259" s="538">
        <v>0</v>
      </c>
    </row>
    <row r="260" spans="1:34" ht="18.75" hidden="1" customHeight="1">
      <c r="A260" s="79" t="s">
        <v>276</v>
      </c>
      <c r="B260" s="79" t="s">
        <v>277</v>
      </c>
      <c r="D260" s="1396"/>
      <c r="E260" s="1149"/>
      <c r="F260" s="1284" t="str">
        <f>INDEX(PT_DIFFERENTIATION_VTAR,MATCH(A260,PT_DIFFERENTIATION_VTAR_ID,0))</f>
        <v>Тариф на водоотведение</v>
      </c>
      <c r="G260" s="1365" t="str">
        <f>INDEX(PT_DIFFERENTIATION_NTAR,MATCH(B260,PT_DIFFERENTIATION_NTAR_ID,0))</f>
        <v/>
      </c>
      <c r="H260" s="674"/>
      <c r="I260" s="301"/>
      <c r="J260" s="302"/>
      <c r="K260" s="115"/>
      <c r="L260" s="674" t="s">
        <v>317</v>
      </c>
      <c r="M260" s="819"/>
      <c r="AH260" s="538">
        <v>0</v>
      </c>
    </row>
    <row r="261" spans="1:34" ht="18.75" hidden="1" customHeight="1">
      <c r="C261" s="825" t="s">
        <v>1323</v>
      </c>
      <c r="D261" s="1396"/>
      <c r="E261" s="1149"/>
      <c r="F261" s="1284"/>
      <c r="G261" s="1365"/>
      <c r="H261" s="303"/>
      <c r="I261" s="49" t="s">
        <v>1322</v>
      </c>
      <c r="J261" s="63"/>
      <c r="K261" s="303"/>
      <c r="L261" s="295"/>
      <c r="M261" s="819"/>
      <c r="AH261" s="538">
        <v>0</v>
      </c>
    </row>
    <row r="262" spans="1:34" ht="0.75" hidden="1" customHeight="1">
      <c r="C262" s="825" t="s">
        <v>1330</v>
      </c>
      <c r="D262" s="1396"/>
      <c r="E262" s="1149"/>
      <c r="F262" s="1284"/>
      <c r="G262" s="305"/>
      <c r="H262" s="303"/>
      <c r="I262" s="49"/>
      <c r="J262" s="63"/>
      <c r="K262" s="303"/>
      <c r="L262" s="295"/>
      <c r="M262" s="819"/>
      <c r="AH262" s="538">
        <v>0</v>
      </c>
    </row>
    <row r="263" spans="1:34" ht="18.75" hidden="1" customHeight="1">
      <c r="A263" s="79" t="s">
        <v>281</v>
      </c>
      <c r="B263" s="79" t="s">
        <v>282</v>
      </c>
      <c r="D263" s="1396"/>
      <c r="E263" s="1149"/>
      <c r="F263" s="1284" t="str">
        <f>INDEX(PT_DIFFERENTIATION_VTAR,MATCH(A263,PT_DIFFERENTIATION_VTAR_ID,0))</f>
        <v>Тариф на транспортировку сточных вод</v>
      </c>
      <c r="G263" s="1365" t="str">
        <f>INDEX(PT_DIFFERENTIATION_NTAR,MATCH(B263,PT_DIFFERENTIATION_NTAR_ID,0))</f>
        <v/>
      </c>
      <c r="H263" s="674"/>
      <c r="I263" s="301"/>
      <c r="J263" s="302"/>
      <c r="K263" s="115"/>
      <c r="L263" s="674" t="s">
        <v>317</v>
      </c>
      <c r="M263" s="819"/>
      <c r="AH263" s="538">
        <v>0</v>
      </c>
    </row>
    <row r="264" spans="1:34" ht="18.75" hidden="1" customHeight="1">
      <c r="C264" s="825" t="s">
        <v>1323</v>
      </c>
      <c r="D264" s="1396"/>
      <c r="E264" s="1149"/>
      <c r="F264" s="1284"/>
      <c r="G264" s="1365"/>
      <c r="H264" s="303"/>
      <c r="I264" s="49" t="s">
        <v>1322</v>
      </c>
      <c r="J264" s="63"/>
      <c r="K264" s="303"/>
      <c r="L264" s="295"/>
      <c r="M264" s="819"/>
      <c r="AH264" s="538">
        <v>0</v>
      </c>
    </row>
    <row r="265" spans="1:34" ht="0.75" hidden="1" customHeight="1">
      <c r="C265" s="825" t="s">
        <v>1330</v>
      </c>
      <c r="D265" s="1396"/>
      <c r="E265" s="1149"/>
      <c r="F265" s="1284"/>
      <c r="G265" s="305"/>
      <c r="H265" s="303"/>
      <c r="I265" s="49"/>
      <c r="J265" s="63"/>
      <c r="K265" s="303"/>
      <c r="L265" s="295"/>
      <c r="M265" s="819"/>
      <c r="AH265" s="538">
        <v>0</v>
      </c>
    </row>
    <row r="266" spans="1:34" ht="18.75" hidden="1" customHeight="1">
      <c r="A266" s="79" t="s">
        <v>286</v>
      </c>
      <c r="B266" s="79" t="s">
        <v>287</v>
      </c>
      <c r="D266" s="1396"/>
      <c r="E266" s="1149"/>
      <c r="F266" s="1284" t="str">
        <f>INDEX(PT_DIFFERENTIATION_VTAR,MATCH(A266,PT_DIFFERENTIATION_VTAR_ID,0))</f>
        <v>Тариф на подключение (технологическое присоединение) к централизованной системе водоотведения</v>
      </c>
      <c r="G266" s="1365" t="str">
        <f>INDEX(PT_DIFFERENTIATION_NTAR,MATCH(B266,PT_DIFFERENTIATION_NTAR_ID,0))</f>
        <v/>
      </c>
      <c r="H266" s="674"/>
      <c r="I266" s="301"/>
      <c r="J266" s="302"/>
      <c r="K266" s="115"/>
      <c r="L266" s="674" t="s">
        <v>317</v>
      </c>
      <c r="M266" s="819"/>
      <c r="AH266" s="538">
        <v>0</v>
      </c>
    </row>
    <row r="267" spans="1:34" ht="18.75" hidden="1" customHeight="1">
      <c r="C267" s="825" t="s">
        <v>1323</v>
      </c>
      <c r="D267" s="1396"/>
      <c r="E267" s="1149"/>
      <c r="F267" s="1284"/>
      <c r="G267" s="1365"/>
      <c r="H267" s="303"/>
      <c r="I267" s="49" t="s">
        <v>1322</v>
      </c>
      <c r="J267" s="63"/>
      <c r="K267" s="303"/>
      <c r="L267" s="295"/>
      <c r="M267" s="819"/>
      <c r="AH267" s="538">
        <v>0</v>
      </c>
    </row>
    <row r="268" spans="1:34" ht="1.1499999999999999" customHeight="1">
      <c r="C268" s="825" t="s">
        <v>1330</v>
      </c>
      <c r="D268" s="1396"/>
      <c r="E268" s="1149"/>
      <c r="F268" s="1284"/>
      <c r="G268" s="305"/>
      <c r="H268" s="303"/>
      <c r="I268" s="49"/>
      <c r="J268" s="63"/>
      <c r="K268" s="303"/>
      <c r="L268" s="295"/>
      <c r="M268" s="819"/>
      <c r="AH268" s="538">
        <v>1</v>
      </c>
    </row>
    <row r="269" spans="1:34" ht="27.4" customHeight="1">
      <c r="D269" s="756"/>
      <c r="E269" s="91" t="s">
        <v>91</v>
      </c>
      <c r="F269" s="139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395"/>
      <c r="H269" s="1395"/>
      <c r="I269" s="1395"/>
      <c r="J269" s="1395"/>
      <c r="K269" s="1395"/>
      <c r="L269" s="1395"/>
      <c r="M269" s="831"/>
      <c r="AH269" s="538">
        <v>26</v>
      </c>
    </row>
    <row r="270" spans="1:34" ht="60.75" hidden="1" customHeight="1">
      <c r="A270" s="79" t="s">
        <v>168</v>
      </c>
      <c r="B270" s="79" t="s">
        <v>169</v>
      </c>
      <c r="D270" s="1396"/>
      <c r="E270" s="1149"/>
      <c r="F270" s="128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365" t="str">
        <f>INDEX(PT_DIFFERENTIATION_NTAR,MATCH(B270,PT_DIFFERENTIATION_NTAR_ID,0))</f>
        <v/>
      </c>
      <c r="H270" s="674"/>
      <c r="I270" s="301"/>
      <c r="J270" s="302"/>
      <c r="K270" s="115"/>
      <c r="L270" s="674" t="s">
        <v>317</v>
      </c>
      <c r="M270" s="11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AH270" s="538">
        <v>0</v>
      </c>
    </row>
    <row r="271" spans="1:34" ht="18.75" hidden="1" customHeight="1">
      <c r="C271" s="825" t="s">
        <v>1323</v>
      </c>
      <c r="D271" s="1396"/>
      <c r="E271" s="1149"/>
      <c r="F271" s="1284"/>
      <c r="G271" s="1365"/>
      <c r="H271" s="303"/>
      <c r="I271" s="49" t="s">
        <v>1322</v>
      </c>
      <c r="J271" s="63"/>
      <c r="K271" s="303"/>
      <c r="L271" s="295"/>
      <c r="M271" s="1122"/>
      <c r="AH271" s="538">
        <v>0</v>
      </c>
    </row>
    <row r="272" spans="1:34" ht="0.75" hidden="1" customHeight="1">
      <c r="C272" s="825" t="s">
        <v>1330</v>
      </c>
      <c r="D272" s="1396"/>
      <c r="E272" s="1149"/>
      <c r="F272" s="1284"/>
      <c r="G272" s="305"/>
      <c r="H272" s="303"/>
      <c r="I272" s="49"/>
      <c r="J272" s="63"/>
      <c r="K272" s="303"/>
      <c r="L272" s="295"/>
      <c r="M272" s="1122"/>
      <c r="AH272" s="538">
        <v>0</v>
      </c>
    </row>
    <row r="273" spans="1:34" ht="45" hidden="1" customHeight="1">
      <c r="A273" s="79" t="s">
        <v>173</v>
      </c>
      <c r="B273" s="79" t="s">
        <v>174</v>
      </c>
      <c r="D273" s="1396"/>
      <c r="E273" s="1149"/>
      <c r="F273" s="1284" t="str">
        <f>INDEX(PT_DIFFERENTIATION_VTAR,MATCH(A273,PT_DIFFERENTIATION_VTAR_ID,0))</f>
        <v/>
      </c>
      <c r="G273" s="1365" t="str">
        <f>INDEX(PT_DIFFERENTIATION_NTAR,MATCH(B273,PT_DIFFERENTIATION_NTAR_ID,0))</f>
        <v/>
      </c>
      <c r="H273" s="674"/>
      <c r="I273" s="301"/>
      <c r="J273" s="302"/>
      <c r="K273" s="115"/>
      <c r="L273" s="674" t="s">
        <v>317</v>
      </c>
      <c r="M273" s="1123"/>
      <c r="AH273" s="538">
        <v>0</v>
      </c>
    </row>
    <row r="274" spans="1:34" ht="18.75" hidden="1" customHeight="1">
      <c r="C274" s="825" t="s">
        <v>1323</v>
      </c>
      <c r="D274" s="1396"/>
      <c r="E274" s="1149"/>
      <c r="F274" s="1284"/>
      <c r="G274" s="1365"/>
      <c r="H274" s="303"/>
      <c r="I274" s="49" t="s">
        <v>1322</v>
      </c>
      <c r="J274" s="63"/>
      <c r="K274" s="303"/>
      <c r="L274" s="295"/>
      <c r="M274" s="613"/>
      <c r="AH274" s="538">
        <v>0</v>
      </c>
    </row>
    <row r="275" spans="1:34" ht="0.75" hidden="1" customHeight="1">
      <c r="C275" s="825" t="s">
        <v>1330</v>
      </c>
      <c r="D275" s="1396"/>
      <c r="E275" s="1149"/>
      <c r="F275" s="1284"/>
      <c r="G275" s="305"/>
      <c r="H275" s="303"/>
      <c r="I275" s="49"/>
      <c r="J275" s="63"/>
      <c r="K275" s="303"/>
      <c r="L275" s="295"/>
      <c r="M275" s="819"/>
      <c r="AH275" s="538">
        <v>0</v>
      </c>
    </row>
    <row r="276" spans="1:34" ht="45" hidden="1" customHeight="1">
      <c r="A276" s="79" t="s">
        <v>180</v>
      </c>
      <c r="B276" s="79" t="s">
        <v>181</v>
      </c>
      <c r="D276" s="1396"/>
      <c r="E276" s="1149"/>
      <c r="F276" s="128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365" t="str">
        <f>INDEX(PT_DIFFERENTIATION_NTAR,MATCH(B276,PT_DIFFERENTIATION_NTAR_ID,0))</f>
        <v/>
      </c>
      <c r="H276" s="674"/>
      <c r="I276" s="301"/>
      <c r="J276" s="302"/>
      <c r="K276" s="115"/>
      <c r="L276" s="674" t="s">
        <v>317</v>
      </c>
      <c r="M276" s="819"/>
      <c r="AH276" s="538">
        <v>0</v>
      </c>
    </row>
    <row r="277" spans="1:34" ht="18.75" hidden="1" customHeight="1">
      <c r="C277" s="825" t="s">
        <v>1323</v>
      </c>
      <c r="D277" s="1396"/>
      <c r="E277" s="1149"/>
      <c r="F277" s="1284"/>
      <c r="G277" s="1365"/>
      <c r="H277" s="303"/>
      <c r="I277" s="49" t="s">
        <v>1322</v>
      </c>
      <c r="J277" s="63"/>
      <c r="K277" s="303"/>
      <c r="L277" s="295"/>
      <c r="M277" s="819"/>
      <c r="AH277" s="538">
        <v>0</v>
      </c>
    </row>
    <row r="278" spans="1:34" ht="0.75" hidden="1" customHeight="1">
      <c r="C278" s="825" t="s">
        <v>1330</v>
      </c>
      <c r="D278" s="1396"/>
      <c r="E278" s="1149"/>
      <c r="F278" s="1284"/>
      <c r="G278" s="305"/>
      <c r="H278" s="303"/>
      <c r="I278" s="49"/>
      <c r="J278" s="63"/>
      <c r="K278" s="303"/>
      <c r="L278" s="295"/>
      <c r="M278" s="819"/>
      <c r="AH278" s="538">
        <v>0</v>
      </c>
    </row>
    <row r="279" spans="1:34" ht="45" hidden="1" customHeight="1">
      <c r="A279" s="79" t="s">
        <v>186</v>
      </c>
      <c r="B279" s="79" t="s">
        <v>187</v>
      </c>
      <c r="D279" s="1396"/>
      <c r="E279" s="1149"/>
      <c r="F279" s="128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365" t="str">
        <f>INDEX(PT_DIFFERENTIATION_NTAR,MATCH(B279,PT_DIFFERENTIATION_NTAR_ID,0))</f>
        <v/>
      </c>
      <c r="H279" s="674"/>
      <c r="I279" s="301"/>
      <c r="J279" s="302"/>
      <c r="K279" s="115"/>
      <c r="L279" s="674" t="s">
        <v>317</v>
      </c>
      <c r="M279" s="819"/>
      <c r="AH279" s="538">
        <v>0</v>
      </c>
    </row>
    <row r="280" spans="1:34" ht="18.75" hidden="1" customHeight="1">
      <c r="C280" s="825" t="s">
        <v>1323</v>
      </c>
      <c r="D280" s="1396"/>
      <c r="E280" s="1149"/>
      <c r="F280" s="1284"/>
      <c r="G280" s="1365"/>
      <c r="H280" s="303"/>
      <c r="I280" s="49" t="s">
        <v>1322</v>
      </c>
      <c r="J280" s="63"/>
      <c r="K280" s="303"/>
      <c r="L280" s="295"/>
      <c r="M280" s="819"/>
      <c r="AH280" s="538">
        <v>0</v>
      </c>
    </row>
    <row r="281" spans="1:34" ht="0.75" hidden="1" customHeight="1">
      <c r="C281" s="825" t="s">
        <v>1330</v>
      </c>
      <c r="D281" s="1396"/>
      <c r="E281" s="1149"/>
      <c r="F281" s="1284"/>
      <c r="G281" s="305"/>
      <c r="H281" s="303"/>
      <c r="I281" s="49"/>
      <c r="J281" s="63"/>
      <c r="K281" s="303"/>
      <c r="L281" s="295"/>
      <c r="M281" s="819"/>
      <c r="AH281" s="538">
        <v>0</v>
      </c>
    </row>
    <row r="282" spans="1:34" ht="18.75" hidden="1" customHeight="1">
      <c r="A282" s="79" t="s">
        <v>192</v>
      </c>
      <c r="B282" s="79" t="s">
        <v>193</v>
      </c>
      <c r="D282" s="1396"/>
      <c r="E282" s="1149"/>
      <c r="F282" s="1284" t="str">
        <f>INDEX(PT_DIFFERENTIATION_VTAR,MATCH(A282,PT_DIFFERENTIATION_VTAR_ID,0))</f>
        <v>Тарифы на услуги по передаче тепловой энергии</v>
      </c>
      <c r="G282" s="1365" t="str">
        <f>INDEX(PT_DIFFERENTIATION_NTAR,MATCH(B282,PT_DIFFERENTIATION_NTAR_ID,0))</f>
        <v/>
      </c>
      <c r="H282" s="674"/>
      <c r="I282" s="301"/>
      <c r="J282" s="302"/>
      <c r="K282" s="115"/>
      <c r="L282" s="674" t="s">
        <v>317</v>
      </c>
      <c r="M282" s="819"/>
      <c r="AH282" s="538">
        <v>0</v>
      </c>
    </row>
    <row r="283" spans="1:34" ht="18.75" hidden="1" customHeight="1">
      <c r="C283" s="825" t="s">
        <v>1323</v>
      </c>
      <c r="D283" s="1396"/>
      <c r="E283" s="1149"/>
      <c r="F283" s="1284"/>
      <c r="G283" s="1365"/>
      <c r="H283" s="303"/>
      <c r="I283" s="49" t="s">
        <v>1322</v>
      </c>
      <c r="J283" s="63"/>
      <c r="K283" s="303"/>
      <c r="L283" s="295"/>
      <c r="M283" s="819"/>
      <c r="AH283" s="538">
        <v>0</v>
      </c>
    </row>
    <row r="284" spans="1:34" ht="0.75" hidden="1" customHeight="1">
      <c r="C284" s="825" t="s">
        <v>1330</v>
      </c>
      <c r="D284" s="1396"/>
      <c r="E284" s="1149"/>
      <c r="F284" s="1284"/>
      <c r="G284" s="305"/>
      <c r="H284" s="303"/>
      <c r="I284" s="49"/>
      <c r="J284" s="63"/>
      <c r="K284" s="303"/>
      <c r="L284" s="295"/>
      <c r="M284" s="819"/>
      <c r="AH284" s="538">
        <v>0</v>
      </c>
    </row>
    <row r="285" spans="1:34" ht="18.75" hidden="1" customHeight="1">
      <c r="A285" s="79" t="s">
        <v>198</v>
      </c>
      <c r="B285" s="79" t="s">
        <v>199</v>
      </c>
      <c r="D285" s="1396"/>
      <c r="E285" s="1149"/>
      <c r="F285" s="1284" t="str">
        <f>INDEX(PT_DIFFERENTIATION_VTAR,MATCH(A285,PT_DIFFERENTIATION_VTAR_ID,0))</f>
        <v>Тарифы на услуги по передаче теплоносителя</v>
      </c>
      <c r="G285" s="1365" t="str">
        <f>INDEX(PT_DIFFERENTIATION_NTAR,MATCH(B285,PT_DIFFERENTIATION_NTAR_ID,0))</f>
        <v/>
      </c>
      <c r="H285" s="674"/>
      <c r="I285" s="301"/>
      <c r="J285" s="302"/>
      <c r="K285" s="115"/>
      <c r="L285" s="674" t="s">
        <v>317</v>
      </c>
      <c r="M285" s="819"/>
      <c r="AH285" s="538">
        <v>0</v>
      </c>
    </row>
    <row r="286" spans="1:34" ht="18.75" hidden="1" customHeight="1">
      <c r="C286" s="825" t="s">
        <v>1323</v>
      </c>
      <c r="D286" s="1396"/>
      <c r="E286" s="1149"/>
      <c r="F286" s="1284"/>
      <c r="G286" s="1365"/>
      <c r="H286" s="303"/>
      <c r="I286" s="49" t="s">
        <v>1322</v>
      </c>
      <c r="J286" s="63"/>
      <c r="K286" s="303"/>
      <c r="L286" s="295"/>
      <c r="M286" s="819"/>
      <c r="AH286" s="538">
        <v>0</v>
      </c>
    </row>
    <row r="287" spans="1:34" ht="0.75" hidden="1" customHeight="1">
      <c r="C287" s="825" t="s">
        <v>1330</v>
      </c>
      <c r="D287" s="1396"/>
      <c r="E287" s="1149"/>
      <c r="F287" s="1284"/>
      <c r="G287" s="305"/>
      <c r="H287" s="303"/>
      <c r="I287" s="49"/>
      <c r="J287" s="63"/>
      <c r="K287" s="303"/>
      <c r="L287" s="295"/>
      <c r="M287" s="819"/>
      <c r="AH287" s="538">
        <v>0</v>
      </c>
    </row>
    <row r="288" spans="1:34" ht="18.75" hidden="1" customHeight="1">
      <c r="A288" s="79" t="s">
        <v>204</v>
      </c>
      <c r="B288" s="79" t="s">
        <v>205</v>
      </c>
      <c r="D288" s="1396"/>
      <c r="E288" s="1149"/>
      <c r="F288" s="128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365" t="str">
        <f>INDEX(PT_DIFFERENTIATION_NTAR,MATCH(B288,PT_DIFFERENTIATION_NTAR_ID,0))</f>
        <v/>
      </c>
      <c r="H288" s="674"/>
      <c r="I288" s="301"/>
      <c r="J288" s="302"/>
      <c r="K288" s="115"/>
      <c r="L288" s="674" t="s">
        <v>317</v>
      </c>
      <c r="M288" s="819"/>
      <c r="AH288" s="538">
        <v>0</v>
      </c>
    </row>
    <row r="289" spans="1:34" ht="18.75" hidden="1" customHeight="1">
      <c r="C289" s="825" t="s">
        <v>1323</v>
      </c>
      <c r="D289" s="1396"/>
      <c r="E289" s="1149"/>
      <c r="F289" s="1284"/>
      <c r="G289" s="1365"/>
      <c r="H289" s="303"/>
      <c r="I289" s="49" t="s">
        <v>1322</v>
      </c>
      <c r="J289" s="63"/>
      <c r="K289" s="303"/>
      <c r="L289" s="295"/>
      <c r="M289" s="819"/>
      <c r="AH289" s="538">
        <v>0</v>
      </c>
    </row>
    <row r="290" spans="1:34" ht="0.75" hidden="1" customHeight="1">
      <c r="C290" s="825" t="s">
        <v>1330</v>
      </c>
      <c r="D290" s="1396"/>
      <c r="E290" s="1149"/>
      <c r="F290" s="1284"/>
      <c r="G290" s="305"/>
      <c r="H290" s="303"/>
      <c r="I290" s="49"/>
      <c r="J290" s="63"/>
      <c r="K290" s="303"/>
      <c r="L290" s="295"/>
      <c r="M290" s="819"/>
      <c r="AH290" s="538">
        <v>0</v>
      </c>
    </row>
    <row r="291" spans="1:34" ht="18.75" hidden="1" customHeight="1">
      <c r="A291" s="79" t="s">
        <v>210</v>
      </c>
      <c r="B291" s="79" t="s">
        <v>211</v>
      </c>
      <c r="D291" s="1396"/>
      <c r="E291" s="1149"/>
      <c r="F291" s="1284" t="str">
        <f>INDEX(PT_DIFFERENTIATION_VTAR,MATCH(A291,PT_DIFFERENTIATION_VTAR_ID,0))</f>
        <v>Плата за подключение (технологическое присоединение) к системе теплоснабжения</v>
      </c>
      <c r="G291" s="1365" t="str">
        <f>INDEX(PT_DIFFERENTIATION_NTAR,MATCH(B291,PT_DIFFERENTIATION_NTAR_ID,0))</f>
        <v/>
      </c>
      <c r="H291" s="674"/>
      <c r="I291" s="301"/>
      <c r="J291" s="302"/>
      <c r="K291" s="115"/>
      <c r="L291" s="674" t="s">
        <v>317</v>
      </c>
      <c r="M291" s="819"/>
      <c r="AH291" s="538">
        <v>0</v>
      </c>
    </row>
    <row r="292" spans="1:34" ht="18.75" hidden="1" customHeight="1">
      <c r="C292" s="825" t="s">
        <v>1323</v>
      </c>
      <c r="D292" s="1396"/>
      <c r="E292" s="1149"/>
      <c r="F292" s="1284"/>
      <c r="G292" s="1365"/>
      <c r="H292" s="303"/>
      <c r="I292" s="49" t="s">
        <v>1322</v>
      </c>
      <c r="J292" s="63"/>
      <c r="K292" s="303"/>
      <c r="L292" s="295"/>
      <c r="M292" s="819"/>
      <c r="AH292" s="538">
        <v>0</v>
      </c>
    </row>
    <row r="293" spans="1:34" ht="0.75" hidden="1" customHeight="1">
      <c r="C293" s="825" t="s">
        <v>1330</v>
      </c>
      <c r="D293" s="1396"/>
      <c r="E293" s="1149"/>
      <c r="F293" s="1284"/>
      <c r="G293" s="305"/>
      <c r="H293" s="303"/>
      <c r="I293" s="49"/>
      <c r="J293" s="63"/>
      <c r="K293" s="303"/>
      <c r="L293" s="295"/>
      <c r="M293" s="819"/>
      <c r="AH293" s="538">
        <v>0</v>
      </c>
    </row>
    <row r="294" spans="1:34" ht="18.75" hidden="1" customHeight="1">
      <c r="A294" s="79" t="s">
        <v>216</v>
      </c>
      <c r="B294" s="79" t="s">
        <v>217</v>
      </c>
      <c r="D294" s="1396"/>
      <c r="E294" s="1149"/>
      <c r="F294" s="1284" t="str">
        <f>INDEX(PT_DIFFERENTIATION_VTAR,MATCH(A294,PT_DIFFERENTIATION_VTAR_ID,0))</f>
        <v>Плата за подключение (технологическое присоединение) к системе теплоснабжения (индивидуальная)</v>
      </c>
      <c r="G294" s="1365" t="str">
        <f>INDEX(PT_DIFFERENTIATION_NTAR,MATCH(B294,PT_DIFFERENTIATION_NTAR_ID,0))</f>
        <v/>
      </c>
      <c r="H294" s="674"/>
      <c r="I294" s="301"/>
      <c r="J294" s="302"/>
      <c r="K294" s="115"/>
      <c r="L294" s="674" t="s">
        <v>317</v>
      </c>
      <c r="M294" s="819"/>
      <c r="AH294" s="538">
        <v>0</v>
      </c>
    </row>
    <row r="295" spans="1:34" ht="18.75" hidden="1" customHeight="1">
      <c r="C295" s="825" t="s">
        <v>1323</v>
      </c>
      <c r="D295" s="1396"/>
      <c r="E295" s="1149"/>
      <c r="F295" s="1284"/>
      <c r="G295" s="1365"/>
      <c r="H295" s="303"/>
      <c r="I295" s="49" t="s">
        <v>1322</v>
      </c>
      <c r="J295" s="63"/>
      <c r="K295" s="303"/>
      <c r="L295" s="295"/>
      <c r="M295" s="819"/>
      <c r="AH295" s="538">
        <v>0</v>
      </c>
    </row>
    <row r="296" spans="1:34" ht="0.75" hidden="1" customHeight="1">
      <c r="C296" s="825" t="s">
        <v>1330</v>
      </c>
      <c r="D296" s="1396"/>
      <c r="E296" s="1149"/>
      <c r="F296" s="1284"/>
      <c r="G296" s="305"/>
      <c r="H296" s="303"/>
      <c r="I296" s="49"/>
      <c r="J296" s="63"/>
      <c r="K296" s="303"/>
      <c r="L296" s="295"/>
      <c r="M296" s="819"/>
      <c r="AH296" s="538">
        <v>0</v>
      </c>
    </row>
    <row r="297" spans="1:34" ht="18.75" hidden="1" customHeight="1">
      <c r="A297" s="79" t="s">
        <v>236</v>
      </c>
      <c r="B297" s="79" t="s">
        <v>237</v>
      </c>
      <c r="D297" s="1396"/>
      <c r="E297" s="1149"/>
      <c r="F297" s="1284" t="str">
        <f>INDEX(PT_DIFFERENTIATION_VTAR,MATCH(A297,PT_DIFFERENTIATION_VTAR_ID,0))</f>
        <v>Тариф на питьевую воду (питьевое водоснабжение)</v>
      </c>
      <c r="G297" s="1365" t="str">
        <f>INDEX(PT_DIFFERENTIATION_NTAR,MATCH(B297,PT_DIFFERENTIATION_NTAR_ID,0))</f>
        <v/>
      </c>
      <c r="H297" s="674"/>
      <c r="I297" s="301"/>
      <c r="J297" s="302"/>
      <c r="K297" s="115"/>
      <c r="L297" s="674" t="s">
        <v>317</v>
      </c>
      <c r="M297" s="819"/>
      <c r="AH297" s="538">
        <v>0</v>
      </c>
    </row>
    <row r="298" spans="1:34" ht="18.75" hidden="1" customHeight="1">
      <c r="C298" s="825" t="s">
        <v>1323</v>
      </c>
      <c r="D298" s="1396"/>
      <c r="E298" s="1149"/>
      <c r="F298" s="1284"/>
      <c r="G298" s="1365"/>
      <c r="H298" s="303"/>
      <c r="I298" s="49" t="s">
        <v>1322</v>
      </c>
      <c r="J298" s="63"/>
      <c r="K298" s="303"/>
      <c r="L298" s="295"/>
      <c r="M298" s="819"/>
      <c r="AH298" s="538">
        <v>0</v>
      </c>
    </row>
    <row r="299" spans="1:34" ht="0.75" hidden="1" customHeight="1">
      <c r="C299" s="825" t="s">
        <v>1330</v>
      </c>
      <c r="D299" s="1396"/>
      <c r="E299" s="1149"/>
      <c r="F299" s="1284"/>
      <c r="G299" s="305"/>
      <c r="H299" s="303"/>
      <c r="I299" s="49"/>
      <c r="J299" s="63"/>
      <c r="K299" s="303"/>
      <c r="L299" s="295"/>
      <c r="M299" s="819"/>
      <c r="AH299" s="538">
        <v>0</v>
      </c>
    </row>
    <row r="300" spans="1:34" ht="18.75" hidden="1" customHeight="1">
      <c r="A300" s="79" t="s">
        <v>241</v>
      </c>
      <c r="B300" s="79" t="s">
        <v>242</v>
      </c>
      <c r="D300" s="1396"/>
      <c r="E300" s="1149"/>
      <c r="F300" s="1284" t="str">
        <f>INDEX(PT_DIFFERENTIATION_VTAR,MATCH(A300,PT_DIFFERENTIATION_VTAR_ID,0))</f>
        <v>Тариф на техническую воду</v>
      </c>
      <c r="G300" s="1365" t="str">
        <f>INDEX(PT_DIFFERENTIATION_NTAR,MATCH(B300,PT_DIFFERENTIATION_NTAR_ID,0))</f>
        <v/>
      </c>
      <c r="H300" s="674"/>
      <c r="I300" s="301"/>
      <c r="J300" s="302"/>
      <c r="K300" s="115"/>
      <c r="L300" s="674" t="s">
        <v>317</v>
      </c>
      <c r="M300" s="819"/>
      <c r="AH300" s="538">
        <v>0</v>
      </c>
    </row>
    <row r="301" spans="1:34" ht="18.75" hidden="1" customHeight="1">
      <c r="C301" s="825" t="s">
        <v>1323</v>
      </c>
      <c r="D301" s="1396"/>
      <c r="E301" s="1149"/>
      <c r="F301" s="1284"/>
      <c r="G301" s="1365"/>
      <c r="H301" s="303"/>
      <c r="I301" s="49" t="s">
        <v>1322</v>
      </c>
      <c r="J301" s="63"/>
      <c r="K301" s="303"/>
      <c r="L301" s="295"/>
      <c r="M301" s="819"/>
      <c r="AH301" s="538">
        <v>0</v>
      </c>
    </row>
    <row r="302" spans="1:34" ht="0.75" hidden="1" customHeight="1">
      <c r="C302" s="825" t="s">
        <v>1330</v>
      </c>
      <c r="D302" s="1396"/>
      <c r="E302" s="1149"/>
      <c r="F302" s="1284"/>
      <c r="G302" s="305"/>
      <c r="H302" s="303"/>
      <c r="I302" s="49"/>
      <c r="J302" s="63"/>
      <c r="K302" s="303"/>
      <c r="L302" s="295"/>
      <c r="M302" s="819"/>
      <c r="AH302" s="538">
        <v>0</v>
      </c>
    </row>
    <row r="303" spans="1:34" ht="18.75" hidden="1" customHeight="1">
      <c r="A303" s="79" t="s">
        <v>246</v>
      </c>
      <c r="B303" s="79" t="s">
        <v>247</v>
      </c>
      <c r="D303" s="1396"/>
      <c r="E303" s="1149"/>
      <c r="F303" s="1284" t="str">
        <f>INDEX(PT_DIFFERENTIATION_VTAR,MATCH(A303,PT_DIFFERENTIATION_VTAR_ID,0))</f>
        <v>Тариф на транспортировку воды</v>
      </c>
      <c r="G303" s="1365" t="str">
        <f>INDEX(PT_DIFFERENTIATION_NTAR,MATCH(B303,PT_DIFFERENTIATION_NTAR_ID,0))</f>
        <v/>
      </c>
      <c r="H303" s="674"/>
      <c r="I303" s="301"/>
      <c r="J303" s="302"/>
      <c r="K303" s="115"/>
      <c r="L303" s="674" t="s">
        <v>317</v>
      </c>
      <c r="M303" s="819"/>
      <c r="AH303" s="538">
        <v>0</v>
      </c>
    </row>
    <row r="304" spans="1:34" ht="18.75" hidden="1" customHeight="1">
      <c r="C304" s="825" t="s">
        <v>1323</v>
      </c>
      <c r="D304" s="1396"/>
      <c r="E304" s="1149"/>
      <c r="F304" s="1284"/>
      <c r="G304" s="1365"/>
      <c r="H304" s="303"/>
      <c r="I304" s="49" t="s">
        <v>1322</v>
      </c>
      <c r="J304" s="63"/>
      <c r="K304" s="303"/>
      <c r="L304" s="295"/>
      <c r="M304" s="819"/>
      <c r="AH304" s="538">
        <v>0</v>
      </c>
    </row>
    <row r="305" spans="1:34" ht="0.75" hidden="1" customHeight="1">
      <c r="C305" s="825" t="s">
        <v>1330</v>
      </c>
      <c r="D305" s="1396"/>
      <c r="E305" s="1149"/>
      <c r="F305" s="1284"/>
      <c r="G305" s="305"/>
      <c r="H305" s="303"/>
      <c r="I305" s="49"/>
      <c r="J305" s="63"/>
      <c r="K305" s="303"/>
      <c r="L305" s="295"/>
      <c r="M305" s="819"/>
      <c r="AH305" s="538">
        <v>0</v>
      </c>
    </row>
    <row r="306" spans="1:34" ht="18.75" hidden="1" customHeight="1">
      <c r="A306" s="79" t="s">
        <v>251</v>
      </c>
      <c r="B306" s="79" t="s">
        <v>252</v>
      </c>
      <c r="D306" s="1396"/>
      <c r="E306" s="1149"/>
      <c r="F306" s="1284" t="str">
        <f>INDEX(PT_DIFFERENTIATION_VTAR,MATCH(A306,PT_DIFFERENTIATION_VTAR_ID,0))</f>
        <v>Тариф на подвоз воды</v>
      </c>
      <c r="G306" s="1365" t="str">
        <f>INDEX(PT_DIFFERENTIATION_NTAR,MATCH(B306,PT_DIFFERENTIATION_NTAR_ID,0))</f>
        <v/>
      </c>
      <c r="H306" s="674"/>
      <c r="I306" s="301"/>
      <c r="J306" s="302"/>
      <c r="K306" s="115"/>
      <c r="L306" s="674" t="s">
        <v>317</v>
      </c>
      <c r="M306" s="819"/>
      <c r="AH306" s="538">
        <v>0</v>
      </c>
    </row>
    <row r="307" spans="1:34" ht="18.75" hidden="1" customHeight="1">
      <c r="C307" s="825" t="s">
        <v>1323</v>
      </c>
      <c r="D307" s="1396"/>
      <c r="E307" s="1149"/>
      <c r="F307" s="1284"/>
      <c r="G307" s="1365"/>
      <c r="H307" s="303"/>
      <c r="I307" s="49" t="s">
        <v>1322</v>
      </c>
      <c r="J307" s="63"/>
      <c r="K307" s="303"/>
      <c r="L307" s="295"/>
      <c r="M307" s="819"/>
      <c r="AH307" s="538">
        <v>0</v>
      </c>
    </row>
    <row r="308" spans="1:34" ht="0.75" hidden="1" customHeight="1">
      <c r="C308" s="825" t="s">
        <v>1330</v>
      </c>
      <c r="D308" s="1396"/>
      <c r="E308" s="1149"/>
      <c r="F308" s="1284"/>
      <c r="G308" s="305"/>
      <c r="H308" s="303"/>
      <c r="I308" s="49"/>
      <c r="J308" s="63"/>
      <c r="K308" s="303"/>
      <c r="L308" s="295"/>
      <c r="M308" s="819"/>
      <c r="AH308" s="538">
        <v>0</v>
      </c>
    </row>
    <row r="309" spans="1:34" ht="18.75" hidden="1" customHeight="1">
      <c r="A309" s="79" t="s">
        <v>256</v>
      </c>
      <c r="B309" s="79" t="s">
        <v>257</v>
      </c>
      <c r="D309" s="1396"/>
      <c r="E309" s="1149"/>
      <c r="F309" s="128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365" t="str">
        <f>INDEX(PT_DIFFERENTIATION_NTAR,MATCH(B309,PT_DIFFERENTIATION_NTAR_ID,0))</f>
        <v/>
      </c>
      <c r="H309" s="674"/>
      <c r="I309" s="301"/>
      <c r="J309" s="302"/>
      <c r="K309" s="115"/>
      <c r="L309" s="674" t="s">
        <v>317</v>
      </c>
      <c r="M309" s="819"/>
      <c r="AH309" s="538">
        <v>0</v>
      </c>
    </row>
    <row r="310" spans="1:34" ht="18.75" hidden="1" customHeight="1">
      <c r="C310" s="825" t="s">
        <v>1323</v>
      </c>
      <c r="D310" s="1396"/>
      <c r="E310" s="1149"/>
      <c r="F310" s="1284"/>
      <c r="G310" s="1365"/>
      <c r="H310" s="303"/>
      <c r="I310" s="49" t="s">
        <v>1322</v>
      </c>
      <c r="J310" s="63"/>
      <c r="K310" s="303"/>
      <c r="L310" s="295"/>
      <c r="M310" s="819"/>
      <c r="AH310" s="538">
        <v>0</v>
      </c>
    </row>
    <row r="311" spans="1:34" ht="0.75" hidden="1" customHeight="1">
      <c r="C311" s="825" t="s">
        <v>1330</v>
      </c>
      <c r="D311" s="1396"/>
      <c r="E311" s="1149"/>
      <c r="F311" s="1284"/>
      <c r="G311" s="305"/>
      <c r="H311" s="303"/>
      <c r="I311" s="49"/>
      <c r="J311" s="63"/>
      <c r="K311" s="303"/>
      <c r="L311" s="295"/>
      <c r="M311" s="819"/>
      <c r="AH311" s="538">
        <v>0</v>
      </c>
    </row>
    <row r="312" spans="1:34" ht="18.75" hidden="1" customHeight="1">
      <c r="A312" s="79" t="s">
        <v>261</v>
      </c>
      <c r="B312" s="79" t="s">
        <v>262</v>
      </c>
      <c r="D312" s="1396"/>
      <c r="E312" s="1149"/>
      <c r="F312" s="1284" t="str">
        <f>INDEX(PT_DIFFERENTIATION_VTAR,MATCH(A312,PT_DIFFERENTIATION_VTAR_ID,0))</f>
        <v>Тариф на горячую воду (горячее водоснабжение)</v>
      </c>
      <c r="G312" s="1365" t="str">
        <f>INDEX(PT_DIFFERENTIATION_NTAR,MATCH(B312,PT_DIFFERENTIATION_NTAR_ID,0))</f>
        <v/>
      </c>
      <c r="H312" s="674"/>
      <c r="I312" s="301"/>
      <c r="J312" s="302"/>
      <c r="K312" s="115"/>
      <c r="L312" s="674" t="s">
        <v>317</v>
      </c>
      <c r="M312" s="819"/>
      <c r="AH312" s="538">
        <v>0</v>
      </c>
    </row>
    <row r="313" spans="1:34" ht="18.75" hidden="1" customHeight="1">
      <c r="C313" s="825" t="s">
        <v>1323</v>
      </c>
      <c r="D313" s="1396"/>
      <c r="E313" s="1149"/>
      <c r="F313" s="1284"/>
      <c r="G313" s="1365"/>
      <c r="H313" s="303"/>
      <c r="I313" s="49" t="s">
        <v>1322</v>
      </c>
      <c r="J313" s="63"/>
      <c r="K313" s="303"/>
      <c r="L313" s="295"/>
      <c r="M313" s="819"/>
      <c r="AH313" s="538">
        <v>0</v>
      </c>
    </row>
    <row r="314" spans="1:34" ht="0.75" hidden="1" customHeight="1">
      <c r="C314" s="825" t="s">
        <v>1330</v>
      </c>
      <c r="D314" s="1396"/>
      <c r="E314" s="1149"/>
      <c r="F314" s="1284"/>
      <c r="G314" s="305"/>
      <c r="H314" s="303"/>
      <c r="I314" s="49"/>
      <c r="J314" s="63"/>
      <c r="K314" s="303"/>
      <c r="L314" s="295"/>
      <c r="M314" s="819"/>
      <c r="AH314" s="538">
        <v>0</v>
      </c>
    </row>
    <row r="315" spans="1:34" ht="18.75" hidden="1" customHeight="1">
      <c r="A315" s="79" t="s">
        <v>266</v>
      </c>
      <c r="B315" s="79" t="s">
        <v>267</v>
      </c>
      <c r="D315" s="1396"/>
      <c r="E315" s="1149"/>
      <c r="F315" s="1284" t="str">
        <f>INDEX(PT_DIFFERENTIATION_VTAR,MATCH(A315,PT_DIFFERENTIATION_VTAR_ID,0))</f>
        <v>Тариф на транспортировку горячей воды</v>
      </c>
      <c r="G315" s="1365" t="str">
        <f>INDEX(PT_DIFFERENTIATION_NTAR,MATCH(B315,PT_DIFFERENTIATION_NTAR_ID,0))</f>
        <v/>
      </c>
      <c r="H315" s="674"/>
      <c r="I315" s="301"/>
      <c r="J315" s="302"/>
      <c r="K315" s="115"/>
      <c r="L315" s="674" t="s">
        <v>317</v>
      </c>
      <c r="M315" s="819"/>
      <c r="AH315" s="538">
        <v>0</v>
      </c>
    </row>
    <row r="316" spans="1:34" ht="18.75" hidden="1" customHeight="1">
      <c r="C316" s="825" t="s">
        <v>1323</v>
      </c>
      <c r="D316" s="1396"/>
      <c r="E316" s="1149"/>
      <c r="F316" s="1284"/>
      <c r="G316" s="1365"/>
      <c r="H316" s="303"/>
      <c r="I316" s="49" t="s">
        <v>1322</v>
      </c>
      <c r="J316" s="63"/>
      <c r="K316" s="303"/>
      <c r="L316" s="295"/>
      <c r="M316" s="819"/>
      <c r="AH316" s="538">
        <v>0</v>
      </c>
    </row>
    <row r="317" spans="1:34" ht="0.75" hidden="1" customHeight="1">
      <c r="C317" s="825" t="s">
        <v>1330</v>
      </c>
      <c r="D317" s="1396"/>
      <c r="E317" s="1149"/>
      <c r="F317" s="1284"/>
      <c r="G317" s="305"/>
      <c r="H317" s="303"/>
      <c r="I317" s="49"/>
      <c r="J317" s="63"/>
      <c r="K317" s="303"/>
      <c r="L317" s="295"/>
      <c r="M317" s="819"/>
      <c r="AH317" s="538">
        <v>0</v>
      </c>
    </row>
    <row r="318" spans="1:34" ht="18.75" hidden="1" customHeight="1">
      <c r="A318" s="79" t="s">
        <v>271</v>
      </c>
      <c r="B318" s="79" t="s">
        <v>272</v>
      </c>
      <c r="D318" s="1396"/>
      <c r="E318" s="1149"/>
      <c r="F318" s="1284" t="str">
        <f>INDEX(PT_DIFFERENTIATION_VTAR,MATCH(A318,PT_DIFFERENTIATION_VTAR_ID,0))</f>
        <v>Тариф на подключение (технологическое присоединение) к централизованной системе горячего водоснабжения</v>
      </c>
      <c r="G318" s="1365" t="str">
        <f>INDEX(PT_DIFFERENTIATION_NTAR,MATCH(B318,PT_DIFFERENTIATION_NTAR_ID,0))</f>
        <v/>
      </c>
      <c r="H318" s="674"/>
      <c r="I318" s="301"/>
      <c r="J318" s="302"/>
      <c r="K318" s="115"/>
      <c r="L318" s="674" t="s">
        <v>317</v>
      </c>
      <c r="M318" s="819"/>
      <c r="AH318" s="538">
        <v>0</v>
      </c>
    </row>
    <row r="319" spans="1:34" ht="18.75" hidden="1" customHeight="1">
      <c r="C319" s="825" t="s">
        <v>1323</v>
      </c>
      <c r="D319" s="1396"/>
      <c r="E319" s="1149"/>
      <c r="F319" s="1284"/>
      <c r="G319" s="1365"/>
      <c r="H319" s="303"/>
      <c r="I319" s="49" t="s">
        <v>1322</v>
      </c>
      <c r="J319" s="63"/>
      <c r="K319" s="303"/>
      <c r="L319" s="295"/>
      <c r="M319" s="819"/>
      <c r="AH319" s="538">
        <v>0</v>
      </c>
    </row>
    <row r="320" spans="1:34" ht="0.75" hidden="1" customHeight="1">
      <c r="C320" s="825" t="s">
        <v>1330</v>
      </c>
      <c r="D320" s="1396"/>
      <c r="E320" s="1149"/>
      <c r="F320" s="1284"/>
      <c r="G320" s="305"/>
      <c r="H320" s="303"/>
      <c r="I320" s="49"/>
      <c r="J320" s="63"/>
      <c r="K320" s="303"/>
      <c r="L320" s="295"/>
      <c r="M320" s="819"/>
      <c r="AH320" s="538">
        <v>0</v>
      </c>
    </row>
    <row r="321" spans="1:34" ht="18.75" hidden="1" customHeight="1">
      <c r="A321" s="79" t="s">
        <v>276</v>
      </c>
      <c r="B321" s="79" t="s">
        <v>277</v>
      </c>
      <c r="D321" s="1396"/>
      <c r="E321" s="1149"/>
      <c r="F321" s="1284" t="str">
        <f>INDEX(PT_DIFFERENTIATION_VTAR,MATCH(A321,PT_DIFFERENTIATION_VTAR_ID,0))</f>
        <v>Тариф на водоотведение</v>
      </c>
      <c r="G321" s="1365" t="str">
        <f>INDEX(PT_DIFFERENTIATION_NTAR,MATCH(B321,PT_DIFFERENTIATION_NTAR_ID,0))</f>
        <v/>
      </c>
      <c r="H321" s="674"/>
      <c r="I321" s="301"/>
      <c r="J321" s="302"/>
      <c r="K321" s="115"/>
      <c r="L321" s="674" t="s">
        <v>317</v>
      </c>
      <c r="M321" s="819"/>
      <c r="AH321" s="538">
        <v>0</v>
      </c>
    </row>
    <row r="322" spans="1:34" ht="18.75" hidden="1" customHeight="1">
      <c r="C322" s="825" t="s">
        <v>1323</v>
      </c>
      <c r="D322" s="1396"/>
      <c r="E322" s="1149"/>
      <c r="F322" s="1284"/>
      <c r="G322" s="1365"/>
      <c r="H322" s="303"/>
      <c r="I322" s="49" t="s">
        <v>1322</v>
      </c>
      <c r="J322" s="63"/>
      <c r="K322" s="303"/>
      <c r="L322" s="295"/>
      <c r="M322" s="819"/>
      <c r="AH322" s="538">
        <v>0</v>
      </c>
    </row>
    <row r="323" spans="1:34" ht="0.75" hidden="1" customHeight="1">
      <c r="C323" s="825" t="s">
        <v>1330</v>
      </c>
      <c r="D323" s="1396"/>
      <c r="E323" s="1149"/>
      <c r="F323" s="1284"/>
      <c r="G323" s="305"/>
      <c r="H323" s="303"/>
      <c r="I323" s="49"/>
      <c r="J323" s="63"/>
      <c r="K323" s="303"/>
      <c r="L323" s="295"/>
      <c r="M323" s="819"/>
      <c r="AH323" s="538">
        <v>0</v>
      </c>
    </row>
    <row r="324" spans="1:34" ht="18.75" hidden="1" customHeight="1">
      <c r="A324" s="79" t="s">
        <v>281</v>
      </c>
      <c r="B324" s="79" t="s">
        <v>282</v>
      </c>
      <c r="D324" s="1396"/>
      <c r="E324" s="1149"/>
      <c r="F324" s="1284" t="str">
        <f>INDEX(PT_DIFFERENTIATION_VTAR,MATCH(A324,PT_DIFFERENTIATION_VTAR_ID,0))</f>
        <v>Тариф на транспортировку сточных вод</v>
      </c>
      <c r="G324" s="1365" t="str">
        <f>INDEX(PT_DIFFERENTIATION_NTAR,MATCH(B324,PT_DIFFERENTIATION_NTAR_ID,0))</f>
        <v/>
      </c>
      <c r="H324" s="674"/>
      <c r="I324" s="301"/>
      <c r="J324" s="302"/>
      <c r="K324" s="115"/>
      <c r="L324" s="674" t="s">
        <v>317</v>
      </c>
      <c r="M324" s="819"/>
      <c r="AH324" s="538">
        <v>0</v>
      </c>
    </row>
    <row r="325" spans="1:34" ht="18.75" hidden="1" customHeight="1">
      <c r="C325" s="825" t="s">
        <v>1323</v>
      </c>
      <c r="D325" s="1396"/>
      <c r="E325" s="1149"/>
      <c r="F325" s="1284"/>
      <c r="G325" s="1365"/>
      <c r="H325" s="303"/>
      <c r="I325" s="49" t="s">
        <v>1322</v>
      </c>
      <c r="J325" s="63"/>
      <c r="K325" s="303"/>
      <c r="L325" s="295"/>
      <c r="M325" s="819"/>
      <c r="AH325" s="538">
        <v>0</v>
      </c>
    </row>
    <row r="326" spans="1:34" ht="0.75" hidden="1" customHeight="1">
      <c r="C326" s="825" t="s">
        <v>1330</v>
      </c>
      <c r="D326" s="1396"/>
      <c r="E326" s="1149"/>
      <c r="F326" s="1284"/>
      <c r="G326" s="305"/>
      <c r="H326" s="303"/>
      <c r="I326" s="49"/>
      <c r="J326" s="63"/>
      <c r="K326" s="303"/>
      <c r="L326" s="295"/>
      <c r="M326" s="819"/>
      <c r="AH326" s="538">
        <v>0</v>
      </c>
    </row>
    <row r="327" spans="1:34" ht="18.75" hidden="1" customHeight="1">
      <c r="A327" s="79" t="s">
        <v>286</v>
      </c>
      <c r="B327" s="79" t="s">
        <v>287</v>
      </c>
      <c r="D327" s="1396"/>
      <c r="E327" s="1149"/>
      <c r="F327" s="1284" t="str">
        <f>INDEX(PT_DIFFERENTIATION_VTAR,MATCH(A327,PT_DIFFERENTIATION_VTAR_ID,0))</f>
        <v>Тариф на подключение (технологическое присоединение) к централизованной системе водоотведения</v>
      </c>
      <c r="G327" s="1365" t="str">
        <f>INDEX(PT_DIFFERENTIATION_NTAR,MATCH(B327,PT_DIFFERENTIATION_NTAR_ID,0))</f>
        <v/>
      </c>
      <c r="H327" s="674"/>
      <c r="I327" s="301"/>
      <c r="J327" s="302"/>
      <c r="K327" s="115"/>
      <c r="L327" s="674" t="s">
        <v>317</v>
      </c>
      <c r="M327" s="819"/>
      <c r="AH327" s="538">
        <v>0</v>
      </c>
    </row>
    <row r="328" spans="1:34" ht="18.75" hidden="1" customHeight="1">
      <c r="C328" s="825" t="s">
        <v>1323</v>
      </c>
      <c r="D328" s="1396"/>
      <c r="E328" s="1149"/>
      <c r="F328" s="1284"/>
      <c r="G328" s="1365"/>
      <c r="H328" s="303"/>
      <c r="I328" s="49" t="s">
        <v>1322</v>
      </c>
      <c r="J328" s="63"/>
      <c r="K328" s="303"/>
      <c r="L328" s="295"/>
      <c r="M328" s="819"/>
      <c r="AH328" s="538">
        <v>0</v>
      </c>
    </row>
    <row r="329" spans="1:34" ht="1.1499999999999999" customHeight="1">
      <c r="C329" s="825" t="s">
        <v>1330</v>
      </c>
      <c r="D329" s="1396"/>
      <c r="E329" s="1149"/>
      <c r="F329" s="1284"/>
      <c r="G329" s="305"/>
      <c r="H329" s="303"/>
      <c r="I329" s="49"/>
      <c r="J329" s="63"/>
      <c r="K329" s="303"/>
      <c r="L329" s="295"/>
      <c r="M329" s="819"/>
      <c r="AH329" s="538">
        <v>1</v>
      </c>
    </row>
    <row r="330" spans="1:34" ht="3" customHeight="1">
      <c r="E330" s="308"/>
      <c r="F330" s="308"/>
      <c r="G330" s="308"/>
      <c r="H330" s="308"/>
      <c r="I330" s="308"/>
      <c r="J330" s="308"/>
      <c r="K330" s="308"/>
      <c r="L330" s="308"/>
      <c r="M330" s="308"/>
      <c r="AH330" s="79">
        <v>3</v>
      </c>
    </row>
    <row r="331" spans="1:34" ht="26.25" customHeight="1">
      <c r="F331" s="1031"/>
      <c r="G331" s="1031"/>
      <c r="H331" s="1031"/>
      <c r="I331" s="1031"/>
      <c r="J331" s="1031"/>
      <c r="K331" s="1031"/>
      <c r="L331" s="1031"/>
      <c r="M331" s="1031"/>
      <c r="AH331" s="538">
        <v>25</v>
      </c>
    </row>
    <row r="332" spans="1:34" ht="14.25" hidden="1" customHeight="1">
      <c r="A332" s="309" t="s">
        <v>81</v>
      </c>
      <c r="B332" s="309">
        <v>0</v>
      </c>
      <c r="C332" s="825">
        <v>0</v>
      </c>
      <c r="D332" s="821">
        <v>3</v>
      </c>
      <c r="E332" s="538">
        <v>6</v>
      </c>
      <c r="F332" s="538">
        <v>46</v>
      </c>
      <c r="G332" s="538">
        <v>35</v>
      </c>
      <c r="H332" s="538">
        <v>3</v>
      </c>
      <c r="I332" s="538">
        <v>11</v>
      </c>
      <c r="J332" s="538">
        <v>11</v>
      </c>
      <c r="K332" s="538">
        <v>35</v>
      </c>
      <c r="L332" s="538">
        <v>35</v>
      </c>
      <c r="M332" s="538">
        <v>84</v>
      </c>
      <c r="N332" s="538">
        <v>10</v>
      </c>
      <c r="O332" s="582">
        <v>10</v>
      </c>
      <c r="P332" s="582">
        <v>10</v>
      </c>
      <c r="Q332" s="538">
        <v>10</v>
      </c>
      <c r="R332" s="538">
        <v>10</v>
      </c>
      <c r="S332" s="538">
        <v>10</v>
      </c>
      <c r="T332" s="538">
        <v>10</v>
      </c>
      <c r="U332" s="538">
        <v>10</v>
      </c>
      <c r="V332" s="538">
        <v>10</v>
      </c>
      <c r="W332" s="538">
        <v>10</v>
      </c>
      <c r="X332" s="538">
        <v>10</v>
      </c>
      <c r="Y332" s="538">
        <v>10</v>
      </c>
      <c r="Z332" s="538">
        <v>10</v>
      </c>
      <c r="AA332" s="538">
        <v>10</v>
      </c>
      <c r="AB332" s="538">
        <v>10</v>
      </c>
      <c r="AC332" s="538">
        <v>10</v>
      </c>
      <c r="AD332" s="538">
        <v>10</v>
      </c>
      <c r="AE332" s="538">
        <v>10</v>
      </c>
      <c r="AF332" s="538">
        <v>10</v>
      </c>
      <c r="AG332" s="538">
        <v>10</v>
      </c>
      <c r="AH332" s="538">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2" width="9.140625" style="1029" hidden="1" customWidth="1"/>
    <col min="3" max="3" width="3" style="1029" customWidth="1"/>
    <col min="4" max="4" width="6" style="1029" customWidth="1"/>
    <col min="5" max="5" width="53" style="1029" customWidth="1"/>
    <col min="6" max="7" width="35" style="1029" customWidth="1"/>
    <col min="8" max="8" width="89" style="1029" customWidth="1"/>
    <col min="9" max="17" width="10" style="1029" customWidth="1"/>
    <col min="18" max="18" width="10.5703125" style="1029" hidden="1"/>
  </cols>
  <sheetData>
    <row r="1" spans="3:18" ht="22.5" hidden="1" customHeight="1">
      <c r="R1" s="538" t="s">
        <v>14</v>
      </c>
    </row>
    <row r="2" spans="3:18" ht="18.75" hidden="1" customHeight="1">
      <c r="C2" s="374" t="s">
        <v>103</v>
      </c>
      <c r="D2" s="91"/>
      <c r="E2" s="103"/>
      <c r="F2" s="797"/>
      <c r="G2" s="133"/>
      <c r="R2" s="538">
        <v>0</v>
      </c>
    </row>
    <row r="3" spans="3:18" ht="14.25" hidden="1" customHeight="1">
      <c r="R3" s="538">
        <v>0</v>
      </c>
    </row>
    <row r="4" spans="3:18" ht="6.4" customHeight="1">
      <c r="C4" s="756"/>
      <c r="D4" s="556"/>
      <c r="E4" s="556"/>
      <c r="F4" s="556"/>
      <c r="G4" s="813"/>
      <c r="H4" s="813"/>
      <c r="R4" s="538">
        <v>6</v>
      </c>
    </row>
    <row r="5" spans="3:18" ht="34.5" customHeight="1">
      <c r="C5" s="756"/>
      <c r="D5" s="1109"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1110"/>
      <c r="F5" s="1110"/>
      <c r="G5" s="1111"/>
      <c r="R5" s="538">
        <v>33</v>
      </c>
    </row>
    <row r="6" spans="3:18" ht="18" customHeight="1">
      <c r="C6" s="756"/>
      <c r="D6" s="1159" t="str">
        <f>IF(org=0,"Не определено",org)</f>
        <v>АО "НИЖЕГОРОДСКИЙ ВОДОКАНАЛ"</v>
      </c>
      <c r="E6" s="1160"/>
      <c r="F6" s="1160"/>
      <c r="G6" s="1161"/>
      <c r="R6" s="538">
        <v>17</v>
      </c>
    </row>
    <row r="7" spans="3:18" ht="14.65" customHeight="1">
      <c r="C7" s="756"/>
      <c r="D7" s="556"/>
      <c r="E7" s="551"/>
      <c r="F7" s="551"/>
      <c r="G7" s="629"/>
      <c r="H7" s="814"/>
      <c r="R7" s="538">
        <v>14</v>
      </c>
    </row>
    <row r="8" spans="3:18" ht="14.65" customHeight="1">
      <c r="C8" s="756"/>
      <c r="D8" s="1154" t="s">
        <v>311</v>
      </c>
      <c r="E8" s="1154"/>
      <c r="F8" s="1154"/>
      <c r="G8" s="1154"/>
      <c r="H8" s="1295" t="s">
        <v>312</v>
      </c>
      <c r="R8" s="538">
        <v>14</v>
      </c>
    </row>
    <row r="9" spans="3:18" ht="24" customHeight="1">
      <c r="C9" s="756"/>
      <c r="D9" s="632" t="s">
        <v>87</v>
      </c>
      <c r="E9" s="602" t="s">
        <v>313</v>
      </c>
      <c r="F9" s="602" t="s">
        <v>314</v>
      </c>
      <c r="G9" s="602" t="s">
        <v>401</v>
      </c>
      <c r="H9" s="1295"/>
      <c r="R9" s="538">
        <v>23</v>
      </c>
    </row>
    <row r="10" spans="3:18" ht="14.65" customHeight="1">
      <c r="C10" s="756"/>
      <c r="D10" s="91" t="s">
        <v>114</v>
      </c>
      <c r="E10" s="89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797"/>
      <c r="G10" s="133"/>
      <c r="H10" s="1121" t="s">
        <v>1331</v>
      </c>
      <c r="R10" s="538">
        <v>14</v>
      </c>
    </row>
    <row r="11" spans="3:18" ht="14.65" customHeight="1">
      <c r="C11" s="756"/>
      <c r="D11" s="91" t="s">
        <v>102</v>
      </c>
      <c r="E11" s="89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797"/>
      <c r="G11" s="133"/>
      <c r="H11" s="1122"/>
      <c r="R11" s="538">
        <v>14</v>
      </c>
    </row>
    <row r="12" spans="3:18" ht="14.65" customHeight="1">
      <c r="C12" s="653"/>
      <c r="D12" s="91" t="s">
        <v>89</v>
      </c>
      <c r="E12" s="796" t="str">
        <f>"Сведения о планировании закупочных процедур"&amp;IF(TEMPLATE_SPHERE="TKO"," &lt;1&gt;","")</f>
        <v>Сведения о планировании закупочных процедур</v>
      </c>
      <c r="F12" s="797"/>
      <c r="G12" s="133"/>
      <c r="H12" s="112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R12" s="538">
        <v>14</v>
      </c>
    </row>
    <row r="13" spans="3:18" ht="14.65" customHeight="1">
      <c r="C13" s="653"/>
      <c r="D13" s="91" t="s">
        <v>90</v>
      </c>
      <c r="E13" s="796" t="str">
        <f>"Сведения о результатах проведения закупочных процедур"&amp;IF(TEMPLATE_SPHERE="TKO"," &lt;1&gt;","")</f>
        <v>Сведения о результатах проведения закупочных процедур</v>
      </c>
      <c r="F13" s="797"/>
      <c r="G13" s="133"/>
      <c r="H13" s="1122"/>
      <c r="R13" s="538">
        <v>14</v>
      </c>
    </row>
    <row r="14" spans="3:18" ht="14.65" customHeight="1">
      <c r="C14" s="756"/>
      <c r="D14" s="760"/>
      <c r="E14" s="49" t="s">
        <v>333</v>
      </c>
      <c r="F14" s="63"/>
      <c r="G14" s="295"/>
      <c r="H14" s="1123"/>
      <c r="R14" s="538">
        <v>14</v>
      </c>
    </row>
    <row r="15" spans="3:18" ht="14.65" customHeight="1">
      <c r="C15" s="756"/>
      <c r="D15" s="895"/>
      <c r="E15" s="377"/>
      <c r="F15" s="378"/>
      <c r="G15" s="379"/>
      <c r="H15" s="896"/>
      <c r="R15" s="538">
        <v>14</v>
      </c>
    </row>
    <row r="16" spans="3:18" ht="14.65" customHeight="1">
      <c r="E16" s="1031"/>
      <c r="F16" s="1031"/>
      <c r="G16" s="1031"/>
      <c r="H16" s="1031"/>
      <c r="R16" s="538">
        <v>14</v>
      </c>
    </row>
    <row r="17" spans="1:18" ht="22.5" hidden="1" customHeight="1">
      <c r="A17" s="300" t="s">
        <v>81</v>
      </c>
      <c r="B17" s="555">
        <v>0</v>
      </c>
      <c r="C17" s="821">
        <v>3</v>
      </c>
      <c r="D17" s="538">
        <v>6</v>
      </c>
      <c r="E17" s="538">
        <v>53</v>
      </c>
      <c r="F17" s="538">
        <v>35</v>
      </c>
      <c r="G17" s="538">
        <v>35</v>
      </c>
      <c r="H17" s="538">
        <v>89</v>
      </c>
      <c r="I17" s="538">
        <v>10</v>
      </c>
      <c r="J17" s="582">
        <v>10</v>
      </c>
      <c r="K17" s="582">
        <v>10</v>
      </c>
      <c r="L17" s="538">
        <v>10</v>
      </c>
      <c r="M17" s="538">
        <v>10</v>
      </c>
      <c r="N17" s="538">
        <v>10</v>
      </c>
      <c r="O17" s="538">
        <v>10</v>
      </c>
      <c r="P17" s="538">
        <v>10</v>
      </c>
      <c r="Q17" s="538">
        <v>10</v>
      </c>
      <c r="R17" s="53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029" hidden="1" customWidth="1"/>
    <col min="3" max="3" width="3" style="1029" customWidth="1"/>
    <col min="4" max="4" width="6" style="1029" customWidth="1"/>
    <col min="5" max="5" width="42" style="1029" customWidth="1"/>
    <col min="6" max="6" width="15" style="1029" customWidth="1"/>
    <col min="7" max="7" width="42" style="1029" customWidth="1"/>
    <col min="8" max="8" width="3" style="1029" customWidth="1"/>
    <col min="9" max="9" width="5" style="1029" customWidth="1"/>
    <col min="10" max="10" width="47" style="1029" customWidth="1"/>
    <col min="11" max="12" width="3" style="1029" customWidth="1"/>
    <col min="13" max="13" width="5" style="1029" customWidth="1"/>
    <col min="14" max="14" width="28" style="1029" customWidth="1"/>
    <col min="15" max="16" width="3" style="1029" customWidth="1"/>
    <col min="17" max="17" width="5" style="1029" customWidth="1"/>
    <col min="18" max="18" width="34" style="1029" customWidth="1"/>
    <col min="19" max="20" width="3.7109375" style="1029" hidden="1" customWidth="1"/>
    <col min="21" max="21" width="5.7109375" style="1029" hidden="1" customWidth="1"/>
    <col min="22" max="22" width="34.42578125" style="1029" hidden="1" customWidth="1"/>
    <col min="23" max="23" width="30" style="1029" customWidth="1"/>
    <col min="24" max="24" width="3" style="1029" customWidth="1"/>
    <col min="25" max="28" width="9.85546875" style="1029" hidden="1" customWidth="1"/>
    <col min="29" max="29" width="27" style="1029" hidden="1" customWidth="1"/>
    <col min="30" max="30" width="10.5703125" style="1029" hidden="1" customWidth="1"/>
    <col min="31" max="31" width="10.7109375" style="1029" hidden="1" customWidth="1"/>
    <col min="32" max="32" width="10" style="1029" hidden="1" customWidth="1"/>
    <col min="33" max="33" width="12.85546875" style="1029" hidden="1" customWidth="1"/>
    <col min="34" max="34" width="24.42578125" style="1029" hidden="1" customWidth="1"/>
    <col min="35" max="35" width="15.85546875" style="1029" hidden="1" customWidth="1"/>
    <col min="36" max="36" width="19.42578125" style="1029" hidden="1" customWidth="1"/>
    <col min="37" max="37" width="11" style="1029" hidden="1" customWidth="1"/>
    <col min="38" max="38" width="23.5703125" style="1029" hidden="1" customWidth="1"/>
    <col min="39" max="39" width="23.85546875" style="1029" hidden="1" customWidth="1"/>
    <col min="40" max="40" width="25.28515625" style="1029" hidden="1" customWidth="1"/>
    <col min="41" max="41" width="16.85546875" style="1029" hidden="1" customWidth="1"/>
    <col min="42" max="42" width="29.5703125" style="1029" hidden="1" customWidth="1"/>
    <col min="43" max="43" width="29.85546875" style="1029" hidden="1" customWidth="1"/>
    <col min="44" max="44" width="9.140625" style="1029" hidden="1"/>
  </cols>
  <sheetData>
    <row r="1" spans="4:44" ht="11.25" hidden="1" customHeight="1">
      <c r="AR1" s="592" t="s">
        <v>14</v>
      </c>
    </row>
    <row r="2" spans="4:44" ht="11.25" hidden="1" customHeight="1">
      <c r="AR2" s="592">
        <v>0</v>
      </c>
    </row>
    <row r="3" spans="4:44" ht="11.25" hidden="1" customHeight="1">
      <c r="AR3" s="592">
        <v>0</v>
      </c>
    </row>
    <row r="4" spans="4:44" ht="3" customHeight="1">
      <c r="AR4" s="592">
        <v>3</v>
      </c>
    </row>
    <row r="5" spans="4:44" ht="30.4" customHeight="1">
      <c r="D5" s="110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110"/>
      <c r="F5" s="1110"/>
      <c r="G5" s="1110"/>
      <c r="H5" s="1110"/>
      <c r="I5" s="1110"/>
      <c r="J5" s="1111"/>
      <c r="AR5" s="594">
        <v>29</v>
      </c>
    </row>
    <row r="6" spans="4:44" ht="14.65" customHeight="1">
      <c r="D6" s="1115" t="str">
        <f>IF(org=0,"Не определено",org)</f>
        <v>АО "НИЖЕГОРОДСКИЙ ВОДОКАНАЛ"</v>
      </c>
      <c r="E6" s="1115"/>
      <c r="F6" s="1115"/>
      <c r="G6" s="1115"/>
      <c r="H6" s="1115"/>
      <c r="I6" s="1115"/>
      <c r="J6" s="1115"/>
      <c r="AR6" s="594">
        <v>14</v>
      </c>
    </row>
    <row r="7" spans="4:44" ht="11.45" customHeight="1">
      <c r="D7" s="1112"/>
      <c r="E7" s="1113"/>
      <c r="F7" s="1113"/>
      <c r="G7" s="1113"/>
      <c r="H7" s="1113"/>
      <c r="I7" s="1113"/>
      <c r="J7" s="1114"/>
      <c r="AR7" s="601">
        <v>11</v>
      </c>
    </row>
    <row r="8" spans="4:44" ht="1.1499999999999999" customHeight="1">
      <c r="AR8" s="594">
        <v>1</v>
      </c>
    </row>
    <row r="9" spans="4:44" ht="28.5" customHeight="1">
      <c r="D9" s="1066" t="s">
        <v>87</v>
      </c>
      <c r="E9" s="1048" t="s">
        <v>135</v>
      </c>
      <c r="F9" s="1047"/>
      <c r="G9" s="1066" t="s">
        <v>110</v>
      </c>
      <c r="H9" s="1066" t="s">
        <v>87</v>
      </c>
      <c r="I9" s="1066"/>
      <c r="J9" s="1066" t="s">
        <v>136</v>
      </c>
      <c r="K9" s="1107" t="s">
        <v>137</v>
      </c>
      <c r="L9" s="1107"/>
      <c r="M9" s="1107"/>
      <c r="N9" s="1107"/>
      <c r="O9" s="1107" t="s">
        <v>138</v>
      </c>
      <c r="P9" s="1107"/>
      <c r="Q9" s="1107"/>
      <c r="R9" s="1107"/>
      <c r="S9" s="1107" t="s">
        <v>139</v>
      </c>
      <c r="T9" s="1107"/>
      <c r="U9" s="1107"/>
      <c r="V9" s="1107"/>
      <c r="W9" s="1066" t="s">
        <v>140</v>
      </c>
      <c r="AR9" s="592">
        <v>27</v>
      </c>
    </row>
    <row r="10" spans="4:44" ht="31.5" customHeight="1">
      <c r="D10" s="1066"/>
      <c r="E10" s="583" t="s">
        <v>88</v>
      </c>
      <c r="F10" s="583" t="s">
        <v>141</v>
      </c>
      <c r="G10" s="1066"/>
      <c r="H10" s="1066"/>
      <c r="I10" s="1066"/>
      <c r="J10" s="1066"/>
      <c r="K10" s="583" t="s">
        <v>113</v>
      </c>
      <c r="L10" s="1066" t="s">
        <v>87</v>
      </c>
      <c r="M10" s="1066"/>
      <c r="N10" s="583" t="s">
        <v>142</v>
      </c>
      <c r="O10" s="583" t="s">
        <v>113</v>
      </c>
      <c r="P10" s="1066" t="s">
        <v>87</v>
      </c>
      <c r="Q10" s="1066"/>
      <c r="R10" s="583" t="s">
        <v>142</v>
      </c>
      <c r="S10" s="583" t="s">
        <v>113</v>
      </c>
      <c r="T10" s="1066" t="s">
        <v>87</v>
      </c>
      <c r="U10" s="1066"/>
      <c r="V10" s="583" t="s">
        <v>88</v>
      </c>
      <c r="W10" s="1066"/>
      <c r="Z10" s="600" t="s">
        <v>143</v>
      </c>
      <c r="AA10" s="600" t="s">
        <v>144</v>
      </c>
      <c r="AB10" s="600" t="s">
        <v>145</v>
      </c>
      <c r="AC10" s="600" t="s">
        <v>146</v>
      </c>
      <c r="AD10" s="600" t="s">
        <v>147</v>
      </c>
      <c r="AE10" s="600" t="s">
        <v>148</v>
      </c>
      <c r="AF10" s="600" t="s">
        <v>149</v>
      </c>
      <c r="AG10" s="600" t="s">
        <v>150</v>
      </c>
      <c r="AH10" s="600" t="s">
        <v>151</v>
      </c>
      <c r="AI10" s="600" t="s">
        <v>152</v>
      </c>
      <c r="AJ10" s="600" t="s">
        <v>153</v>
      </c>
      <c r="AK10" s="600" t="s">
        <v>154</v>
      </c>
      <c r="AL10" s="600" t="s">
        <v>155</v>
      </c>
      <c r="AM10" s="600" t="s">
        <v>156</v>
      </c>
      <c r="AN10" s="600" t="s">
        <v>157</v>
      </c>
      <c r="AO10" s="600" t="s">
        <v>158</v>
      </c>
      <c r="AP10" s="600" t="s">
        <v>159</v>
      </c>
      <c r="AQ10" s="600" t="s">
        <v>160</v>
      </c>
      <c r="AR10" s="592">
        <v>30</v>
      </c>
    </row>
    <row r="11" spans="4:44" ht="12" hidden="1" customHeight="1">
      <c r="D11" s="64" t="s">
        <v>114</v>
      </c>
      <c r="E11" s="64" t="s">
        <v>102</v>
      </c>
      <c r="F11" s="64"/>
      <c r="G11" s="64" t="s">
        <v>89</v>
      </c>
      <c r="H11" s="1108" t="s">
        <v>115</v>
      </c>
      <c r="I11" s="1108"/>
      <c r="J11" s="64" t="s">
        <v>91</v>
      </c>
      <c r="K11" s="64" t="s">
        <v>92</v>
      </c>
      <c r="L11" s="1108" t="s">
        <v>116</v>
      </c>
      <c r="M11" s="1108"/>
      <c r="N11" s="64" t="s">
        <v>161</v>
      </c>
      <c r="O11" s="64" t="s">
        <v>162</v>
      </c>
      <c r="P11" s="1108" t="s">
        <v>163</v>
      </c>
      <c r="Q11" s="1108"/>
      <c r="R11" s="64" t="s">
        <v>164</v>
      </c>
      <c r="S11" s="64" t="s">
        <v>163</v>
      </c>
      <c r="T11" s="1108" t="s">
        <v>164</v>
      </c>
      <c r="U11" s="1108"/>
      <c r="V11" s="64" t="s">
        <v>165</v>
      </c>
      <c r="W11" s="64" t="s">
        <v>166</v>
      </c>
      <c r="AR11" s="582">
        <v>0</v>
      </c>
    </row>
    <row r="12" spans="4:44" ht="14.25" hidden="1" customHeight="1">
      <c r="D12" s="603">
        <v>0</v>
      </c>
      <c r="E12" s="583"/>
      <c r="F12" s="583"/>
      <c r="G12" s="583"/>
      <c r="H12" s="604"/>
      <c r="I12" s="604"/>
      <c r="J12" s="55"/>
      <c r="K12" s="55"/>
      <c r="L12" s="55"/>
      <c r="M12" s="55"/>
      <c r="N12" s="65"/>
      <c r="O12" s="55"/>
      <c r="P12" s="55"/>
      <c r="Q12" s="55"/>
      <c r="R12" s="66"/>
      <c r="S12" s="55"/>
      <c r="T12" s="55"/>
      <c r="U12" s="55"/>
      <c r="V12" s="66"/>
      <c r="W12" s="55"/>
      <c r="AR12" s="592">
        <v>0</v>
      </c>
    </row>
    <row r="13" spans="4:44" ht="17.25" hidden="1" customHeight="1">
      <c r="D13" s="1094">
        <v>1</v>
      </c>
      <c r="E13" s="1098" t="s">
        <v>167</v>
      </c>
      <c r="F13" s="1100" t="s">
        <v>19</v>
      </c>
      <c r="G13" s="1098"/>
      <c r="H13" s="1103"/>
      <c r="I13" s="1105"/>
      <c r="J13" s="1106"/>
      <c r="K13" s="1095"/>
      <c r="L13" s="1095"/>
      <c r="M13" s="1095"/>
      <c r="N13" s="1096"/>
      <c r="O13" s="1095"/>
      <c r="P13" s="1095"/>
      <c r="Q13" s="1095"/>
      <c r="R13" s="1097"/>
      <c r="S13" s="1095"/>
      <c r="T13" s="68"/>
      <c r="U13" s="68"/>
      <c r="V13" s="69"/>
      <c r="W13" s="70"/>
      <c r="AC13" s="606" t="s">
        <v>168</v>
      </c>
      <c r="AD13" s="606" t="s">
        <v>169</v>
      </c>
      <c r="AE13" s="606" t="s">
        <v>170</v>
      </c>
      <c r="AF13" s="606" t="s">
        <v>171</v>
      </c>
      <c r="AG13" s="606" t="s">
        <v>172</v>
      </c>
      <c r="AH13" s="60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606" t="str">
        <f>IF($G$13=0,"",$G$13)</f>
        <v/>
      </c>
      <c r="AJ13" s="606" t="str">
        <f>IF($J$13=0,"",$J$13)</f>
        <v/>
      </c>
      <c r="AK13" s="606" t="str">
        <f>IF($K$13="нет","без дифференциации",IF($N$13=0,"",$N$13))</f>
        <v/>
      </c>
      <c r="AL13" s="606" t="str">
        <f>IF($O$13="нет","без дифференциации",IF($R$13=0,"",$R$13))</f>
        <v/>
      </c>
      <c r="AM13" s="606" t="str">
        <f>IF($S$13="нет","без дифференциации",IF($V$13=0,"",$V$13))</f>
        <v/>
      </c>
      <c r="AN13" s="606">
        <f>$I$13</f>
        <v>0</v>
      </c>
      <c r="AO13" s="606" t="str">
        <f>$I$13&amp;"."&amp;$M$13</f>
        <v>.</v>
      </c>
      <c r="AP13" s="606" t="str">
        <f>$I$13&amp;"."&amp;$M$13&amp;"."&amp;$Q$13</f>
        <v>..</v>
      </c>
      <c r="AQ13" s="606" t="str">
        <f>$I$13&amp;"."&amp;$M$13&amp;"."&amp;$Q$13&amp;"."&amp;$U$13</f>
        <v>...</v>
      </c>
      <c r="AR13" s="592">
        <v>0</v>
      </c>
    </row>
    <row r="14" spans="4:44" ht="17.25" hidden="1" customHeight="1">
      <c r="D14" s="1094"/>
      <c r="E14" s="1098"/>
      <c r="F14" s="1101"/>
      <c r="G14" s="1098"/>
      <c r="H14" s="1104"/>
      <c r="I14" s="1031"/>
      <c r="J14" s="1031"/>
      <c r="K14" s="1031"/>
      <c r="L14" s="1031"/>
      <c r="M14" s="1031"/>
      <c r="N14" s="1031"/>
      <c r="O14" s="1031"/>
      <c r="P14" s="1031"/>
      <c r="Q14" s="1031"/>
      <c r="R14" s="1031"/>
      <c r="S14" s="1031"/>
      <c r="W14" s="608"/>
      <c r="AR14" s="592">
        <v>0</v>
      </c>
    </row>
    <row r="15" spans="4:44" ht="17.25" hidden="1" customHeight="1">
      <c r="D15" s="1094"/>
      <c r="E15" s="1098"/>
      <c r="F15" s="1101"/>
      <c r="G15" s="1098"/>
      <c r="H15" s="1104"/>
      <c r="I15" s="1031"/>
      <c r="J15" s="1031"/>
      <c r="K15" s="1031"/>
      <c r="L15" s="1031"/>
      <c r="M15" s="1031"/>
      <c r="N15" s="1031"/>
      <c r="O15" s="1031"/>
      <c r="W15" s="608"/>
      <c r="AR15" s="592">
        <v>0</v>
      </c>
    </row>
    <row r="16" spans="4:44" ht="17.25" hidden="1" customHeight="1">
      <c r="D16" s="1094"/>
      <c r="E16" s="1098"/>
      <c r="F16" s="1101"/>
      <c r="G16" s="1098"/>
      <c r="H16" s="1104"/>
      <c r="I16" s="1031"/>
      <c r="J16" s="1031"/>
      <c r="K16" s="1031"/>
      <c r="W16" s="608"/>
      <c r="AR16" s="592">
        <v>0</v>
      </c>
    </row>
    <row r="17" spans="4:44" ht="17.25" hidden="1" customHeight="1">
      <c r="D17" s="1071"/>
      <c r="E17" s="1099"/>
      <c r="F17" s="1102"/>
      <c r="G17" s="1099"/>
      <c r="H17" s="609"/>
      <c r="I17" s="610"/>
      <c r="J17" s="610"/>
      <c r="K17" s="610"/>
      <c r="L17" s="610"/>
      <c r="M17" s="610"/>
      <c r="N17" s="610"/>
      <c r="O17" s="610"/>
      <c r="P17" s="610"/>
      <c r="Q17" s="610"/>
      <c r="R17" s="610"/>
      <c r="S17" s="611"/>
      <c r="T17" s="611"/>
      <c r="U17" s="611"/>
      <c r="V17" s="611"/>
      <c r="W17" s="612"/>
      <c r="AR17" s="592">
        <v>0</v>
      </c>
    </row>
    <row r="18" spans="4:44" ht="17.25" hidden="1" customHeight="1">
      <c r="D18" s="1094">
        <v>2</v>
      </c>
      <c r="E18" s="1116"/>
      <c r="F18" s="1100" t="s">
        <v>19</v>
      </c>
      <c r="G18" s="1098"/>
      <c r="H18" s="1103"/>
      <c r="I18" s="1105"/>
      <c r="J18" s="1106"/>
      <c r="K18" s="1095"/>
      <c r="L18" s="1095"/>
      <c r="M18" s="1095"/>
      <c r="N18" s="1096"/>
      <c r="O18" s="1095"/>
      <c r="P18" s="1095"/>
      <c r="Q18" s="1095"/>
      <c r="R18" s="1097"/>
      <c r="S18" s="1095"/>
      <c r="T18" s="68"/>
      <c r="U18" s="68"/>
      <c r="V18" s="69"/>
      <c r="W18" s="70"/>
      <c r="AC18" s="606" t="s">
        <v>173</v>
      </c>
      <c r="AD18" s="606" t="s">
        <v>174</v>
      </c>
      <c r="AE18" s="606" t="s">
        <v>175</v>
      </c>
      <c r="AF18" s="606" t="s">
        <v>176</v>
      </c>
      <c r="AG18" s="606" t="s">
        <v>177</v>
      </c>
      <c r="AH18" s="606" t="str">
        <f>IF($E$18=0,"",$E$18)</f>
        <v/>
      </c>
      <c r="AI18" s="606" t="str">
        <f>IF($G$18=0,"",$G$18)</f>
        <v/>
      </c>
      <c r="AJ18" s="606" t="str">
        <f>IF($J$18=0,"",$J$18)</f>
        <v/>
      </c>
      <c r="AK18" s="606" t="str">
        <f>IF($K$18="нет","без дифференциации",IF($N$18=0,"",$N$18))</f>
        <v/>
      </c>
      <c r="AL18" s="606" t="str">
        <f>IF($O$18="нет","без дифференциации",IF($R$18=0,"",$R$18))</f>
        <v/>
      </c>
      <c r="AM18" s="606" t="str">
        <f>IF($S$18="нет","без дифференциации",IF($V$18=0,"",$V$18))</f>
        <v/>
      </c>
      <c r="AN18" s="72">
        <f>$I$18</f>
        <v>0</v>
      </c>
      <c r="AO18" s="606" t="str">
        <f>$I$18&amp;"."&amp;$M$18</f>
        <v>.</v>
      </c>
      <c r="AP18" s="600" t="str">
        <f>$I$18&amp;"."&amp;$M$18&amp;"."&amp;$Q$18</f>
        <v>..</v>
      </c>
      <c r="AQ18" s="600" t="str">
        <f>$I$18&amp;"."&amp;$M$18&amp;"."&amp;$Q$18&amp;"."&amp;$U$18</f>
        <v>...</v>
      </c>
      <c r="AR18" s="592">
        <v>0</v>
      </c>
    </row>
    <row r="19" spans="4:44" ht="17.25" hidden="1" customHeight="1">
      <c r="D19" s="1094"/>
      <c r="E19" s="1116"/>
      <c r="F19" s="1101"/>
      <c r="G19" s="1098"/>
      <c r="H19" s="1104"/>
      <c r="I19" s="1031"/>
      <c r="J19" s="1031"/>
      <c r="K19" s="1031"/>
      <c r="L19" s="1031"/>
      <c r="M19" s="1031"/>
      <c r="N19" s="1031"/>
      <c r="O19" s="1031"/>
      <c r="P19" s="1031"/>
      <c r="Q19" s="1031"/>
      <c r="R19" s="1031"/>
      <c r="S19" s="1031"/>
      <c r="W19" s="608"/>
      <c r="AR19" s="592">
        <v>0</v>
      </c>
    </row>
    <row r="20" spans="4:44" ht="17.25" hidden="1" customHeight="1">
      <c r="D20" s="1071"/>
      <c r="E20" s="1117"/>
      <c r="F20" s="1101"/>
      <c r="G20" s="1099"/>
      <c r="H20" s="1104"/>
      <c r="I20" s="1031"/>
      <c r="J20" s="1031"/>
      <c r="K20" s="1031"/>
      <c r="L20" s="1031"/>
      <c r="M20" s="1031"/>
      <c r="N20" s="1031"/>
      <c r="O20" s="1031"/>
      <c r="W20" s="608"/>
      <c r="AR20" s="592">
        <v>0</v>
      </c>
    </row>
    <row r="21" spans="4:44" ht="17.25" hidden="1" customHeight="1">
      <c r="D21" s="1071"/>
      <c r="E21" s="1117"/>
      <c r="F21" s="1101"/>
      <c r="G21" s="1099"/>
      <c r="H21" s="1104"/>
      <c r="I21" s="1031"/>
      <c r="J21" s="1031"/>
      <c r="K21" s="1031"/>
      <c r="W21" s="608"/>
      <c r="AR21" s="592">
        <v>0</v>
      </c>
    </row>
    <row r="22" spans="4:44" ht="17.25" hidden="1" customHeight="1">
      <c r="D22" s="1071"/>
      <c r="E22" s="1117"/>
      <c r="F22" s="1102"/>
      <c r="G22" s="1099"/>
      <c r="H22" s="609"/>
      <c r="I22" s="610"/>
      <c r="J22" s="610"/>
      <c r="K22" s="610"/>
      <c r="L22" s="610"/>
      <c r="M22" s="610"/>
      <c r="N22" s="610"/>
      <c r="O22" s="610"/>
      <c r="P22" s="610"/>
      <c r="Q22" s="610"/>
      <c r="R22" s="610"/>
      <c r="S22" s="611"/>
      <c r="T22" s="611"/>
      <c r="U22" s="611"/>
      <c r="V22" s="611"/>
      <c r="W22" s="612"/>
      <c r="AR22" s="592">
        <v>0</v>
      </c>
    </row>
    <row r="23" spans="4:44" ht="17.25" hidden="1" customHeight="1">
      <c r="D23" s="1094">
        <v>2</v>
      </c>
      <c r="E23" s="1098" t="s">
        <v>178</v>
      </c>
      <c r="F23" s="1100" t="s">
        <v>19</v>
      </c>
      <c r="G23" s="1098"/>
      <c r="H23" s="1103"/>
      <c r="I23" s="1105"/>
      <c r="J23" s="1106"/>
      <c r="K23" s="1095"/>
      <c r="L23" s="1095"/>
      <c r="M23" s="1095"/>
      <c r="N23" s="1096"/>
      <c r="O23" s="1095"/>
      <c r="P23" s="1095"/>
      <c r="Q23" s="1095"/>
      <c r="R23" s="1097"/>
      <c r="S23" s="1095"/>
      <c r="T23" s="68"/>
      <c r="U23" s="68"/>
      <c r="V23" s="69"/>
      <c r="W23" s="70"/>
      <c r="AC23" s="606" t="s">
        <v>173</v>
      </c>
      <c r="AD23" s="606" t="s">
        <v>174</v>
      </c>
      <c r="AE23" s="606" t="s">
        <v>175</v>
      </c>
      <c r="AF23" s="606" t="s">
        <v>176</v>
      </c>
      <c r="AG23" s="606" t="s">
        <v>177</v>
      </c>
      <c r="AH23" s="606" t="str">
        <f>IF($E$23=0,"",$E$23)</f>
        <v>Тарифы на тепловую энергию (мощность), поставляемую теплоснабжающими организациями потребителям, другим теплоснабжающим организациям</v>
      </c>
      <c r="AI23" s="606" t="str">
        <f>IF($G$23=0,"",$G$23)</f>
        <v/>
      </c>
      <c r="AJ23" s="606" t="str">
        <f>IF($J$23=0,"",$J$23)</f>
        <v/>
      </c>
      <c r="AK23" s="606" t="str">
        <f>IF($K$23="нет","без дифференциации",IF($N$23=0,"",$N$23))</f>
        <v/>
      </c>
      <c r="AL23" s="606" t="str">
        <f>IF($O$23="нет","без дифференциации",IF($R$23=0,"",$R$23))</f>
        <v/>
      </c>
      <c r="AM23" s="606" t="str">
        <f>IF($S$23="нет","без дифференциации",IF($V$23=0,"",$V$23))</f>
        <v/>
      </c>
      <c r="AN23" s="72">
        <f>$I$23</f>
        <v>0</v>
      </c>
      <c r="AO23" s="606" t="str">
        <f>$I$23&amp;"."&amp;$M$23</f>
        <v>.</v>
      </c>
      <c r="AP23" s="600" t="str">
        <f>$I$23&amp;"."&amp;$M$23&amp;"."&amp;$Q$23</f>
        <v>..</v>
      </c>
      <c r="AQ23" s="600" t="str">
        <f>$I$23&amp;"."&amp;$M$23&amp;"."&amp;$Q$23&amp;"."&amp;$U$23</f>
        <v>...</v>
      </c>
      <c r="AR23" s="592">
        <v>0</v>
      </c>
    </row>
    <row r="24" spans="4:44" ht="17.25" hidden="1" customHeight="1">
      <c r="D24" s="1094"/>
      <c r="E24" s="1098"/>
      <c r="F24" s="1101"/>
      <c r="G24" s="1098"/>
      <c r="H24" s="1104"/>
      <c r="I24" s="1031"/>
      <c r="J24" s="1031"/>
      <c r="K24" s="1031"/>
      <c r="L24" s="1031"/>
      <c r="M24" s="1031"/>
      <c r="N24" s="1031"/>
      <c r="O24" s="1031"/>
      <c r="P24" s="1031"/>
      <c r="Q24" s="1031"/>
      <c r="R24" s="1031"/>
      <c r="S24" s="1031"/>
      <c r="W24" s="608"/>
      <c r="AR24" s="592">
        <v>0</v>
      </c>
    </row>
    <row r="25" spans="4:44" ht="17.25" hidden="1" customHeight="1">
      <c r="D25" s="1071"/>
      <c r="E25" s="1099"/>
      <c r="F25" s="1101"/>
      <c r="G25" s="1099"/>
      <c r="H25" s="1104"/>
      <c r="I25" s="1031"/>
      <c r="J25" s="1031"/>
      <c r="K25" s="1031"/>
      <c r="L25" s="1031"/>
      <c r="M25" s="1031"/>
      <c r="N25" s="1031"/>
      <c r="O25" s="1031"/>
      <c r="W25" s="608"/>
      <c r="AR25" s="592">
        <v>0</v>
      </c>
    </row>
    <row r="26" spans="4:44" ht="17.25" hidden="1" customHeight="1">
      <c r="D26" s="1071"/>
      <c r="E26" s="1099"/>
      <c r="F26" s="1101"/>
      <c r="G26" s="1099"/>
      <c r="H26" s="1104"/>
      <c r="I26" s="1031"/>
      <c r="J26" s="1031"/>
      <c r="K26" s="1031"/>
      <c r="W26" s="608"/>
      <c r="AR26" s="592">
        <v>0</v>
      </c>
    </row>
    <row r="27" spans="4:44" ht="17.25" hidden="1" customHeight="1">
      <c r="D27" s="1071"/>
      <c r="E27" s="1099"/>
      <c r="F27" s="1102"/>
      <c r="G27" s="1099"/>
      <c r="H27" s="609"/>
      <c r="I27" s="610"/>
      <c r="J27" s="610"/>
      <c r="K27" s="610"/>
      <c r="L27" s="610"/>
      <c r="M27" s="610"/>
      <c r="N27" s="610"/>
      <c r="O27" s="610"/>
      <c r="P27" s="610"/>
      <c r="Q27" s="610"/>
      <c r="R27" s="610"/>
      <c r="S27" s="611"/>
      <c r="T27" s="611"/>
      <c r="U27" s="611"/>
      <c r="V27" s="611"/>
      <c r="W27" s="612"/>
      <c r="AR27" s="592">
        <v>0</v>
      </c>
    </row>
    <row r="28" spans="4:44" ht="17.25" hidden="1" customHeight="1">
      <c r="D28" s="1094">
        <v>3</v>
      </c>
      <c r="E28" s="1098" t="s">
        <v>179</v>
      </c>
      <c r="F28" s="1100" t="s">
        <v>19</v>
      </c>
      <c r="G28" s="1098"/>
      <c r="H28" s="1103"/>
      <c r="I28" s="1105"/>
      <c r="J28" s="1106"/>
      <c r="K28" s="1095"/>
      <c r="L28" s="1095"/>
      <c r="M28" s="1095"/>
      <c r="N28" s="1096"/>
      <c r="O28" s="1095"/>
      <c r="P28" s="1095"/>
      <c r="Q28" s="1095"/>
      <c r="R28" s="1097"/>
      <c r="S28" s="1095"/>
      <c r="T28" s="68"/>
      <c r="U28" s="68"/>
      <c r="V28" s="69"/>
      <c r="W28" s="70"/>
      <c r="AC28" s="606" t="s">
        <v>180</v>
      </c>
      <c r="AD28" s="606" t="s">
        <v>181</v>
      </c>
      <c r="AE28" s="606" t="s">
        <v>182</v>
      </c>
      <c r="AF28" s="606" t="s">
        <v>183</v>
      </c>
      <c r="AG28" s="606" t="s">
        <v>184</v>
      </c>
      <c r="AH28" s="606" t="str">
        <f>IF($E$28=0,"",$E$28)</f>
        <v>Тарифы на теплоноситель, поставляемый теплоснабжающими организациями потребителям, другим теплоснабжающим организациям</v>
      </c>
      <c r="AI28" s="606" t="str">
        <f>IF($G$28=0,"",$G$28)</f>
        <v/>
      </c>
      <c r="AJ28" s="606" t="str">
        <f>IF($J$28=0,"",$J$28)</f>
        <v/>
      </c>
      <c r="AK28" s="606" t="str">
        <f>IF($K$28="нет","без дифференциации",IF($N$28=0,"",$N$28))</f>
        <v/>
      </c>
      <c r="AL28" s="606" t="str">
        <f>IF($O$28="нет","без дифференциации",IF($R$28=0,"",$R$28))</f>
        <v/>
      </c>
      <c r="AM28" s="606" t="str">
        <f>IF($S$28="нет","без дифференциации",IF($V$28=0,"",$V$28))</f>
        <v/>
      </c>
      <c r="AN28" s="72">
        <f>$I$28</f>
        <v>0</v>
      </c>
      <c r="AO28" s="606" t="str">
        <f>$I$28&amp;"."&amp;$M$28</f>
        <v>.</v>
      </c>
      <c r="AP28" s="600" t="str">
        <f>$I$28&amp;"."&amp;$M$28&amp;"."&amp;$Q$28</f>
        <v>..</v>
      </c>
      <c r="AQ28" s="600" t="str">
        <f>$I$28&amp;"."&amp;$M$28&amp;"."&amp;$Q$28&amp;"."&amp;$U$28</f>
        <v>...</v>
      </c>
      <c r="AR28" s="592">
        <v>0</v>
      </c>
    </row>
    <row r="29" spans="4:44" ht="17.25" hidden="1" customHeight="1">
      <c r="D29" s="1094"/>
      <c r="E29" s="1098"/>
      <c r="F29" s="1101"/>
      <c r="G29" s="1098"/>
      <c r="H29" s="1104"/>
      <c r="I29" s="1031"/>
      <c r="J29" s="1031"/>
      <c r="K29" s="1031"/>
      <c r="L29" s="1031"/>
      <c r="M29" s="1031"/>
      <c r="N29" s="1031"/>
      <c r="O29" s="1031"/>
      <c r="P29" s="1031"/>
      <c r="Q29" s="1031"/>
      <c r="R29" s="1031"/>
      <c r="S29" s="1031"/>
      <c r="W29" s="608"/>
      <c r="AR29" s="592">
        <v>0</v>
      </c>
    </row>
    <row r="30" spans="4:44" ht="17.25" hidden="1" customHeight="1">
      <c r="D30" s="1071"/>
      <c r="E30" s="1099"/>
      <c r="F30" s="1101"/>
      <c r="G30" s="1099"/>
      <c r="H30" s="1104"/>
      <c r="I30" s="1031"/>
      <c r="J30" s="1031"/>
      <c r="K30" s="1031"/>
      <c r="L30" s="1031"/>
      <c r="M30" s="1031"/>
      <c r="N30" s="1031"/>
      <c r="O30" s="1031"/>
      <c r="W30" s="608"/>
      <c r="AR30" s="592">
        <v>0</v>
      </c>
    </row>
    <row r="31" spans="4:44" ht="17.25" hidden="1" customHeight="1">
      <c r="D31" s="1071"/>
      <c r="E31" s="1099"/>
      <c r="F31" s="1101"/>
      <c r="G31" s="1099"/>
      <c r="H31" s="1104"/>
      <c r="I31" s="1031"/>
      <c r="J31" s="1031"/>
      <c r="K31" s="1031"/>
      <c r="W31" s="608"/>
      <c r="AR31" s="592">
        <v>0</v>
      </c>
    </row>
    <row r="32" spans="4:44" ht="17.25" hidden="1" customHeight="1">
      <c r="D32" s="1071"/>
      <c r="E32" s="1099"/>
      <c r="F32" s="1102"/>
      <c r="G32" s="1099"/>
      <c r="H32" s="609"/>
      <c r="I32" s="610"/>
      <c r="J32" s="610"/>
      <c r="K32" s="610"/>
      <c r="L32" s="610"/>
      <c r="M32" s="610"/>
      <c r="N32" s="610"/>
      <c r="O32" s="610"/>
      <c r="P32" s="610"/>
      <c r="Q32" s="610"/>
      <c r="R32" s="610"/>
      <c r="S32" s="611"/>
      <c r="T32" s="611"/>
      <c r="U32" s="611"/>
      <c r="V32" s="611"/>
      <c r="W32" s="612"/>
      <c r="AR32" s="592">
        <v>0</v>
      </c>
    </row>
    <row r="33" spans="4:44" ht="17.25" hidden="1" customHeight="1">
      <c r="D33" s="1094">
        <v>4</v>
      </c>
      <c r="E33" s="1098" t="s">
        <v>185</v>
      </c>
      <c r="F33" s="1100" t="s">
        <v>19</v>
      </c>
      <c r="G33" s="1098"/>
      <c r="H33" s="1103"/>
      <c r="I33" s="1105"/>
      <c r="J33" s="1106"/>
      <c r="K33" s="1095"/>
      <c r="L33" s="1095"/>
      <c r="M33" s="1095"/>
      <c r="N33" s="1096"/>
      <c r="O33" s="1095"/>
      <c r="P33" s="1095"/>
      <c r="Q33" s="1095"/>
      <c r="R33" s="1097"/>
      <c r="S33" s="1095"/>
      <c r="T33" s="68"/>
      <c r="U33" s="68"/>
      <c r="V33" s="69"/>
      <c r="W33" s="70"/>
      <c r="AC33" s="606" t="s">
        <v>186</v>
      </c>
      <c r="AD33" s="606" t="s">
        <v>187</v>
      </c>
      <c r="AE33" s="606" t="s">
        <v>188</v>
      </c>
      <c r="AF33" s="606" t="s">
        <v>189</v>
      </c>
      <c r="AG33" s="606" t="s">
        <v>190</v>
      </c>
      <c r="AH33" s="60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606" t="str">
        <f>IF($G$33=0,"",$G$33)</f>
        <v/>
      </c>
      <c r="AJ33" s="606" t="str">
        <f>IF($J$33=0,"",$J$33)</f>
        <v/>
      </c>
      <c r="AK33" s="606" t="str">
        <f>IF($K$33="нет","без дифференциации",IF($N$33=0,"",$N$33))</f>
        <v/>
      </c>
      <c r="AL33" s="606" t="str">
        <f>IF($O$33="нет","без дифференциации",IF($R$33=0,"",$R$33))</f>
        <v/>
      </c>
      <c r="AM33" s="606" t="str">
        <f>IF($S$33="нет","без дифференциации",IF($V$33=0,"",$V$33))</f>
        <v/>
      </c>
      <c r="AN33" s="72">
        <f>$I$33</f>
        <v>0</v>
      </c>
      <c r="AO33" s="606" t="str">
        <f>$I$33&amp;"."&amp;$M$33</f>
        <v>.</v>
      </c>
      <c r="AP33" s="600" t="str">
        <f>$I$33&amp;"."&amp;$M$33&amp;"."&amp;$Q$33</f>
        <v>..</v>
      </c>
      <c r="AQ33" s="600" t="str">
        <f>$I$33&amp;"."&amp;$M$33&amp;"."&amp;$Q$33&amp;"."&amp;$U$33</f>
        <v>...</v>
      </c>
      <c r="AR33" s="592">
        <v>0</v>
      </c>
    </row>
    <row r="34" spans="4:44" ht="17.25" hidden="1" customHeight="1">
      <c r="D34" s="1094"/>
      <c r="E34" s="1098"/>
      <c r="F34" s="1101"/>
      <c r="G34" s="1098"/>
      <c r="H34" s="1104"/>
      <c r="I34" s="1031"/>
      <c r="J34" s="1031"/>
      <c r="K34" s="1031"/>
      <c r="L34" s="1031"/>
      <c r="M34" s="1031"/>
      <c r="N34" s="1031"/>
      <c r="O34" s="1031"/>
      <c r="P34" s="1031"/>
      <c r="Q34" s="1031"/>
      <c r="R34" s="1031"/>
      <c r="S34" s="1031"/>
      <c r="W34" s="608"/>
      <c r="AR34" s="592">
        <v>0</v>
      </c>
    </row>
    <row r="35" spans="4:44" ht="17.25" hidden="1" customHeight="1">
      <c r="D35" s="1071"/>
      <c r="E35" s="1099"/>
      <c r="F35" s="1101"/>
      <c r="G35" s="1099"/>
      <c r="H35" s="1104"/>
      <c r="I35" s="1031"/>
      <c r="J35" s="1031"/>
      <c r="K35" s="1031"/>
      <c r="L35" s="1031"/>
      <c r="M35" s="1031"/>
      <c r="N35" s="1031"/>
      <c r="O35" s="1031"/>
      <c r="W35" s="608"/>
      <c r="AR35" s="592">
        <v>0</v>
      </c>
    </row>
    <row r="36" spans="4:44" ht="17.25" hidden="1" customHeight="1">
      <c r="D36" s="1071"/>
      <c r="E36" s="1099"/>
      <c r="F36" s="1101"/>
      <c r="G36" s="1099"/>
      <c r="H36" s="1104"/>
      <c r="I36" s="1031"/>
      <c r="J36" s="1031"/>
      <c r="K36" s="1031"/>
      <c r="W36" s="608"/>
      <c r="AR36" s="592">
        <v>0</v>
      </c>
    </row>
    <row r="37" spans="4:44" ht="17.25" hidden="1" customHeight="1">
      <c r="D37" s="1071"/>
      <c r="E37" s="1099"/>
      <c r="F37" s="1102"/>
      <c r="G37" s="1099"/>
      <c r="H37" s="609"/>
      <c r="I37" s="610"/>
      <c r="J37" s="610"/>
      <c r="K37" s="610"/>
      <c r="L37" s="610"/>
      <c r="M37" s="610"/>
      <c r="N37" s="610"/>
      <c r="O37" s="610"/>
      <c r="P37" s="610"/>
      <c r="Q37" s="610"/>
      <c r="R37" s="610"/>
      <c r="S37" s="611"/>
      <c r="T37" s="611"/>
      <c r="U37" s="611"/>
      <c r="V37" s="611"/>
      <c r="W37" s="612"/>
      <c r="AR37" s="592">
        <v>0</v>
      </c>
    </row>
    <row r="38" spans="4:44" ht="17.25" hidden="1" customHeight="1">
      <c r="D38" s="1094">
        <v>5</v>
      </c>
      <c r="E38" s="1098" t="s">
        <v>191</v>
      </c>
      <c r="F38" s="1100" t="s">
        <v>19</v>
      </c>
      <c r="G38" s="1098"/>
      <c r="H38" s="1103"/>
      <c r="I38" s="1105"/>
      <c r="J38" s="1106"/>
      <c r="K38" s="1095"/>
      <c r="L38" s="1095"/>
      <c r="M38" s="1095"/>
      <c r="N38" s="1096"/>
      <c r="O38" s="1095"/>
      <c r="P38" s="1095"/>
      <c r="Q38" s="1095"/>
      <c r="R38" s="1097"/>
      <c r="S38" s="1095"/>
      <c r="T38" s="68"/>
      <c r="U38" s="68"/>
      <c r="V38" s="69"/>
      <c r="W38" s="70"/>
      <c r="AC38" s="606" t="s">
        <v>192</v>
      </c>
      <c r="AD38" s="606" t="s">
        <v>193</v>
      </c>
      <c r="AE38" s="606" t="s">
        <v>194</v>
      </c>
      <c r="AF38" s="606" t="s">
        <v>195</v>
      </c>
      <c r="AG38" s="606" t="s">
        <v>196</v>
      </c>
      <c r="AH38" s="606" t="str">
        <f>IF($E$38=0,"",$E$38)</f>
        <v>Тарифы на услуги по передаче тепловой энергии</v>
      </c>
      <c r="AI38" s="606" t="str">
        <f>IF($G$38=0,"",$G$38)</f>
        <v/>
      </c>
      <c r="AJ38" s="606" t="str">
        <f>IF($J$38=0,"",$J$38)</f>
        <v/>
      </c>
      <c r="AK38" s="606" t="str">
        <f>IF($K$38="нет","без дифференциации",IF($N$38=0,"",$N$38))</f>
        <v/>
      </c>
      <c r="AL38" s="606" t="str">
        <f>IF($O$38="нет","без дифференциации",IF($R$38=0,"",$R$38))</f>
        <v/>
      </c>
      <c r="AM38" s="606" t="str">
        <f>IF($S$38="нет","без дифференциации",IF($V$38=0,"",$V$38))</f>
        <v/>
      </c>
      <c r="AN38" s="72">
        <f>$I$38</f>
        <v>0</v>
      </c>
      <c r="AO38" s="606" t="str">
        <f>$I$38&amp;"."&amp;$M$38</f>
        <v>.</v>
      </c>
      <c r="AP38" s="600" t="str">
        <f>$I$38&amp;"."&amp;$M$38&amp;"."&amp;$Q$38</f>
        <v>..</v>
      </c>
      <c r="AQ38" s="600" t="str">
        <f>$I$38&amp;"."&amp;$M$38&amp;"."&amp;$Q$38&amp;"."&amp;$U$38</f>
        <v>...</v>
      </c>
      <c r="AR38" s="592">
        <v>0</v>
      </c>
    </row>
    <row r="39" spans="4:44" ht="17.25" hidden="1" customHeight="1">
      <c r="D39" s="1094"/>
      <c r="E39" s="1098"/>
      <c r="F39" s="1101"/>
      <c r="G39" s="1098"/>
      <c r="H39" s="1104"/>
      <c r="I39" s="1031"/>
      <c r="J39" s="1031"/>
      <c r="K39" s="1031"/>
      <c r="L39" s="1031"/>
      <c r="M39" s="1031"/>
      <c r="N39" s="1031"/>
      <c r="O39" s="1031"/>
      <c r="P39" s="1031"/>
      <c r="Q39" s="1031"/>
      <c r="R39" s="1031"/>
      <c r="S39" s="1031"/>
      <c r="W39" s="608"/>
      <c r="AR39" s="592">
        <v>0</v>
      </c>
    </row>
    <row r="40" spans="4:44" ht="17.25" hidden="1" customHeight="1">
      <c r="D40" s="1071"/>
      <c r="E40" s="1099"/>
      <c r="F40" s="1101"/>
      <c r="G40" s="1099"/>
      <c r="H40" s="1104"/>
      <c r="I40" s="1031"/>
      <c r="J40" s="1031"/>
      <c r="K40" s="1031"/>
      <c r="L40" s="1031"/>
      <c r="M40" s="1031"/>
      <c r="N40" s="1031"/>
      <c r="O40" s="1031"/>
      <c r="W40" s="608"/>
      <c r="AR40" s="592">
        <v>0</v>
      </c>
    </row>
    <row r="41" spans="4:44" ht="17.25" hidden="1" customHeight="1">
      <c r="D41" s="1071"/>
      <c r="E41" s="1099"/>
      <c r="F41" s="1101"/>
      <c r="G41" s="1099"/>
      <c r="H41" s="1104"/>
      <c r="I41" s="1031"/>
      <c r="J41" s="1031"/>
      <c r="K41" s="1031"/>
      <c r="W41" s="608"/>
      <c r="AR41" s="592">
        <v>0</v>
      </c>
    </row>
    <row r="42" spans="4:44" ht="17.25" hidden="1" customHeight="1">
      <c r="D42" s="1071"/>
      <c r="E42" s="1099"/>
      <c r="F42" s="1102"/>
      <c r="G42" s="1099"/>
      <c r="H42" s="609"/>
      <c r="I42" s="610"/>
      <c r="J42" s="610"/>
      <c r="K42" s="610"/>
      <c r="L42" s="610"/>
      <c r="M42" s="610"/>
      <c r="N42" s="610"/>
      <c r="O42" s="610"/>
      <c r="P42" s="610"/>
      <c r="Q42" s="610"/>
      <c r="R42" s="610"/>
      <c r="S42" s="611"/>
      <c r="T42" s="611"/>
      <c r="U42" s="611"/>
      <c r="V42" s="611"/>
      <c r="W42" s="612"/>
      <c r="AR42" s="592">
        <v>0</v>
      </c>
    </row>
    <row r="43" spans="4:44" ht="17.25" hidden="1" customHeight="1">
      <c r="D43" s="1094">
        <v>6</v>
      </c>
      <c r="E43" s="1098" t="s">
        <v>197</v>
      </c>
      <c r="F43" s="1100" t="s">
        <v>19</v>
      </c>
      <c r="G43" s="1098"/>
      <c r="H43" s="1103"/>
      <c r="I43" s="1105"/>
      <c r="J43" s="1106"/>
      <c r="K43" s="1095"/>
      <c r="L43" s="1095"/>
      <c r="M43" s="1095"/>
      <c r="N43" s="1096"/>
      <c r="O43" s="1095"/>
      <c r="P43" s="1095"/>
      <c r="Q43" s="1095"/>
      <c r="R43" s="1097"/>
      <c r="S43" s="1095"/>
      <c r="T43" s="68"/>
      <c r="U43" s="68"/>
      <c r="V43" s="69"/>
      <c r="W43" s="70"/>
      <c r="AC43" s="606" t="s">
        <v>198</v>
      </c>
      <c r="AD43" s="606" t="s">
        <v>199</v>
      </c>
      <c r="AE43" s="606" t="s">
        <v>200</v>
      </c>
      <c r="AF43" s="606" t="s">
        <v>201</v>
      </c>
      <c r="AG43" s="606" t="s">
        <v>202</v>
      </c>
      <c r="AH43" s="606" t="str">
        <f>IF($E$43=0,"",$E$43)</f>
        <v>Тарифы на услуги по передаче теплоносителя</v>
      </c>
      <c r="AI43" s="606" t="str">
        <f>IF($G$43=0,"",$G$43)</f>
        <v/>
      </c>
      <c r="AJ43" s="606" t="str">
        <f>IF($J$43=0,"",$J$43)</f>
        <v/>
      </c>
      <c r="AK43" s="606" t="str">
        <f>IF($K$43="нет","без дифференциации",IF($N$43=0,"",$N$43))</f>
        <v/>
      </c>
      <c r="AL43" s="606" t="str">
        <f>IF($O$43="нет","без дифференциации",IF($R$43=0,"",$R$43))</f>
        <v/>
      </c>
      <c r="AM43" s="606" t="str">
        <f>IF($S$43="нет","без дифференциации",IF($V$43=0,"",$V$43))</f>
        <v/>
      </c>
      <c r="AN43" s="72">
        <f>$I$43</f>
        <v>0</v>
      </c>
      <c r="AO43" s="606" t="str">
        <f>$I$43&amp;"."&amp;$M$43</f>
        <v>.</v>
      </c>
      <c r="AP43" s="600" t="str">
        <f>$I$43&amp;"."&amp;$M$43&amp;"."&amp;$Q$43</f>
        <v>..</v>
      </c>
      <c r="AQ43" s="600" t="str">
        <f>$I$43&amp;"."&amp;$M$43&amp;"."&amp;$Q$43&amp;"."&amp;$U$43</f>
        <v>...</v>
      </c>
      <c r="AR43" s="592">
        <v>0</v>
      </c>
    </row>
    <row r="44" spans="4:44" ht="17.25" hidden="1" customHeight="1">
      <c r="D44" s="1094"/>
      <c r="E44" s="1098"/>
      <c r="F44" s="1101"/>
      <c r="G44" s="1098"/>
      <c r="H44" s="1104"/>
      <c r="I44" s="1031"/>
      <c r="J44" s="1031"/>
      <c r="K44" s="1031"/>
      <c r="L44" s="1031"/>
      <c r="M44" s="1031"/>
      <c r="N44" s="1031"/>
      <c r="O44" s="1031"/>
      <c r="P44" s="1031"/>
      <c r="Q44" s="1031"/>
      <c r="R44" s="1031"/>
      <c r="S44" s="1031"/>
      <c r="W44" s="608"/>
      <c r="AR44" s="592">
        <v>0</v>
      </c>
    </row>
    <row r="45" spans="4:44" ht="17.25" hidden="1" customHeight="1">
      <c r="D45" s="1071"/>
      <c r="E45" s="1099"/>
      <c r="F45" s="1101"/>
      <c r="G45" s="1099"/>
      <c r="H45" s="1104"/>
      <c r="I45" s="1031"/>
      <c r="J45" s="1031"/>
      <c r="K45" s="1031"/>
      <c r="L45" s="1031"/>
      <c r="M45" s="1031"/>
      <c r="N45" s="1031"/>
      <c r="O45" s="1031"/>
      <c r="W45" s="608"/>
      <c r="AR45" s="592">
        <v>0</v>
      </c>
    </row>
    <row r="46" spans="4:44" ht="17.25" hidden="1" customHeight="1">
      <c r="D46" s="1071"/>
      <c r="E46" s="1099"/>
      <c r="F46" s="1101"/>
      <c r="G46" s="1099"/>
      <c r="H46" s="1104"/>
      <c r="I46" s="1031"/>
      <c r="J46" s="1031"/>
      <c r="K46" s="1031"/>
      <c r="W46" s="608"/>
      <c r="AR46" s="592">
        <v>0</v>
      </c>
    </row>
    <row r="47" spans="4:44" ht="17.25" hidden="1" customHeight="1">
      <c r="D47" s="1071"/>
      <c r="E47" s="1099"/>
      <c r="F47" s="1102"/>
      <c r="G47" s="1099"/>
      <c r="H47" s="609"/>
      <c r="I47" s="610"/>
      <c r="J47" s="610"/>
      <c r="K47" s="610"/>
      <c r="L47" s="610"/>
      <c r="M47" s="610"/>
      <c r="N47" s="610"/>
      <c r="O47" s="610"/>
      <c r="P47" s="610"/>
      <c r="Q47" s="610"/>
      <c r="R47" s="610"/>
      <c r="S47" s="611"/>
      <c r="T47" s="611"/>
      <c r="U47" s="611"/>
      <c r="V47" s="611"/>
      <c r="W47" s="612"/>
      <c r="AR47" s="592">
        <v>0</v>
      </c>
    </row>
    <row r="48" spans="4:44" ht="17.25" hidden="1" customHeight="1">
      <c r="D48" s="1118">
        <v>7</v>
      </c>
      <c r="E48" s="1121" t="s">
        <v>203</v>
      </c>
      <c r="F48" s="1100" t="s">
        <v>19</v>
      </c>
      <c r="G48" s="1121"/>
      <c r="H48" s="1103"/>
      <c r="I48" s="1105"/>
      <c r="J48" s="1106"/>
      <c r="K48" s="1095"/>
      <c r="L48" s="1095"/>
      <c r="M48" s="1095"/>
      <c r="N48" s="1096"/>
      <c r="O48" s="1095"/>
      <c r="P48" s="1095"/>
      <c r="Q48" s="1095"/>
      <c r="R48" s="1097"/>
      <c r="S48" s="1095"/>
      <c r="T48" s="68"/>
      <c r="U48" s="68"/>
      <c r="V48" s="69"/>
      <c r="W48" s="70"/>
      <c r="AC48" s="606" t="s">
        <v>204</v>
      </c>
      <c r="AD48" s="606" t="s">
        <v>205</v>
      </c>
      <c r="AE48" s="606" t="s">
        <v>206</v>
      </c>
      <c r="AF48" s="606" t="s">
        <v>207</v>
      </c>
      <c r="AG48" s="606" t="s">
        <v>208</v>
      </c>
      <c r="AH48" s="606" t="str">
        <f>IF($E$48=0,"",$E$48)</f>
        <v>Плата за услуги по поддержанию резервной тепловой мощности при отсутствии потребления тепловой энергии</v>
      </c>
      <c r="AI48" s="606" t="str">
        <f>IF($G$48=0,"",$G$48)</f>
        <v/>
      </c>
      <c r="AJ48" s="606" t="str">
        <f>IF($J$48=0,"",$J$48)</f>
        <v/>
      </c>
      <c r="AK48" s="606" t="str">
        <f>IF($K$48="нет","без дифференциации",IF($N$48=0,"",$N$48))</f>
        <v/>
      </c>
      <c r="AL48" s="606" t="str">
        <f>IF($O$48="нет","без дифференциации",IF($R$48=0,"",$R$48))</f>
        <v/>
      </c>
      <c r="AM48" s="606" t="str">
        <f>IF($S$48="нет","без дифференциации",IF($V$48=0,"",$V$48))</f>
        <v/>
      </c>
      <c r="AN48" s="72">
        <f>$I$48</f>
        <v>0</v>
      </c>
      <c r="AO48" s="606" t="str">
        <f>$I$48&amp;"."&amp;$M$48</f>
        <v>.</v>
      </c>
      <c r="AP48" s="600" t="str">
        <f>$I$48&amp;"."&amp;$M$48&amp;"."&amp;$Q$48</f>
        <v>..</v>
      </c>
      <c r="AQ48" s="600" t="str">
        <f>$I$48&amp;"."&amp;$M$48&amp;"."&amp;$Q$48&amp;"."&amp;$U$48</f>
        <v>...</v>
      </c>
      <c r="AR48" s="592">
        <v>0</v>
      </c>
    </row>
    <row r="49" spans="4:44" ht="17.25" hidden="1" customHeight="1">
      <c r="D49" s="1119"/>
      <c r="E49" s="1122"/>
      <c r="F49" s="1101"/>
      <c r="G49" s="1122"/>
      <c r="H49" s="1104"/>
      <c r="I49" s="1031"/>
      <c r="J49" s="1031"/>
      <c r="K49" s="1031"/>
      <c r="L49" s="1031"/>
      <c r="M49" s="1031"/>
      <c r="N49" s="1031"/>
      <c r="O49" s="1031"/>
      <c r="P49" s="1031"/>
      <c r="Q49" s="1031"/>
      <c r="R49" s="1031"/>
      <c r="S49" s="1031"/>
      <c r="W49" s="608"/>
      <c r="AR49" s="592">
        <v>0</v>
      </c>
    </row>
    <row r="50" spans="4:44" ht="17.25" hidden="1" customHeight="1">
      <c r="D50" s="1119"/>
      <c r="E50" s="1122"/>
      <c r="F50" s="1101"/>
      <c r="G50" s="1122"/>
      <c r="H50" s="1104"/>
      <c r="I50" s="1031"/>
      <c r="J50" s="1031"/>
      <c r="K50" s="1031"/>
      <c r="L50" s="1031"/>
      <c r="M50" s="1031"/>
      <c r="N50" s="1031"/>
      <c r="O50" s="1031"/>
      <c r="W50" s="608"/>
      <c r="AR50" s="592">
        <v>0</v>
      </c>
    </row>
    <row r="51" spans="4:44" ht="17.25" hidden="1" customHeight="1">
      <c r="D51" s="1119"/>
      <c r="E51" s="1122"/>
      <c r="F51" s="1101"/>
      <c r="G51" s="1122"/>
      <c r="H51" s="1104"/>
      <c r="I51" s="1031"/>
      <c r="J51" s="1031"/>
      <c r="K51" s="1031"/>
      <c r="W51" s="608"/>
      <c r="AR51" s="592">
        <v>0</v>
      </c>
    </row>
    <row r="52" spans="4:44" ht="17.25" hidden="1" customHeight="1">
      <c r="D52" s="1120"/>
      <c r="E52" s="1123"/>
      <c r="F52" s="1102"/>
      <c r="G52" s="1123"/>
      <c r="H52" s="609"/>
      <c r="I52" s="610"/>
      <c r="J52" s="610"/>
      <c r="K52" s="610"/>
      <c r="L52" s="610"/>
      <c r="M52" s="610"/>
      <c r="N52" s="610"/>
      <c r="O52" s="610"/>
      <c r="P52" s="610"/>
      <c r="Q52" s="610"/>
      <c r="R52" s="610"/>
      <c r="S52" s="611"/>
      <c r="T52" s="611"/>
      <c r="U52" s="611"/>
      <c r="V52" s="611"/>
      <c r="W52" s="612"/>
      <c r="AR52" s="592">
        <v>0</v>
      </c>
    </row>
    <row r="53" spans="4:44" ht="17.25" hidden="1" customHeight="1">
      <c r="D53" s="1094">
        <v>8</v>
      </c>
      <c r="E53" s="1098" t="s">
        <v>209</v>
      </c>
      <c r="F53" s="1100" t="s">
        <v>19</v>
      </c>
      <c r="G53" s="1098"/>
      <c r="H53" s="1103"/>
      <c r="I53" s="1105"/>
      <c r="J53" s="1106"/>
      <c r="K53" s="1095"/>
      <c r="L53" s="1095"/>
      <c r="M53" s="1095"/>
      <c r="N53" s="1096"/>
      <c r="O53" s="1095"/>
      <c r="P53" s="1095"/>
      <c r="Q53" s="1095"/>
      <c r="R53" s="1097"/>
      <c r="S53" s="1095"/>
      <c r="T53" s="68"/>
      <c r="U53" s="68"/>
      <c r="V53" s="69"/>
      <c r="W53" s="70"/>
      <c r="AC53" s="606" t="s">
        <v>210</v>
      </c>
      <c r="AD53" s="606" t="s">
        <v>211</v>
      </c>
      <c r="AE53" s="606" t="s">
        <v>212</v>
      </c>
      <c r="AF53" s="606" t="s">
        <v>213</v>
      </c>
      <c r="AG53" s="606" t="s">
        <v>214</v>
      </c>
      <c r="AH53" s="606" t="str">
        <f>IF($E$53=0,"",$E$53)</f>
        <v>Плата за подключение (технологическое присоединение) к системе теплоснабжения</v>
      </c>
      <c r="AI53" s="606" t="str">
        <f>IF($G$53=0,"",$G$53)</f>
        <v/>
      </c>
      <c r="AJ53" s="606" t="str">
        <f>IF($J$53=0,"",$J$53)</f>
        <v/>
      </c>
      <c r="AK53" s="606" t="str">
        <f>IF($K$53="нет","без дифференциации",IF($N$53=0,"",$N$53))</f>
        <v/>
      </c>
      <c r="AL53" s="606" t="str">
        <f>IF($O$53="нет","без дифференциации",IF($R$53=0,"",$R$53))</f>
        <v/>
      </c>
      <c r="AM53" s="606" t="str">
        <f>IF($S$53="нет","без дифференциации",IF($V$53=0,"",$V$53))</f>
        <v/>
      </c>
      <c r="AN53" s="72">
        <f>$I$53</f>
        <v>0</v>
      </c>
      <c r="AO53" s="606" t="str">
        <f>$I$53&amp;"."&amp;$M$53</f>
        <v>.</v>
      </c>
      <c r="AP53" s="600" t="str">
        <f>$I$53&amp;"."&amp;$M$53&amp;"."&amp;$Q$53</f>
        <v>..</v>
      </c>
      <c r="AQ53" s="600" t="str">
        <f>$I$53&amp;"."&amp;$M$53&amp;"."&amp;$Q$53&amp;"."&amp;$U$53</f>
        <v>...</v>
      </c>
      <c r="AR53" s="592">
        <v>0</v>
      </c>
    </row>
    <row r="54" spans="4:44" ht="17.25" hidden="1" customHeight="1">
      <c r="D54" s="1094"/>
      <c r="E54" s="1098"/>
      <c r="F54" s="1101"/>
      <c r="G54" s="1098"/>
      <c r="H54" s="1104"/>
      <c r="I54" s="1031"/>
      <c r="J54" s="1031"/>
      <c r="K54" s="1031"/>
      <c r="L54" s="1031"/>
      <c r="M54" s="1031"/>
      <c r="N54" s="1031"/>
      <c r="O54" s="1031"/>
      <c r="P54" s="1031"/>
      <c r="Q54" s="1031"/>
      <c r="R54" s="1031"/>
      <c r="S54" s="1031"/>
      <c r="W54" s="608"/>
      <c r="AR54" s="592">
        <v>0</v>
      </c>
    </row>
    <row r="55" spans="4:44" ht="17.25" hidden="1" customHeight="1">
      <c r="D55" s="1071"/>
      <c r="E55" s="1099"/>
      <c r="F55" s="1101"/>
      <c r="G55" s="1099"/>
      <c r="H55" s="1104"/>
      <c r="I55" s="1031"/>
      <c r="J55" s="1031"/>
      <c r="K55" s="1031"/>
      <c r="L55" s="1031"/>
      <c r="M55" s="1031"/>
      <c r="N55" s="1031"/>
      <c r="O55" s="1031"/>
      <c r="W55" s="608"/>
      <c r="AR55" s="592">
        <v>0</v>
      </c>
    </row>
    <row r="56" spans="4:44" ht="17.25" hidden="1" customHeight="1">
      <c r="D56" s="1071"/>
      <c r="E56" s="1099"/>
      <c r="F56" s="1101"/>
      <c r="G56" s="1099"/>
      <c r="H56" s="1104"/>
      <c r="I56" s="1031"/>
      <c r="J56" s="1031"/>
      <c r="K56" s="1031"/>
      <c r="W56" s="608"/>
      <c r="AR56" s="592">
        <v>0</v>
      </c>
    </row>
    <row r="57" spans="4:44" ht="17.25" hidden="1" customHeight="1">
      <c r="D57" s="1071"/>
      <c r="E57" s="1099"/>
      <c r="F57" s="1102"/>
      <c r="G57" s="1099"/>
      <c r="H57" s="609"/>
      <c r="I57" s="610"/>
      <c r="J57" s="610"/>
      <c r="K57" s="610"/>
      <c r="L57" s="610"/>
      <c r="M57" s="610"/>
      <c r="N57" s="610"/>
      <c r="O57" s="610"/>
      <c r="P57" s="610"/>
      <c r="Q57" s="610"/>
      <c r="R57" s="610"/>
      <c r="S57" s="611"/>
      <c r="T57" s="611"/>
      <c r="U57" s="611"/>
      <c r="V57" s="611"/>
      <c r="W57" s="612"/>
      <c r="AR57" s="592">
        <v>0</v>
      </c>
    </row>
    <row r="58" spans="4:44" ht="17.25" hidden="1" customHeight="1">
      <c r="D58" s="1094">
        <v>9</v>
      </c>
      <c r="E58" s="1098" t="s">
        <v>215</v>
      </c>
      <c r="F58" s="1100" t="s">
        <v>19</v>
      </c>
      <c r="G58" s="1098"/>
      <c r="H58" s="1103"/>
      <c r="I58" s="1105"/>
      <c r="J58" s="1106"/>
      <c r="K58" s="1095"/>
      <c r="L58" s="1095"/>
      <c r="M58" s="1095"/>
      <c r="N58" s="1096"/>
      <c r="O58" s="1095"/>
      <c r="P58" s="1095"/>
      <c r="Q58" s="1095"/>
      <c r="R58" s="1097"/>
      <c r="S58" s="1095"/>
      <c r="T58" s="68"/>
      <c r="U58" s="68"/>
      <c r="V58" s="69"/>
      <c r="W58" s="70"/>
      <c r="AC58" s="606" t="s">
        <v>216</v>
      </c>
      <c r="AD58" s="606" t="s">
        <v>217</v>
      </c>
      <c r="AE58" s="606" t="s">
        <v>218</v>
      </c>
      <c r="AF58" s="606" t="s">
        <v>219</v>
      </c>
      <c r="AG58" s="606" t="s">
        <v>220</v>
      </c>
      <c r="AH58" s="606" t="str">
        <f>IF($E$58=0,"",$E$58)</f>
        <v>Плата за подключение (технологическое присоединение) к системе теплоснабжения (индивидуальная)</v>
      </c>
      <c r="AI58" s="606" t="str">
        <f>IF($G$58=0,"",$G$58)</f>
        <v/>
      </c>
      <c r="AJ58" s="606" t="str">
        <f>IF($J$58=0,"",$J$58)</f>
        <v/>
      </c>
      <c r="AK58" s="606" t="str">
        <f>IF($K$58="нет","без дифференциации",IF($N$58=0,"",$N$58))</f>
        <v/>
      </c>
      <c r="AL58" s="606" t="str">
        <f>IF($O$58="нет","без дифференциации",IF($R$58=0,"",$R$58))</f>
        <v/>
      </c>
      <c r="AM58" s="606" t="str">
        <f>IF($S$58="нет","без дифференциации",IF($V$58=0,"",$V$58))</f>
        <v/>
      </c>
      <c r="AN58" s="72">
        <f>$I$58</f>
        <v>0</v>
      </c>
      <c r="AO58" s="606" t="str">
        <f>$I$58&amp;"."&amp;$M$58</f>
        <v>.</v>
      </c>
      <c r="AP58" s="600" t="str">
        <f>$I$58&amp;"."&amp;$M$58&amp;"."&amp;$Q$58</f>
        <v>..</v>
      </c>
      <c r="AQ58" s="600" t="str">
        <f>$I$58&amp;"."&amp;$M$58&amp;"."&amp;$Q$58&amp;"."&amp;$U$58</f>
        <v>...</v>
      </c>
      <c r="AR58" s="592">
        <v>0</v>
      </c>
    </row>
    <row r="59" spans="4:44" ht="17.25" hidden="1" customHeight="1">
      <c r="D59" s="1094"/>
      <c r="E59" s="1098"/>
      <c r="F59" s="1101"/>
      <c r="G59" s="1098"/>
      <c r="H59" s="1104"/>
      <c r="I59" s="1031"/>
      <c r="J59" s="1031"/>
      <c r="K59" s="1031"/>
      <c r="L59" s="1031"/>
      <c r="M59" s="1031"/>
      <c r="N59" s="1031"/>
      <c r="O59" s="1031"/>
      <c r="P59" s="1031"/>
      <c r="Q59" s="1031"/>
      <c r="R59" s="1031"/>
      <c r="S59" s="1031"/>
      <c r="W59" s="608"/>
      <c r="AR59" s="592">
        <v>0</v>
      </c>
    </row>
    <row r="60" spans="4:44" ht="17.25" hidden="1" customHeight="1">
      <c r="D60" s="1071"/>
      <c r="E60" s="1099"/>
      <c r="F60" s="1101"/>
      <c r="G60" s="1099"/>
      <c r="H60" s="1104"/>
      <c r="I60" s="1031"/>
      <c r="J60" s="1031"/>
      <c r="K60" s="1031"/>
      <c r="L60" s="1031"/>
      <c r="M60" s="1031"/>
      <c r="N60" s="1031"/>
      <c r="O60" s="1031"/>
      <c r="W60" s="608"/>
      <c r="AR60" s="592">
        <v>0</v>
      </c>
    </row>
    <row r="61" spans="4:44" ht="17.25" hidden="1" customHeight="1">
      <c r="D61" s="1071"/>
      <c r="E61" s="1099"/>
      <c r="F61" s="1101"/>
      <c r="G61" s="1099"/>
      <c r="H61" s="1104"/>
      <c r="I61" s="1031"/>
      <c r="J61" s="1031"/>
      <c r="K61" s="1031"/>
      <c r="W61" s="608"/>
      <c r="AR61" s="592">
        <v>0</v>
      </c>
    </row>
    <row r="62" spans="4:44" ht="17.25" hidden="1" customHeight="1">
      <c r="D62" s="1071"/>
      <c r="E62" s="1099"/>
      <c r="F62" s="1102"/>
      <c r="G62" s="1099"/>
      <c r="H62" s="609"/>
      <c r="I62" s="610"/>
      <c r="J62" s="610"/>
      <c r="K62" s="610"/>
      <c r="L62" s="610"/>
      <c r="M62" s="610"/>
      <c r="N62" s="610"/>
      <c r="O62" s="610"/>
      <c r="P62" s="610"/>
      <c r="Q62" s="610"/>
      <c r="R62" s="610"/>
      <c r="S62" s="611"/>
      <c r="T62" s="611"/>
      <c r="U62" s="611"/>
      <c r="V62" s="611"/>
      <c r="W62" s="612"/>
      <c r="AR62" s="592">
        <v>0</v>
      </c>
    </row>
    <row r="63" spans="4:44" ht="17.25" hidden="1" customHeight="1">
      <c r="D63" s="1094">
        <v>10</v>
      </c>
      <c r="E63" s="1098" t="s">
        <v>221</v>
      </c>
      <c r="F63" s="1100" t="s">
        <v>19</v>
      </c>
      <c r="G63" s="1098"/>
      <c r="H63" s="1103"/>
      <c r="I63" s="1105"/>
      <c r="J63" s="1106"/>
      <c r="K63" s="1095"/>
      <c r="L63" s="1095"/>
      <c r="M63" s="1095"/>
      <c r="N63" s="1096"/>
      <c r="O63" s="1095"/>
      <c r="P63" s="1095"/>
      <c r="Q63" s="1095"/>
      <c r="R63" s="1097"/>
      <c r="S63" s="1095"/>
      <c r="T63" s="68"/>
      <c r="U63" s="68"/>
      <c r="V63" s="69"/>
      <c r="W63" s="70"/>
      <c r="AC63" s="606" t="s">
        <v>222</v>
      </c>
      <c r="AD63" s="606" t="s">
        <v>223</v>
      </c>
      <c r="AE63" s="606" t="s">
        <v>224</v>
      </c>
      <c r="AF63" s="606" t="s">
        <v>225</v>
      </c>
      <c r="AG63" s="606" t="s">
        <v>226</v>
      </c>
      <c r="AH63" s="606" t="str">
        <f>IF($E$63=0,"",$E$63)</f>
        <v>Предельный уровень цены на тепловую энергию (мощность), поставляемую теплоснабжающими организациями потребителям</v>
      </c>
      <c r="AI63" s="606" t="str">
        <f>IF($G$63=0,"",$G$63)</f>
        <v/>
      </c>
      <c r="AJ63" s="606" t="str">
        <f>IF($J$63=0,"",$J$63)</f>
        <v/>
      </c>
      <c r="AK63" s="606" t="str">
        <f>IF($K$63="нет","без дифференциации",IF($N$63=0,"",$N$63))</f>
        <v/>
      </c>
      <c r="AL63" s="606" t="str">
        <f>IF($O$63="нет","без дифференциации",IF($R$63=0,"",$R$63))</f>
        <v/>
      </c>
      <c r="AM63" s="606" t="str">
        <f>IF($S$63="нет","без дифференциации",IF($V$63=0,"",$V$63))</f>
        <v/>
      </c>
      <c r="AN63" s="72">
        <f>$I$63</f>
        <v>0</v>
      </c>
      <c r="AO63" s="606" t="str">
        <f>$I$63&amp;"."&amp;$M$63</f>
        <v>.</v>
      </c>
      <c r="AP63" s="600" t="str">
        <f>$I$63&amp;"."&amp;$M$63&amp;"."&amp;$Q$63</f>
        <v>..</v>
      </c>
      <c r="AQ63" s="600" t="str">
        <f>$I$63&amp;"."&amp;$M$63&amp;"."&amp;$Q$63&amp;"."&amp;$U$63</f>
        <v>...</v>
      </c>
      <c r="AR63" s="592">
        <v>0</v>
      </c>
    </row>
    <row r="64" spans="4:44" ht="17.25" hidden="1" customHeight="1">
      <c r="D64" s="1094"/>
      <c r="E64" s="1098"/>
      <c r="F64" s="1101"/>
      <c r="G64" s="1098"/>
      <c r="H64" s="1104"/>
      <c r="I64" s="1031"/>
      <c r="J64" s="1031"/>
      <c r="K64" s="1031"/>
      <c r="L64" s="1031"/>
      <c r="M64" s="1031"/>
      <c r="N64" s="1031"/>
      <c r="O64" s="1031"/>
      <c r="P64" s="1031"/>
      <c r="Q64" s="1031"/>
      <c r="R64" s="1031"/>
      <c r="S64" s="1031"/>
      <c r="W64" s="608"/>
      <c r="AR64" s="592">
        <v>0</v>
      </c>
    </row>
    <row r="65" spans="4:44" ht="17.25" hidden="1" customHeight="1">
      <c r="D65" s="1071"/>
      <c r="E65" s="1099"/>
      <c r="F65" s="1101"/>
      <c r="G65" s="1099"/>
      <c r="H65" s="1104"/>
      <c r="I65" s="1031"/>
      <c r="J65" s="1031"/>
      <c r="K65" s="1031"/>
      <c r="L65" s="1031"/>
      <c r="M65" s="1031"/>
      <c r="N65" s="1031"/>
      <c r="O65" s="1031"/>
      <c r="W65" s="608"/>
      <c r="AR65" s="592">
        <v>0</v>
      </c>
    </row>
    <row r="66" spans="4:44" ht="17.25" hidden="1" customHeight="1">
      <c r="D66" s="1071"/>
      <c r="E66" s="1099"/>
      <c r="F66" s="1101"/>
      <c r="G66" s="1099"/>
      <c r="H66" s="1104"/>
      <c r="I66" s="1031"/>
      <c r="J66" s="1031"/>
      <c r="K66" s="1031"/>
      <c r="W66" s="608"/>
      <c r="AR66" s="592">
        <v>0</v>
      </c>
    </row>
    <row r="67" spans="4:44" ht="17.25" hidden="1" customHeight="1">
      <c r="D67" s="1071"/>
      <c r="E67" s="1099"/>
      <c r="F67" s="1102"/>
      <c r="G67" s="1099"/>
      <c r="H67" s="609"/>
      <c r="I67" s="610"/>
      <c r="J67" s="610"/>
      <c r="K67" s="610"/>
      <c r="L67" s="610"/>
      <c r="M67" s="610"/>
      <c r="N67" s="610"/>
      <c r="O67" s="610"/>
      <c r="P67" s="610"/>
      <c r="Q67" s="610"/>
      <c r="R67" s="610"/>
      <c r="S67" s="611"/>
      <c r="T67" s="611"/>
      <c r="U67" s="611"/>
      <c r="V67" s="611"/>
      <c r="W67" s="612"/>
      <c r="AR67" s="592">
        <v>0</v>
      </c>
    </row>
    <row r="68" spans="4:44" ht="11.25" hidden="1" customHeight="1">
      <c r="AR68" s="592">
        <v>0</v>
      </c>
    </row>
    <row r="69" spans="4:44" ht="11.25" hidden="1" customHeight="1">
      <c r="E69" s="1125" t="s">
        <v>227</v>
      </c>
      <c r="F69" s="1031"/>
      <c r="G69" s="1031"/>
      <c r="H69" s="1031"/>
      <c r="I69" s="1031"/>
      <c r="J69" s="1031"/>
      <c r="K69" s="1031"/>
      <c r="L69" s="1031"/>
      <c r="M69" s="1031"/>
      <c r="N69" s="1031"/>
      <c r="O69" s="1031"/>
      <c r="P69" s="1031"/>
      <c r="Q69" s="1031"/>
      <c r="R69" s="1031"/>
      <c r="S69" s="1031"/>
      <c r="T69" s="1031"/>
      <c r="U69" s="1031"/>
      <c r="V69" s="1031"/>
      <c r="W69" s="1031"/>
      <c r="AR69" s="592">
        <v>0</v>
      </c>
    </row>
    <row r="70" spans="4:44" ht="36.75" hidden="1" customHeight="1">
      <c r="E70" s="1124" t="s">
        <v>228</v>
      </c>
      <c r="F70" s="1031"/>
      <c r="G70" s="1031"/>
      <c r="H70" s="1031"/>
      <c r="I70" s="1031"/>
      <c r="J70" s="1031"/>
      <c r="K70" s="1031"/>
      <c r="L70" s="1031"/>
      <c r="M70" s="1031"/>
      <c r="N70" s="1031"/>
      <c r="O70" s="1031"/>
      <c r="P70" s="1031"/>
      <c r="Q70" s="1031"/>
      <c r="R70" s="1031"/>
      <c r="S70" s="1031"/>
      <c r="T70" s="1031"/>
      <c r="U70" s="1031"/>
      <c r="V70" s="1031"/>
      <c r="W70" s="1031"/>
      <c r="AR70" s="592">
        <v>0</v>
      </c>
    </row>
    <row r="71" spans="4:44" ht="28.5" hidden="1" customHeight="1">
      <c r="E71" s="1124" t="s">
        <v>229</v>
      </c>
      <c r="F71" s="1031"/>
      <c r="G71" s="1031"/>
      <c r="H71" s="1031"/>
      <c r="I71" s="1031"/>
      <c r="J71" s="1031"/>
      <c r="K71" s="1031"/>
      <c r="L71" s="1031"/>
      <c r="M71" s="1031"/>
      <c r="N71" s="1031"/>
      <c r="O71" s="1031"/>
      <c r="P71" s="1031"/>
      <c r="Q71" s="1031"/>
      <c r="R71" s="1031"/>
      <c r="S71" s="1031"/>
      <c r="T71" s="1031"/>
      <c r="U71" s="1031"/>
      <c r="V71" s="1031"/>
      <c r="W71" s="1031"/>
      <c r="AR71" s="592">
        <v>0</v>
      </c>
    </row>
    <row r="72" spans="4:44" ht="27" hidden="1" customHeight="1">
      <c r="E72" s="1124" t="s">
        <v>230</v>
      </c>
      <c r="F72" s="1031"/>
      <c r="G72" s="1031"/>
      <c r="H72" s="1031"/>
      <c r="I72" s="1031"/>
      <c r="J72" s="1031"/>
      <c r="K72" s="1031"/>
      <c r="L72" s="1031"/>
      <c r="M72" s="1031"/>
      <c r="N72" s="1031"/>
      <c r="O72" s="1031"/>
      <c r="P72" s="1031"/>
      <c r="Q72" s="1031"/>
      <c r="R72" s="1031"/>
      <c r="S72" s="1031"/>
      <c r="T72" s="1031"/>
      <c r="U72" s="1031"/>
      <c r="V72" s="1031"/>
      <c r="W72" s="1031"/>
      <c r="AR72" s="592">
        <v>0</v>
      </c>
    </row>
    <row r="73" spans="4:44" ht="17.25" hidden="1" customHeight="1">
      <c r="E73" s="1124" t="s">
        <v>231</v>
      </c>
      <c r="F73" s="1031"/>
      <c r="G73" s="1031"/>
      <c r="H73" s="1031"/>
      <c r="I73" s="1031"/>
      <c r="J73" s="1031"/>
      <c r="K73" s="1031"/>
      <c r="L73" s="1031"/>
      <c r="M73" s="1031"/>
      <c r="N73" s="1031"/>
      <c r="O73" s="1031"/>
      <c r="P73" s="1031"/>
      <c r="Q73" s="1031"/>
      <c r="R73" s="1031"/>
      <c r="S73" s="1031"/>
      <c r="T73" s="1031"/>
      <c r="U73" s="1031"/>
      <c r="V73" s="1031"/>
      <c r="W73" s="1031"/>
      <c r="AR73" s="592">
        <v>0</v>
      </c>
    </row>
    <row r="74" spans="4:44" ht="15" hidden="1" customHeight="1">
      <c r="AR74" s="592">
        <v>0</v>
      </c>
    </row>
    <row r="75" spans="4:44" ht="15" hidden="1" customHeight="1">
      <c r="E75" s="1125" t="s">
        <v>232</v>
      </c>
      <c r="F75" s="1031"/>
      <c r="G75" s="1031"/>
      <c r="H75" s="1031"/>
      <c r="I75" s="1031"/>
      <c r="J75" s="1031"/>
      <c r="K75" s="1031"/>
      <c r="L75" s="1031"/>
      <c r="M75" s="1031"/>
      <c r="N75" s="1031"/>
      <c r="O75" s="1031"/>
      <c r="P75" s="1031"/>
      <c r="Q75" s="1031"/>
      <c r="R75" s="1031"/>
      <c r="S75" s="1031"/>
      <c r="T75" s="1031"/>
      <c r="U75" s="1031"/>
      <c r="V75" s="1031"/>
      <c r="W75" s="1031"/>
      <c r="AR75" s="592">
        <v>0</v>
      </c>
    </row>
    <row r="76" spans="4:44" ht="17.25" hidden="1" customHeight="1">
      <c r="E76" s="1124" t="s">
        <v>233</v>
      </c>
      <c r="F76" s="1031"/>
      <c r="G76" s="1031"/>
      <c r="H76" s="1031"/>
      <c r="I76" s="1031"/>
      <c r="J76" s="1031"/>
      <c r="K76" s="1031"/>
      <c r="L76" s="1031"/>
      <c r="M76" s="1031"/>
      <c r="N76" s="1031"/>
      <c r="O76" s="1031"/>
      <c r="P76" s="1031"/>
      <c r="Q76" s="1031"/>
      <c r="R76" s="1031"/>
      <c r="S76" s="1031"/>
      <c r="T76" s="1031"/>
      <c r="U76" s="1031"/>
      <c r="V76" s="1031"/>
      <c r="W76" s="1031"/>
      <c r="AR76" s="592">
        <v>0</v>
      </c>
    </row>
    <row r="77" spans="4:44" ht="17.25" hidden="1" customHeight="1">
      <c r="E77" s="1124" t="s">
        <v>234</v>
      </c>
      <c r="F77" s="1031"/>
      <c r="G77" s="1031"/>
      <c r="H77" s="1031"/>
      <c r="I77" s="1031"/>
      <c r="J77" s="1031"/>
      <c r="K77" s="1031"/>
      <c r="L77" s="1031"/>
      <c r="M77" s="1031"/>
      <c r="N77" s="1031"/>
      <c r="O77" s="1031"/>
      <c r="P77" s="1031"/>
      <c r="Q77" s="1031"/>
      <c r="R77" s="1031"/>
      <c r="S77" s="1031"/>
      <c r="T77" s="1031"/>
      <c r="U77" s="1031"/>
      <c r="V77" s="1031"/>
      <c r="W77" s="1031"/>
      <c r="AR77" s="592">
        <v>0</v>
      </c>
    </row>
    <row r="78" spans="4:44" ht="11.25" hidden="1" customHeight="1">
      <c r="AR78" s="592">
        <v>0</v>
      </c>
    </row>
    <row r="79" spans="4:44" ht="17.25" hidden="1" customHeight="1">
      <c r="D79" s="1094">
        <v>1</v>
      </c>
      <c r="E79" s="1098" t="s">
        <v>235</v>
      </c>
      <c r="F79" s="1100" t="s">
        <v>19</v>
      </c>
      <c r="G79" s="1098"/>
      <c r="H79" s="1103"/>
      <c r="I79" s="1105"/>
      <c r="J79" s="1106"/>
      <c r="K79" s="1095"/>
      <c r="L79" s="1095"/>
      <c r="M79" s="1095"/>
      <c r="N79" s="1096"/>
      <c r="O79" s="1095"/>
      <c r="P79" s="1095"/>
      <c r="Q79" s="1095"/>
      <c r="R79" s="1097"/>
      <c r="S79" s="1095"/>
      <c r="T79" s="68"/>
      <c r="U79" s="68"/>
      <c r="V79" s="69"/>
      <c r="W79" s="70"/>
      <c r="AC79" s="606" t="s">
        <v>236</v>
      </c>
      <c r="AD79" s="606" t="s">
        <v>237</v>
      </c>
      <c r="AE79" s="606" t="s">
        <v>238</v>
      </c>
      <c r="AF79" s="606" t="s">
        <v>239</v>
      </c>
      <c r="AH79" s="606" t="str">
        <f>IF($E$79=0,"",$E$79)</f>
        <v>Тариф на питьевую воду (питьевое водоснабжение)</v>
      </c>
      <c r="AI79" s="606" t="str">
        <f>IF($G$79=0,"",$G$79)</f>
        <v/>
      </c>
      <c r="AJ79" s="606" t="str">
        <f>IF($J$79=0,"",$J$79)</f>
        <v/>
      </c>
      <c r="AK79" s="606" t="str">
        <f>IF($K$79="нет","без дифференциации",IF($N$79=0,"",$N$79))</f>
        <v/>
      </c>
      <c r="AL79" s="606" t="str">
        <f>IF($O$79="нет","без дифференциации",IF($R$79=0,"",$R$79))</f>
        <v/>
      </c>
      <c r="AM79" s="606" t="str">
        <f>IF($S$79="нет","без дифференциации",IF($V$79=0,"",$V$79))</f>
        <v/>
      </c>
      <c r="AN79" s="606">
        <f>$I$79</f>
        <v>0</v>
      </c>
      <c r="AO79" s="606" t="str">
        <f>$I$79&amp;"."&amp;$M$79</f>
        <v>.</v>
      </c>
      <c r="AP79" s="606" t="str">
        <f>$I$79&amp;"."&amp;$M$79&amp;"."&amp;$Q$79</f>
        <v>..</v>
      </c>
      <c r="AQ79" s="606" t="str">
        <f>$I$79&amp;"."&amp;$M$79&amp;"."&amp;$Q$79&amp;"."&amp;$U$79</f>
        <v>...</v>
      </c>
      <c r="AR79" s="592">
        <v>0</v>
      </c>
    </row>
    <row r="80" spans="4:44" ht="17.25" hidden="1" customHeight="1">
      <c r="D80" s="1094"/>
      <c r="E80" s="1098"/>
      <c r="F80" s="1101"/>
      <c r="G80" s="1098"/>
      <c r="H80" s="1104"/>
      <c r="I80" s="1031"/>
      <c r="J80" s="1031"/>
      <c r="K80" s="1031"/>
      <c r="L80" s="1031"/>
      <c r="M80" s="1031"/>
      <c r="N80" s="1031"/>
      <c r="O80" s="1031"/>
      <c r="P80" s="1031"/>
      <c r="Q80" s="1031"/>
      <c r="R80" s="1031"/>
      <c r="S80" s="1031"/>
      <c r="W80" s="608"/>
      <c r="AR80" s="592">
        <v>0</v>
      </c>
    </row>
    <row r="81" spans="4:44" ht="17.25" hidden="1" customHeight="1">
      <c r="D81" s="1094"/>
      <c r="E81" s="1098"/>
      <c r="F81" s="1101"/>
      <c r="G81" s="1098"/>
      <c r="H81" s="1104"/>
      <c r="I81" s="1031"/>
      <c r="J81" s="1031"/>
      <c r="K81" s="1031"/>
      <c r="L81" s="1031"/>
      <c r="M81" s="1031"/>
      <c r="N81" s="1031"/>
      <c r="O81" s="1031"/>
      <c r="W81" s="608"/>
      <c r="AR81" s="592">
        <v>0</v>
      </c>
    </row>
    <row r="82" spans="4:44" ht="17.25" hidden="1" customHeight="1">
      <c r="D82" s="1094"/>
      <c r="E82" s="1098"/>
      <c r="F82" s="1101"/>
      <c r="G82" s="1098"/>
      <c r="H82" s="1104"/>
      <c r="I82" s="1031"/>
      <c r="J82" s="1031"/>
      <c r="K82" s="1031"/>
      <c r="W82" s="608"/>
      <c r="AR82" s="592">
        <v>0</v>
      </c>
    </row>
    <row r="83" spans="4:44" ht="17.25" hidden="1" customHeight="1">
      <c r="D83" s="1071"/>
      <c r="E83" s="1099"/>
      <c r="F83" s="1102"/>
      <c r="G83" s="1099"/>
      <c r="H83" s="609"/>
      <c r="I83" s="610"/>
      <c r="J83" s="610"/>
      <c r="K83" s="610"/>
      <c r="L83" s="610"/>
      <c r="M83" s="610"/>
      <c r="N83" s="610"/>
      <c r="O83" s="610"/>
      <c r="P83" s="610"/>
      <c r="Q83" s="610"/>
      <c r="R83" s="610"/>
      <c r="S83" s="611"/>
      <c r="T83" s="611"/>
      <c r="U83" s="611"/>
      <c r="V83" s="611"/>
      <c r="W83" s="612"/>
      <c r="AR83" s="592">
        <v>0</v>
      </c>
    </row>
    <row r="84" spans="4:44" ht="17.25" hidden="1" customHeight="1">
      <c r="D84" s="1094">
        <v>2</v>
      </c>
      <c r="E84" s="1098" t="s">
        <v>240</v>
      </c>
      <c r="F84" s="1100" t="s">
        <v>19</v>
      </c>
      <c r="G84" s="1098"/>
      <c r="H84" s="1103"/>
      <c r="I84" s="1105"/>
      <c r="J84" s="1106"/>
      <c r="K84" s="1095"/>
      <c r="L84" s="1095"/>
      <c r="M84" s="1095"/>
      <c r="N84" s="1096"/>
      <c r="O84" s="1095"/>
      <c r="P84" s="1095"/>
      <c r="Q84" s="1095"/>
      <c r="R84" s="1097"/>
      <c r="S84" s="1095"/>
      <c r="T84" s="68"/>
      <c r="U84" s="68"/>
      <c r="V84" s="69"/>
      <c r="W84" s="70"/>
      <c r="AC84" s="606" t="s">
        <v>241</v>
      </c>
      <c r="AD84" s="606" t="s">
        <v>242</v>
      </c>
      <c r="AE84" s="606" t="s">
        <v>243</v>
      </c>
      <c r="AF84" s="606" t="s">
        <v>244</v>
      </c>
      <c r="AH84" s="606" t="str">
        <f>IF($E$84=0,"",$E$84)</f>
        <v>Тариф на техническую воду</v>
      </c>
      <c r="AI84" s="606" t="str">
        <f>IF($G$84=0,"",$G$84)</f>
        <v/>
      </c>
      <c r="AJ84" s="606" t="str">
        <f>IF($J$84=0,"",$J$84)</f>
        <v/>
      </c>
      <c r="AK84" s="606" t="str">
        <f>IF($K$84="нет","без дифференциации",IF($N$84=0,"",$N$84))</f>
        <v/>
      </c>
      <c r="AL84" s="606" t="str">
        <f>IF($O$84="нет","без дифференциации",IF($R$84=0,"",$R$84))</f>
        <v/>
      </c>
      <c r="AM84" s="606" t="str">
        <f>IF($S$84="нет","без дифференциации",IF($V$84=0,"",$V$84))</f>
        <v/>
      </c>
      <c r="AN84" s="72">
        <f>$I$84</f>
        <v>0</v>
      </c>
      <c r="AO84" s="606" t="str">
        <f>$I$84&amp;"."&amp;$M$84</f>
        <v>.</v>
      </c>
      <c r="AP84" s="600" t="str">
        <f>$I$84&amp;"."&amp;$M$84&amp;"."&amp;$Q$84</f>
        <v>..</v>
      </c>
      <c r="AQ84" s="600" t="str">
        <f>$I$84&amp;"."&amp;$M$84&amp;"."&amp;$Q$84&amp;"."&amp;$U$84</f>
        <v>...</v>
      </c>
      <c r="AR84" s="592">
        <v>0</v>
      </c>
    </row>
    <row r="85" spans="4:44" ht="17.25" hidden="1" customHeight="1">
      <c r="D85" s="1094"/>
      <c r="E85" s="1098"/>
      <c r="F85" s="1101"/>
      <c r="G85" s="1098"/>
      <c r="H85" s="1104"/>
      <c r="I85" s="1031"/>
      <c r="J85" s="1031"/>
      <c r="K85" s="1031"/>
      <c r="L85" s="1031"/>
      <c r="M85" s="1031"/>
      <c r="N85" s="1031"/>
      <c r="O85" s="1031"/>
      <c r="P85" s="1031"/>
      <c r="Q85" s="1031"/>
      <c r="R85" s="1031"/>
      <c r="S85" s="1031"/>
      <c r="W85" s="608"/>
      <c r="AR85" s="592">
        <v>0</v>
      </c>
    </row>
    <row r="86" spans="4:44" ht="17.25" hidden="1" customHeight="1">
      <c r="D86" s="1071"/>
      <c r="E86" s="1099"/>
      <c r="F86" s="1101"/>
      <c r="G86" s="1099"/>
      <c r="H86" s="1104"/>
      <c r="I86" s="1031"/>
      <c r="J86" s="1031"/>
      <c r="K86" s="1031"/>
      <c r="L86" s="1031"/>
      <c r="M86" s="1031"/>
      <c r="N86" s="1031"/>
      <c r="O86" s="1031"/>
      <c r="W86" s="608"/>
      <c r="AR86" s="592">
        <v>0</v>
      </c>
    </row>
    <row r="87" spans="4:44" ht="17.25" hidden="1" customHeight="1">
      <c r="D87" s="1071"/>
      <c r="E87" s="1099"/>
      <c r="F87" s="1101"/>
      <c r="G87" s="1099"/>
      <c r="H87" s="1104"/>
      <c r="I87" s="1031"/>
      <c r="J87" s="1031"/>
      <c r="K87" s="1031"/>
      <c r="W87" s="608"/>
      <c r="AR87" s="592">
        <v>0</v>
      </c>
    </row>
    <row r="88" spans="4:44" ht="17.25" hidden="1" customHeight="1">
      <c r="D88" s="1071"/>
      <c r="E88" s="1099"/>
      <c r="F88" s="1102"/>
      <c r="G88" s="1099"/>
      <c r="H88" s="609"/>
      <c r="I88" s="610"/>
      <c r="J88" s="610"/>
      <c r="K88" s="610"/>
      <c r="L88" s="610"/>
      <c r="M88" s="610"/>
      <c r="N88" s="610"/>
      <c r="O88" s="610"/>
      <c r="P88" s="610"/>
      <c r="Q88" s="610"/>
      <c r="R88" s="610"/>
      <c r="S88" s="611"/>
      <c r="T88" s="611"/>
      <c r="U88" s="611"/>
      <c r="V88" s="611"/>
      <c r="W88" s="612"/>
      <c r="AR88" s="592">
        <v>0</v>
      </c>
    </row>
    <row r="89" spans="4:44" ht="17.25" hidden="1" customHeight="1">
      <c r="D89" s="1094">
        <v>3</v>
      </c>
      <c r="E89" s="1098" t="s">
        <v>245</v>
      </c>
      <c r="F89" s="1100" t="s">
        <v>19</v>
      </c>
      <c r="G89" s="1098"/>
      <c r="H89" s="1103"/>
      <c r="I89" s="1105"/>
      <c r="J89" s="1106"/>
      <c r="K89" s="1095"/>
      <c r="L89" s="1095"/>
      <c r="M89" s="1095"/>
      <c r="N89" s="1096"/>
      <c r="O89" s="1095"/>
      <c r="P89" s="1095"/>
      <c r="Q89" s="1095"/>
      <c r="R89" s="1097"/>
      <c r="S89" s="1095"/>
      <c r="T89" s="68"/>
      <c r="U89" s="68"/>
      <c r="V89" s="69"/>
      <c r="W89" s="70"/>
      <c r="AC89" s="606" t="s">
        <v>246</v>
      </c>
      <c r="AD89" s="606" t="s">
        <v>247</v>
      </c>
      <c r="AE89" s="606" t="s">
        <v>248</v>
      </c>
      <c r="AF89" s="606" t="s">
        <v>249</v>
      </c>
      <c r="AH89" s="606" t="str">
        <f>IF($E$89=0,"",$E$89)</f>
        <v>Тариф на транспортировку воды</v>
      </c>
      <c r="AI89" s="606" t="str">
        <f>IF($G$89=0,"",$G$89)</f>
        <v/>
      </c>
      <c r="AJ89" s="606" t="str">
        <f>IF($J$89=0,"",$J$89)</f>
        <v/>
      </c>
      <c r="AK89" s="606" t="str">
        <f>IF($K$89="нет","без дифференциации",IF($N$89=0,"",$N$89))</f>
        <v/>
      </c>
      <c r="AL89" s="606" t="str">
        <f>IF($O$89="нет","без дифференциации",IF($R$89=0,"",$R$89))</f>
        <v/>
      </c>
      <c r="AM89" s="606" t="str">
        <f>IF($S$89="нет","без дифференциации",IF($V$89=0,"",$V$89))</f>
        <v/>
      </c>
      <c r="AN89" s="72">
        <f>$I$89</f>
        <v>0</v>
      </c>
      <c r="AO89" s="606" t="str">
        <f>$I$89&amp;"."&amp;$M$89</f>
        <v>.</v>
      </c>
      <c r="AP89" s="600" t="str">
        <f>$I$89&amp;"."&amp;$M$89&amp;"."&amp;$Q$89</f>
        <v>..</v>
      </c>
      <c r="AQ89" s="600" t="str">
        <f>$I$89&amp;"."&amp;$M$89&amp;"."&amp;$Q$89&amp;"."&amp;$U$89</f>
        <v>...</v>
      </c>
      <c r="AR89" s="592">
        <v>0</v>
      </c>
    </row>
    <row r="90" spans="4:44" ht="17.25" hidden="1" customHeight="1">
      <c r="D90" s="1094"/>
      <c r="E90" s="1098"/>
      <c r="F90" s="1101"/>
      <c r="G90" s="1098"/>
      <c r="H90" s="1104"/>
      <c r="I90" s="1031"/>
      <c r="J90" s="1031"/>
      <c r="K90" s="1031"/>
      <c r="L90" s="1031"/>
      <c r="M90" s="1031"/>
      <c r="N90" s="1031"/>
      <c r="O90" s="1031"/>
      <c r="P90" s="1031"/>
      <c r="Q90" s="1031"/>
      <c r="R90" s="1031"/>
      <c r="S90" s="1031"/>
      <c r="W90" s="608"/>
      <c r="AR90" s="592">
        <v>0</v>
      </c>
    </row>
    <row r="91" spans="4:44" ht="17.25" hidden="1" customHeight="1">
      <c r="D91" s="1071"/>
      <c r="E91" s="1099"/>
      <c r="F91" s="1101"/>
      <c r="G91" s="1099"/>
      <c r="H91" s="1104"/>
      <c r="I91" s="1031"/>
      <c r="J91" s="1031"/>
      <c r="K91" s="1031"/>
      <c r="L91" s="1031"/>
      <c r="M91" s="1031"/>
      <c r="N91" s="1031"/>
      <c r="O91" s="1031"/>
      <c r="W91" s="608"/>
      <c r="AR91" s="592">
        <v>0</v>
      </c>
    </row>
    <row r="92" spans="4:44" ht="17.25" hidden="1" customHeight="1">
      <c r="D92" s="1071"/>
      <c r="E92" s="1099"/>
      <c r="F92" s="1101"/>
      <c r="G92" s="1099"/>
      <c r="H92" s="1104"/>
      <c r="I92" s="1031"/>
      <c r="J92" s="1031"/>
      <c r="K92" s="1031"/>
      <c r="W92" s="608"/>
      <c r="AR92" s="592">
        <v>0</v>
      </c>
    </row>
    <row r="93" spans="4:44" ht="17.25" hidden="1" customHeight="1">
      <c r="D93" s="1071"/>
      <c r="E93" s="1099"/>
      <c r="F93" s="1102"/>
      <c r="G93" s="1099"/>
      <c r="H93" s="609"/>
      <c r="I93" s="610"/>
      <c r="J93" s="610"/>
      <c r="K93" s="610"/>
      <c r="L93" s="610"/>
      <c r="M93" s="610"/>
      <c r="N93" s="610"/>
      <c r="O93" s="610"/>
      <c r="P93" s="610"/>
      <c r="Q93" s="610"/>
      <c r="R93" s="610"/>
      <c r="S93" s="611"/>
      <c r="T93" s="611"/>
      <c r="U93" s="611"/>
      <c r="V93" s="611"/>
      <c r="W93" s="612"/>
      <c r="AR93" s="592">
        <v>0</v>
      </c>
    </row>
    <row r="94" spans="4:44" ht="17.25" hidden="1" customHeight="1">
      <c r="D94" s="1094">
        <v>4</v>
      </c>
      <c r="E94" s="1098" t="s">
        <v>250</v>
      </c>
      <c r="F94" s="1100" t="s">
        <v>19</v>
      </c>
      <c r="G94" s="1098"/>
      <c r="H94" s="1103"/>
      <c r="I94" s="1105"/>
      <c r="J94" s="1106"/>
      <c r="K94" s="1095"/>
      <c r="L94" s="1095"/>
      <c r="M94" s="1095"/>
      <c r="N94" s="1096"/>
      <c r="O94" s="1095"/>
      <c r="P94" s="1095"/>
      <c r="Q94" s="1095"/>
      <c r="R94" s="1097"/>
      <c r="S94" s="1095"/>
      <c r="T94" s="68"/>
      <c r="U94" s="68"/>
      <c r="V94" s="69"/>
      <c r="W94" s="70"/>
      <c r="AC94" s="606" t="s">
        <v>251</v>
      </c>
      <c r="AD94" s="606" t="s">
        <v>252</v>
      </c>
      <c r="AE94" s="606" t="s">
        <v>253</v>
      </c>
      <c r="AF94" s="606" t="s">
        <v>254</v>
      </c>
      <c r="AH94" s="606" t="str">
        <f>IF($E$94=0,"",$E$94)</f>
        <v>Тариф на подвоз воды</v>
      </c>
      <c r="AI94" s="606" t="str">
        <f>IF($G$94=0,"",$G$94)</f>
        <v/>
      </c>
      <c r="AJ94" s="606" t="str">
        <f>IF($J$94=0,"",$J$94)</f>
        <v/>
      </c>
      <c r="AK94" s="606" t="str">
        <f>IF($K$94="нет","без дифференциации",IF($N$94=0,"",$N$94))</f>
        <v/>
      </c>
      <c r="AL94" s="606" t="str">
        <f>IF($O$94="нет","без дифференциации",IF($R$94=0,"",$R$94))</f>
        <v/>
      </c>
      <c r="AM94" s="606" t="str">
        <f>IF($S$94="нет","без дифференциации",IF($V$94=0,"",$V$94))</f>
        <v/>
      </c>
      <c r="AN94" s="72">
        <f>$I$94</f>
        <v>0</v>
      </c>
      <c r="AO94" s="606" t="str">
        <f>$I$94&amp;"."&amp;$M$94</f>
        <v>.</v>
      </c>
      <c r="AP94" s="600" t="str">
        <f>$I$94&amp;"."&amp;$M$94&amp;"."&amp;$Q$94</f>
        <v>..</v>
      </c>
      <c r="AQ94" s="600" t="str">
        <f>$I$94&amp;"."&amp;$M$94&amp;"."&amp;$Q$94&amp;"."&amp;$U$94</f>
        <v>...</v>
      </c>
      <c r="AR94" s="592">
        <v>0</v>
      </c>
    </row>
    <row r="95" spans="4:44" ht="17.25" hidden="1" customHeight="1">
      <c r="D95" s="1094"/>
      <c r="E95" s="1098"/>
      <c r="F95" s="1101"/>
      <c r="G95" s="1098"/>
      <c r="H95" s="1104"/>
      <c r="I95" s="1031"/>
      <c r="J95" s="1031"/>
      <c r="K95" s="1031"/>
      <c r="L95" s="1031"/>
      <c r="M95" s="1031"/>
      <c r="N95" s="1031"/>
      <c r="O95" s="1031"/>
      <c r="P95" s="1031"/>
      <c r="Q95" s="1031"/>
      <c r="R95" s="1031"/>
      <c r="S95" s="1031"/>
      <c r="W95" s="608"/>
      <c r="AR95" s="592">
        <v>0</v>
      </c>
    </row>
    <row r="96" spans="4:44" ht="17.25" hidden="1" customHeight="1">
      <c r="D96" s="1071"/>
      <c r="E96" s="1099"/>
      <c r="F96" s="1101"/>
      <c r="G96" s="1099"/>
      <c r="H96" s="1104"/>
      <c r="I96" s="1031"/>
      <c r="J96" s="1031"/>
      <c r="K96" s="1031"/>
      <c r="L96" s="1031"/>
      <c r="M96" s="1031"/>
      <c r="N96" s="1031"/>
      <c r="O96" s="1031"/>
      <c r="W96" s="608"/>
      <c r="AR96" s="592">
        <v>0</v>
      </c>
    </row>
    <row r="97" spans="4:44" ht="17.25" hidden="1" customHeight="1">
      <c r="D97" s="1071"/>
      <c r="E97" s="1099"/>
      <c r="F97" s="1101"/>
      <c r="G97" s="1099"/>
      <c r="H97" s="1104"/>
      <c r="I97" s="1031"/>
      <c r="J97" s="1031"/>
      <c r="K97" s="1031"/>
      <c r="W97" s="608"/>
      <c r="AR97" s="592">
        <v>0</v>
      </c>
    </row>
    <row r="98" spans="4:44" ht="17.25" hidden="1" customHeight="1">
      <c r="D98" s="1071"/>
      <c r="E98" s="1099"/>
      <c r="F98" s="1102"/>
      <c r="G98" s="1099"/>
      <c r="H98" s="609"/>
      <c r="I98" s="610"/>
      <c r="J98" s="610"/>
      <c r="K98" s="610"/>
      <c r="L98" s="610"/>
      <c r="M98" s="610"/>
      <c r="N98" s="610"/>
      <c r="O98" s="610"/>
      <c r="P98" s="610"/>
      <c r="Q98" s="610"/>
      <c r="R98" s="610"/>
      <c r="S98" s="611"/>
      <c r="T98" s="611"/>
      <c r="U98" s="611"/>
      <c r="V98" s="611"/>
      <c r="W98" s="612"/>
      <c r="AR98" s="592">
        <v>0</v>
      </c>
    </row>
    <row r="99" spans="4:44" ht="17.25" hidden="1" customHeight="1">
      <c r="D99" s="1094">
        <v>5</v>
      </c>
      <c r="E99" s="1098" t="s">
        <v>255</v>
      </c>
      <c r="F99" s="1100" t="s">
        <v>19</v>
      </c>
      <c r="G99" s="1098"/>
      <c r="H99" s="1103"/>
      <c r="I99" s="1105"/>
      <c r="J99" s="1106"/>
      <c r="K99" s="1095"/>
      <c r="L99" s="1095"/>
      <c r="M99" s="1095"/>
      <c r="N99" s="1096"/>
      <c r="O99" s="1095"/>
      <c r="P99" s="1095"/>
      <c r="Q99" s="1095"/>
      <c r="R99" s="1097"/>
      <c r="S99" s="1095"/>
      <c r="T99" s="68"/>
      <c r="U99" s="68"/>
      <c r="V99" s="69"/>
      <c r="W99" s="70"/>
      <c r="AC99" s="606" t="s">
        <v>256</v>
      </c>
      <c r="AD99" s="606" t="s">
        <v>257</v>
      </c>
      <c r="AE99" s="606" t="s">
        <v>258</v>
      </c>
      <c r="AF99" s="606" t="s">
        <v>259</v>
      </c>
      <c r="AH99" s="606" t="str">
        <f>IF($E$99=0,"",$E$99)</f>
        <v>Тариф на подключение (технологическое присоединение) к централизованной системе холодного водоснабжения</v>
      </c>
      <c r="AI99" s="606" t="str">
        <f>IF($G$99=0,"",$G$99)</f>
        <v/>
      </c>
      <c r="AJ99" s="606" t="str">
        <f>IF($J$99=0,"",$J$99)</f>
        <v/>
      </c>
      <c r="AK99" s="606" t="str">
        <f>IF($K$99="нет","без дифференциации",IF($N$99=0,"",$N$99))</f>
        <v/>
      </c>
      <c r="AL99" s="606" t="str">
        <f>IF($O$99="нет","без дифференциации",IF($R$99=0,"",$R$99))</f>
        <v/>
      </c>
      <c r="AM99" s="606" t="str">
        <f>IF($S$99="нет","без дифференциации",IF($V$99=0,"",$V$99))</f>
        <v/>
      </c>
      <c r="AN99" s="72">
        <f>$I$99</f>
        <v>0</v>
      </c>
      <c r="AO99" s="606" t="str">
        <f>$I$99&amp;"."&amp;$M$99</f>
        <v>.</v>
      </c>
      <c r="AP99" s="600" t="str">
        <f>$I$99&amp;"."&amp;$M$99&amp;"."&amp;$Q$99</f>
        <v>..</v>
      </c>
      <c r="AQ99" s="600" t="str">
        <f>$I$99&amp;"."&amp;$M$99&amp;"."&amp;$Q$99&amp;"."&amp;$U$99</f>
        <v>...</v>
      </c>
      <c r="AR99" s="592">
        <v>0</v>
      </c>
    </row>
    <row r="100" spans="4:44" ht="17.25" hidden="1" customHeight="1">
      <c r="D100" s="1094"/>
      <c r="E100" s="1098"/>
      <c r="F100" s="1101"/>
      <c r="G100" s="1098"/>
      <c r="H100" s="1104"/>
      <c r="I100" s="1031"/>
      <c r="J100" s="1031"/>
      <c r="K100" s="1031"/>
      <c r="L100" s="1031"/>
      <c r="M100" s="1031"/>
      <c r="N100" s="1031"/>
      <c r="O100" s="1031"/>
      <c r="P100" s="1031"/>
      <c r="Q100" s="1031"/>
      <c r="R100" s="1031"/>
      <c r="S100" s="1031"/>
      <c r="W100" s="608"/>
      <c r="AR100" s="592">
        <v>0</v>
      </c>
    </row>
    <row r="101" spans="4:44" ht="17.25" hidden="1" customHeight="1">
      <c r="D101" s="1071"/>
      <c r="E101" s="1099"/>
      <c r="F101" s="1101"/>
      <c r="G101" s="1099"/>
      <c r="H101" s="1104"/>
      <c r="I101" s="1031"/>
      <c r="J101" s="1031"/>
      <c r="K101" s="1031"/>
      <c r="L101" s="1031"/>
      <c r="M101" s="1031"/>
      <c r="N101" s="1031"/>
      <c r="O101" s="1031"/>
      <c r="W101" s="608"/>
      <c r="AR101" s="592">
        <v>0</v>
      </c>
    </row>
    <row r="102" spans="4:44" ht="17.25" hidden="1" customHeight="1">
      <c r="D102" s="1071"/>
      <c r="E102" s="1099"/>
      <c r="F102" s="1101"/>
      <c r="G102" s="1099"/>
      <c r="H102" s="1104"/>
      <c r="I102" s="1031"/>
      <c r="J102" s="1031"/>
      <c r="K102" s="1031"/>
      <c r="W102" s="608"/>
      <c r="AR102" s="592">
        <v>0</v>
      </c>
    </row>
    <row r="103" spans="4:44" ht="17.25" hidden="1" customHeight="1">
      <c r="D103" s="1071"/>
      <c r="E103" s="1099"/>
      <c r="F103" s="1102"/>
      <c r="G103" s="1099"/>
      <c r="H103" s="609"/>
      <c r="I103" s="610"/>
      <c r="J103" s="610"/>
      <c r="K103" s="610"/>
      <c r="L103" s="610"/>
      <c r="M103" s="610"/>
      <c r="N103" s="610"/>
      <c r="O103" s="610"/>
      <c r="P103" s="610"/>
      <c r="Q103" s="610"/>
      <c r="R103" s="610"/>
      <c r="S103" s="611"/>
      <c r="T103" s="611"/>
      <c r="U103" s="611"/>
      <c r="V103" s="611"/>
      <c r="W103" s="612"/>
      <c r="AR103" s="592">
        <v>0</v>
      </c>
    </row>
    <row r="104" spans="4:44" ht="11.25" hidden="1" customHeight="1">
      <c r="AR104" s="592">
        <v>0</v>
      </c>
    </row>
    <row r="105" spans="4:44" ht="17.25" hidden="1" customHeight="1">
      <c r="D105" s="1094">
        <v>1</v>
      </c>
      <c r="E105" s="1098" t="s">
        <v>260</v>
      </c>
      <c r="F105" s="1100" t="s">
        <v>19</v>
      </c>
      <c r="G105" s="1098"/>
      <c r="H105" s="1103"/>
      <c r="I105" s="1105"/>
      <c r="J105" s="1106"/>
      <c r="K105" s="1095"/>
      <c r="L105" s="1095"/>
      <c r="M105" s="1095"/>
      <c r="N105" s="1096"/>
      <c r="O105" s="1095"/>
      <c r="P105" s="1095"/>
      <c r="Q105" s="1095"/>
      <c r="R105" s="1097"/>
      <c r="S105" s="1095"/>
      <c r="T105" s="68"/>
      <c r="U105" s="68"/>
      <c r="V105" s="69"/>
      <c r="W105" s="70"/>
      <c r="AC105" s="606" t="s">
        <v>261</v>
      </c>
      <c r="AD105" s="606" t="s">
        <v>262</v>
      </c>
      <c r="AE105" s="606" t="s">
        <v>263</v>
      </c>
      <c r="AF105" s="606" t="s">
        <v>264</v>
      </c>
      <c r="AH105" s="606" t="str">
        <f>IF($E$105=0,"",$E$105)</f>
        <v>Тариф на горячую воду (горячее водоснабжение)</v>
      </c>
      <c r="AI105" s="606" t="str">
        <f>IF($G$105=0,"",$G$105)</f>
        <v/>
      </c>
      <c r="AJ105" s="606" t="str">
        <f>IF($J$105=0,"",$J$105)</f>
        <v/>
      </c>
      <c r="AK105" s="606" t="str">
        <f>IF($K$105="нет","без дифференциации",IF($N$105=0,"",$N$105))</f>
        <v/>
      </c>
      <c r="AL105" s="606" t="str">
        <f>IF($O$105="нет","без дифференциации",IF($R$105=0,"",$R$105))</f>
        <v/>
      </c>
      <c r="AM105" s="606" t="str">
        <f>IF($S$105="нет","без дифференциации",IF($V$105=0,"",$V$105))</f>
        <v/>
      </c>
      <c r="AN105" s="606">
        <f>$I$105</f>
        <v>0</v>
      </c>
      <c r="AO105" s="606" t="str">
        <f>$I$105&amp;"."&amp;$M$105</f>
        <v>.</v>
      </c>
      <c r="AP105" s="606" t="str">
        <f>$I$105&amp;"."&amp;$M$105&amp;"."&amp;$Q$105</f>
        <v>..</v>
      </c>
      <c r="AQ105" s="606" t="str">
        <f>$I$105&amp;"."&amp;$M$105&amp;"."&amp;$Q$105&amp;"."&amp;$U$105</f>
        <v>...</v>
      </c>
      <c r="AR105" s="592">
        <v>0</v>
      </c>
    </row>
    <row r="106" spans="4:44" ht="17.25" hidden="1" customHeight="1">
      <c r="D106" s="1094"/>
      <c r="E106" s="1098"/>
      <c r="F106" s="1101"/>
      <c r="G106" s="1098"/>
      <c r="H106" s="1104"/>
      <c r="I106" s="1031"/>
      <c r="J106" s="1031"/>
      <c r="K106" s="1031"/>
      <c r="L106" s="1031"/>
      <c r="M106" s="1031"/>
      <c r="N106" s="1031"/>
      <c r="O106" s="1031"/>
      <c r="P106" s="1031"/>
      <c r="Q106" s="1031"/>
      <c r="R106" s="1031"/>
      <c r="S106" s="1031"/>
      <c r="W106" s="608"/>
      <c r="AR106" s="592">
        <v>0</v>
      </c>
    </row>
    <row r="107" spans="4:44" ht="17.25" hidden="1" customHeight="1">
      <c r="D107" s="1094"/>
      <c r="E107" s="1098"/>
      <c r="F107" s="1101"/>
      <c r="G107" s="1098"/>
      <c r="H107" s="1104"/>
      <c r="I107" s="1031"/>
      <c r="J107" s="1031"/>
      <c r="K107" s="1031"/>
      <c r="L107" s="1031"/>
      <c r="M107" s="1031"/>
      <c r="N107" s="1031"/>
      <c r="O107" s="1031"/>
      <c r="W107" s="608"/>
      <c r="AR107" s="592">
        <v>0</v>
      </c>
    </row>
    <row r="108" spans="4:44" ht="17.25" hidden="1" customHeight="1">
      <c r="D108" s="1094"/>
      <c r="E108" s="1098"/>
      <c r="F108" s="1101"/>
      <c r="G108" s="1098"/>
      <c r="H108" s="1104"/>
      <c r="I108" s="1031"/>
      <c r="J108" s="1031"/>
      <c r="K108" s="1031"/>
      <c r="W108" s="608"/>
      <c r="AR108" s="592">
        <v>0</v>
      </c>
    </row>
    <row r="109" spans="4:44" ht="17.25" hidden="1" customHeight="1">
      <c r="D109" s="1071"/>
      <c r="E109" s="1099"/>
      <c r="F109" s="1102"/>
      <c r="G109" s="1099"/>
      <c r="H109" s="609"/>
      <c r="I109" s="610"/>
      <c r="J109" s="610"/>
      <c r="K109" s="610"/>
      <c r="L109" s="610"/>
      <c r="M109" s="610"/>
      <c r="N109" s="610"/>
      <c r="O109" s="610"/>
      <c r="P109" s="610"/>
      <c r="Q109" s="610"/>
      <c r="R109" s="610"/>
      <c r="S109" s="611"/>
      <c r="T109" s="611"/>
      <c r="U109" s="611"/>
      <c r="V109" s="611"/>
      <c r="W109" s="612"/>
      <c r="AR109" s="592">
        <v>0</v>
      </c>
    </row>
    <row r="110" spans="4:44" ht="17.25" hidden="1" customHeight="1">
      <c r="D110" s="1094">
        <v>2</v>
      </c>
      <c r="E110" s="1098" t="s">
        <v>265</v>
      </c>
      <c r="F110" s="1100" t="s">
        <v>19</v>
      </c>
      <c r="G110" s="1098"/>
      <c r="H110" s="1103"/>
      <c r="I110" s="1105"/>
      <c r="J110" s="1106"/>
      <c r="K110" s="1095"/>
      <c r="L110" s="1095"/>
      <c r="M110" s="1095"/>
      <c r="N110" s="1096"/>
      <c r="O110" s="1095"/>
      <c r="P110" s="1095"/>
      <c r="Q110" s="1095"/>
      <c r="R110" s="1097"/>
      <c r="S110" s="1095"/>
      <c r="T110" s="68"/>
      <c r="U110" s="68"/>
      <c r="V110" s="69"/>
      <c r="W110" s="70"/>
      <c r="AC110" s="606" t="s">
        <v>266</v>
      </c>
      <c r="AD110" s="606" t="s">
        <v>267</v>
      </c>
      <c r="AE110" s="606" t="s">
        <v>268</v>
      </c>
      <c r="AF110" s="606" t="s">
        <v>269</v>
      </c>
      <c r="AH110" s="606" t="str">
        <f>IF($E$110=0,"",$E$110)</f>
        <v>Тариф на транспортировку горячей воды</v>
      </c>
      <c r="AI110" s="606" t="str">
        <f>IF($G$110=0,"",$G$110)</f>
        <v/>
      </c>
      <c r="AJ110" s="606" t="str">
        <f>IF($J$110=0,"",$J$110)</f>
        <v/>
      </c>
      <c r="AK110" s="606" t="str">
        <f>IF($K$110="нет","без дифференциации",IF($N$110=0,"",$N$110))</f>
        <v/>
      </c>
      <c r="AL110" s="606" t="str">
        <f>IF($O$110="нет","без дифференциации",IF($R$110=0,"",$R$110))</f>
        <v/>
      </c>
      <c r="AM110" s="606" t="str">
        <f>IF($S$110="нет","без дифференциации",IF($V$110=0,"",$V$110))</f>
        <v/>
      </c>
      <c r="AN110" s="72">
        <f>$I$110</f>
        <v>0</v>
      </c>
      <c r="AO110" s="606" t="str">
        <f>$I$110&amp;"."&amp;$M$110</f>
        <v>.</v>
      </c>
      <c r="AP110" s="600" t="str">
        <f>$I$110&amp;"."&amp;$M$110&amp;"."&amp;$Q$110</f>
        <v>..</v>
      </c>
      <c r="AQ110" s="600" t="str">
        <f>$I$110&amp;"."&amp;$M$110&amp;"."&amp;$Q$110&amp;"."&amp;$U$110</f>
        <v>...</v>
      </c>
      <c r="AR110" s="592">
        <v>0</v>
      </c>
    </row>
    <row r="111" spans="4:44" ht="17.25" hidden="1" customHeight="1">
      <c r="D111" s="1094"/>
      <c r="E111" s="1098"/>
      <c r="F111" s="1101"/>
      <c r="G111" s="1098"/>
      <c r="H111" s="1104"/>
      <c r="I111" s="1031"/>
      <c r="J111" s="1031"/>
      <c r="K111" s="1031"/>
      <c r="L111" s="1031"/>
      <c r="M111" s="1031"/>
      <c r="N111" s="1031"/>
      <c r="O111" s="1031"/>
      <c r="P111" s="1031"/>
      <c r="Q111" s="1031"/>
      <c r="R111" s="1031"/>
      <c r="S111" s="1031"/>
      <c r="W111" s="608"/>
      <c r="AR111" s="592">
        <v>0</v>
      </c>
    </row>
    <row r="112" spans="4:44" ht="17.25" hidden="1" customHeight="1">
      <c r="D112" s="1071"/>
      <c r="E112" s="1099"/>
      <c r="F112" s="1101"/>
      <c r="G112" s="1099"/>
      <c r="H112" s="1104"/>
      <c r="I112" s="1031"/>
      <c r="J112" s="1031"/>
      <c r="K112" s="1031"/>
      <c r="L112" s="1031"/>
      <c r="M112" s="1031"/>
      <c r="N112" s="1031"/>
      <c r="O112" s="1031"/>
      <c r="W112" s="608"/>
      <c r="AR112" s="592">
        <v>0</v>
      </c>
    </row>
    <row r="113" spans="4:44" ht="17.25" hidden="1" customHeight="1">
      <c r="D113" s="1071"/>
      <c r="E113" s="1099"/>
      <c r="F113" s="1101"/>
      <c r="G113" s="1099"/>
      <c r="H113" s="1104"/>
      <c r="I113" s="1031"/>
      <c r="J113" s="1031"/>
      <c r="K113" s="1031"/>
      <c r="W113" s="608"/>
      <c r="AR113" s="592">
        <v>0</v>
      </c>
    </row>
    <row r="114" spans="4:44" ht="17.25" hidden="1" customHeight="1">
      <c r="D114" s="1071"/>
      <c r="E114" s="1099"/>
      <c r="F114" s="1102"/>
      <c r="G114" s="1099"/>
      <c r="H114" s="609"/>
      <c r="I114" s="610"/>
      <c r="J114" s="610"/>
      <c r="K114" s="610"/>
      <c r="L114" s="610"/>
      <c r="M114" s="610"/>
      <c r="N114" s="610"/>
      <c r="O114" s="610"/>
      <c r="P114" s="610"/>
      <c r="Q114" s="610"/>
      <c r="R114" s="610"/>
      <c r="S114" s="611"/>
      <c r="T114" s="611"/>
      <c r="U114" s="611"/>
      <c r="V114" s="611"/>
      <c r="W114" s="612"/>
      <c r="AR114" s="592">
        <v>0</v>
      </c>
    </row>
    <row r="115" spans="4:44" ht="17.25" hidden="1" customHeight="1">
      <c r="D115" s="1094">
        <v>3</v>
      </c>
      <c r="E115" s="1098" t="s">
        <v>270</v>
      </c>
      <c r="F115" s="1100" t="s">
        <v>19</v>
      </c>
      <c r="G115" s="1098"/>
      <c r="H115" s="1103"/>
      <c r="I115" s="1105"/>
      <c r="J115" s="1106"/>
      <c r="K115" s="1095"/>
      <c r="L115" s="1095"/>
      <c r="M115" s="1095"/>
      <c r="N115" s="1096"/>
      <c r="O115" s="1095"/>
      <c r="P115" s="1095"/>
      <c r="Q115" s="1095"/>
      <c r="R115" s="1097"/>
      <c r="S115" s="1095"/>
      <c r="T115" s="68"/>
      <c r="U115" s="68"/>
      <c r="V115" s="69"/>
      <c r="W115" s="70"/>
      <c r="AC115" s="606" t="s">
        <v>271</v>
      </c>
      <c r="AD115" s="606" t="s">
        <v>272</v>
      </c>
      <c r="AE115" s="606" t="s">
        <v>273</v>
      </c>
      <c r="AF115" s="606" t="s">
        <v>274</v>
      </c>
      <c r="AH115" s="606" t="str">
        <f>IF($E$115=0,"",$E$115)</f>
        <v>Тариф на подключение (технологическое присоединение) к централизованной системе горячего водоснабжения</v>
      </c>
      <c r="AI115" s="606" t="str">
        <f>IF($G$115=0,"",$G$115)</f>
        <v/>
      </c>
      <c r="AJ115" s="606" t="str">
        <f>IF($J$115=0,"",$J$115)</f>
        <v/>
      </c>
      <c r="AK115" s="606" t="str">
        <f>IF($K$115="нет","без дифференциации",IF($N$115=0,"",$N$115))</f>
        <v/>
      </c>
      <c r="AL115" s="606" t="str">
        <f>IF($O$115="нет","без дифференциации",IF($R$115=0,"",$R$115))</f>
        <v/>
      </c>
      <c r="AM115" s="606" t="str">
        <f>IF($S$115="нет","без дифференциации",IF($V$115=0,"",$V$115))</f>
        <v/>
      </c>
      <c r="AN115" s="72">
        <f>$I$115</f>
        <v>0</v>
      </c>
      <c r="AO115" s="606" t="str">
        <f>$I$115&amp;"."&amp;$M$115</f>
        <v>.</v>
      </c>
      <c r="AP115" s="600" t="str">
        <f>$I$115&amp;"."&amp;$M$115&amp;"."&amp;$Q$115</f>
        <v>..</v>
      </c>
      <c r="AQ115" s="600" t="str">
        <f>$I$115&amp;"."&amp;$M$115&amp;"."&amp;$Q$115&amp;"."&amp;$U$115</f>
        <v>...</v>
      </c>
      <c r="AR115" s="592">
        <v>0</v>
      </c>
    </row>
    <row r="116" spans="4:44" ht="17.25" hidden="1" customHeight="1">
      <c r="D116" s="1094"/>
      <c r="E116" s="1098"/>
      <c r="F116" s="1101"/>
      <c r="G116" s="1098"/>
      <c r="H116" s="1104"/>
      <c r="I116" s="1031"/>
      <c r="J116" s="1031"/>
      <c r="K116" s="1031"/>
      <c r="L116" s="1031"/>
      <c r="M116" s="1031"/>
      <c r="N116" s="1031"/>
      <c r="O116" s="1031"/>
      <c r="P116" s="1031"/>
      <c r="Q116" s="1031"/>
      <c r="R116" s="1031"/>
      <c r="S116" s="1031"/>
      <c r="W116" s="608"/>
      <c r="AR116" s="592">
        <v>0</v>
      </c>
    </row>
    <row r="117" spans="4:44" ht="17.25" hidden="1" customHeight="1">
      <c r="D117" s="1071"/>
      <c r="E117" s="1099"/>
      <c r="F117" s="1101"/>
      <c r="G117" s="1099"/>
      <c r="H117" s="1104"/>
      <c r="I117" s="1031"/>
      <c r="J117" s="1031"/>
      <c r="K117" s="1031"/>
      <c r="L117" s="1031"/>
      <c r="M117" s="1031"/>
      <c r="N117" s="1031"/>
      <c r="O117" s="1031"/>
      <c r="W117" s="608"/>
      <c r="AR117" s="592">
        <v>0</v>
      </c>
    </row>
    <row r="118" spans="4:44" ht="17.25" hidden="1" customHeight="1">
      <c r="D118" s="1071"/>
      <c r="E118" s="1099"/>
      <c r="F118" s="1101"/>
      <c r="G118" s="1099"/>
      <c r="H118" s="1104"/>
      <c r="I118" s="1031"/>
      <c r="J118" s="1031"/>
      <c r="K118" s="1031"/>
      <c r="W118" s="608"/>
      <c r="AR118" s="592">
        <v>0</v>
      </c>
    </row>
    <row r="119" spans="4:44" ht="17.25" hidden="1" customHeight="1">
      <c r="D119" s="1071"/>
      <c r="E119" s="1099"/>
      <c r="F119" s="1102"/>
      <c r="G119" s="1099"/>
      <c r="H119" s="609"/>
      <c r="I119" s="610"/>
      <c r="J119" s="610"/>
      <c r="K119" s="610"/>
      <c r="L119" s="610"/>
      <c r="M119" s="610"/>
      <c r="N119" s="610"/>
      <c r="O119" s="610"/>
      <c r="P119" s="610"/>
      <c r="Q119" s="610"/>
      <c r="R119" s="610"/>
      <c r="S119" s="611"/>
      <c r="T119" s="611"/>
      <c r="U119" s="611"/>
      <c r="V119" s="611"/>
      <c r="W119" s="612"/>
      <c r="AR119" s="592">
        <v>0</v>
      </c>
    </row>
    <row r="120" spans="4:44" ht="11.25" hidden="1" customHeight="1">
      <c r="AR120" s="592">
        <v>0</v>
      </c>
    </row>
    <row r="121" spans="4:44" ht="17.25" hidden="1" customHeight="1">
      <c r="D121" s="1094">
        <v>1</v>
      </c>
      <c r="E121" s="1098" t="s">
        <v>275</v>
      </c>
      <c r="F121" s="1100" t="s">
        <v>19</v>
      </c>
      <c r="G121" s="1098"/>
      <c r="H121" s="1103"/>
      <c r="I121" s="1105"/>
      <c r="J121" s="1106"/>
      <c r="K121" s="1095"/>
      <c r="L121" s="1095"/>
      <c r="M121" s="1095"/>
      <c r="N121" s="1096"/>
      <c r="O121" s="1095"/>
      <c r="P121" s="1095"/>
      <c r="Q121" s="1095"/>
      <c r="R121" s="1097"/>
      <c r="S121" s="1095"/>
      <c r="T121" s="68"/>
      <c r="U121" s="68"/>
      <c r="V121" s="69"/>
      <c r="W121" s="70"/>
      <c r="AC121" s="606" t="s">
        <v>276</v>
      </c>
      <c r="AD121" s="606" t="s">
        <v>277</v>
      </c>
      <c r="AE121" s="606" t="s">
        <v>278</v>
      </c>
      <c r="AF121" s="606" t="s">
        <v>279</v>
      </c>
      <c r="AH121" s="606" t="str">
        <f>IF($E$121=0,"",$E$121)</f>
        <v>Тариф на водоотведение</v>
      </c>
      <c r="AI121" s="606" t="str">
        <f>IF($G$121=0,"",$G$121)</f>
        <v/>
      </c>
      <c r="AJ121" s="606" t="str">
        <f>IF($J$121=0,"",$J$121)</f>
        <v/>
      </c>
      <c r="AK121" s="606" t="str">
        <f>IF($K$121="нет","без дифференциации",IF($N$121=0,"",$N$121))</f>
        <v/>
      </c>
      <c r="AL121" s="606" t="str">
        <f>IF($O$121="нет","без дифференциации",IF($R$121=0,"",$R$121))</f>
        <v/>
      </c>
      <c r="AM121" s="606" t="str">
        <f>IF($S$121="нет","без дифференциации",IF($V$121=0,"",$V$121))</f>
        <v/>
      </c>
      <c r="AN121" s="606">
        <f>$I$121</f>
        <v>0</v>
      </c>
      <c r="AO121" s="606" t="str">
        <f>$I$121&amp;"."&amp;$M$121</f>
        <v>.</v>
      </c>
      <c r="AP121" s="606" t="str">
        <f>$I$121&amp;"."&amp;$M$121&amp;"."&amp;$Q$121</f>
        <v>..</v>
      </c>
      <c r="AQ121" s="606" t="str">
        <f>$I$121&amp;"."&amp;$M$121&amp;"."&amp;$Q$121&amp;"."&amp;$U$121</f>
        <v>...</v>
      </c>
      <c r="AR121" s="592">
        <v>0</v>
      </c>
    </row>
    <row r="122" spans="4:44" ht="17.25" hidden="1" customHeight="1">
      <c r="D122" s="1094"/>
      <c r="E122" s="1098"/>
      <c r="F122" s="1101"/>
      <c r="G122" s="1098"/>
      <c r="H122" s="1104"/>
      <c r="I122" s="1031"/>
      <c r="J122" s="1031"/>
      <c r="K122" s="1031"/>
      <c r="L122" s="1031"/>
      <c r="M122" s="1031"/>
      <c r="N122" s="1031"/>
      <c r="O122" s="1031"/>
      <c r="P122" s="1031"/>
      <c r="Q122" s="1031"/>
      <c r="R122" s="1031"/>
      <c r="S122" s="1031"/>
      <c r="W122" s="608"/>
      <c r="AR122" s="592">
        <v>0</v>
      </c>
    </row>
    <row r="123" spans="4:44" ht="17.25" hidden="1" customHeight="1">
      <c r="D123" s="1094"/>
      <c r="E123" s="1098"/>
      <c r="F123" s="1101"/>
      <c r="G123" s="1098"/>
      <c r="H123" s="1104"/>
      <c r="I123" s="1031"/>
      <c r="J123" s="1031"/>
      <c r="K123" s="1031"/>
      <c r="L123" s="1031"/>
      <c r="M123" s="1031"/>
      <c r="N123" s="1031"/>
      <c r="O123" s="1031"/>
      <c r="W123" s="608"/>
      <c r="AR123" s="592">
        <v>0</v>
      </c>
    </row>
    <row r="124" spans="4:44" ht="17.25" hidden="1" customHeight="1">
      <c r="D124" s="1094"/>
      <c r="E124" s="1098"/>
      <c r="F124" s="1101"/>
      <c r="G124" s="1098"/>
      <c r="H124" s="1104"/>
      <c r="I124" s="1031"/>
      <c r="J124" s="1031"/>
      <c r="K124" s="1031"/>
      <c r="W124" s="608"/>
      <c r="AR124" s="592">
        <v>0</v>
      </c>
    </row>
    <row r="125" spans="4:44" ht="17.25" hidden="1" customHeight="1">
      <c r="D125" s="1071"/>
      <c r="E125" s="1099"/>
      <c r="F125" s="1102"/>
      <c r="G125" s="1099"/>
      <c r="H125" s="609"/>
      <c r="I125" s="610"/>
      <c r="J125" s="610"/>
      <c r="K125" s="610"/>
      <c r="L125" s="610"/>
      <c r="M125" s="610"/>
      <c r="N125" s="610"/>
      <c r="O125" s="610"/>
      <c r="P125" s="610"/>
      <c r="Q125" s="610"/>
      <c r="R125" s="610"/>
      <c r="S125" s="611"/>
      <c r="T125" s="611"/>
      <c r="U125" s="611"/>
      <c r="V125" s="611"/>
      <c r="W125" s="612"/>
      <c r="AR125" s="592">
        <v>0</v>
      </c>
    </row>
    <row r="126" spans="4:44" ht="17.25" hidden="1" customHeight="1">
      <c r="D126" s="1094">
        <v>2</v>
      </c>
      <c r="E126" s="1098" t="s">
        <v>280</v>
      </c>
      <c r="F126" s="1100" t="s">
        <v>19</v>
      </c>
      <c r="G126" s="1098"/>
      <c r="H126" s="1103"/>
      <c r="I126" s="1105"/>
      <c r="J126" s="1106"/>
      <c r="K126" s="1095"/>
      <c r="L126" s="1095"/>
      <c r="M126" s="1095"/>
      <c r="N126" s="1096"/>
      <c r="O126" s="1095"/>
      <c r="P126" s="1095"/>
      <c r="Q126" s="1095"/>
      <c r="R126" s="1097"/>
      <c r="S126" s="1095"/>
      <c r="T126" s="68"/>
      <c r="U126" s="68"/>
      <c r="V126" s="69"/>
      <c r="W126" s="70"/>
      <c r="AC126" s="606" t="s">
        <v>281</v>
      </c>
      <c r="AD126" s="606" t="s">
        <v>282</v>
      </c>
      <c r="AE126" s="606" t="s">
        <v>283</v>
      </c>
      <c r="AF126" s="606" t="s">
        <v>284</v>
      </c>
      <c r="AH126" s="606" t="str">
        <f>IF($E$126=0,"",$E$126)</f>
        <v>Тариф на транспортировку сточных вод</v>
      </c>
      <c r="AI126" s="606" t="str">
        <f>IF($G$126=0,"",$G$126)</f>
        <v/>
      </c>
      <c r="AJ126" s="606" t="str">
        <f>IF($J$126=0,"",$J$126)</f>
        <v/>
      </c>
      <c r="AK126" s="606" t="str">
        <f>IF($K$126="нет","без дифференциации",IF($N$126=0,"",$N$126))</f>
        <v/>
      </c>
      <c r="AL126" s="606" t="str">
        <f>IF($O$126="нет","без дифференциации",IF($R$126=0,"",$R$126))</f>
        <v/>
      </c>
      <c r="AM126" s="606" t="str">
        <f>IF($S$126="нет","без дифференциации",IF($V$126=0,"",$V$126))</f>
        <v/>
      </c>
      <c r="AN126" s="72">
        <f>$I$126</f>
        <v>0</v>
      </c>
      <c r="AO126" s="606" t="str">
        <f>$I$126&amp;"."&amp;$M$126</f>
        <v>.</v>
      </c>
      <c r="AP126" s="600" t="str">
        <f>$I$126&amp;"."&amp;$M$126&amp;"."&amp;$Q$126</f>
        <v>..</v>
      </c>
      <c r="AQ126" s="600" t="str">
        <f>$I$126&amp;"."&amp;$M$126&amp;"."&amp;$Q$126&amp;"."&amp;$U$126</f>
        <v>...</v>
      </c>
      <c r="AR126" s="592">
        <v>0</v>
      </c>
    </row>
    <row r="127" spans="4:44" ht="17.25" hidden="1" customHeight="1">
      <c r="D127" s="1094"/>
      <c r="E127" s="1098"/>
      <c r="F127" s="1101"/>
      <c r="G127" s="1098"/>
      <c r="H127" s="1104"/>
      <c r="I127" s="1031"/>
      <c r="J127" s="1031"/>
      <c r="K127" s="1031"/>
      <c r="L127" s="1031"/>
      <c r="M127" s="1031"/>
      <c r="N127" s="1031"/>
      <c r="O127" s="1031"/>
      <c r="P127" s="1031"/>
      <c r="Q127" s="1031"/>
      <c r="R127" s="1031"/>
      <c r="S127" s="1031"/>
      <c r="W127" s="608"/>
      <c r="AR127" s="592">
        <v>0</v>
      </c>
    </row>
    <row r="128" spans="4:44" ht="17.25" hidden="1" customHeight="1">
      <c r="D128" s="1071"/>
      <c r="E128" s="1099"/>
      <c r="F128" s="1101"/>
      <c r="G128" s="1099"/>
      <c r="H128" s="1104"/>
      <c r="I128" s="1031"/>
      <c r="J128" s="1031"/>
      <c r="K128" s="1031"/>
      <c r="L128" s="1031"/>
      <c r="M128" s="1031"/>
      <c r="N128" s="1031"/>
      <c r="O128" s="1031"/>
      <c r="W128" s="608"/>
      <c r="AR128" s="592">
        <v>0</v>
      </c>
    </row>
    <row r="129" spans="4:44" ht="17.25" hidden="1" customHeight="1">
      <c r="D129" s="1071"/>
      <c r="E129" s="1099"/>
      <c r="F129" s="1101"/>
      <c r="G129" s="1099"/>
      <c r="H129" s="1104"/>
      <c r="I129" s="1031"/>
      <c r="J129" s="1031"/>
      <c r="K129" s="1031"/>
      <c r="W129" s="608"/>
      <c r="AR129" s="592">
        <v>0</v>
      </c>
    </row>
    <row r="130" spans="4:44" ht="17.25" hidden="1" customHeight="1">
      <c r="D130" s="1071"/>
      <c r="E130" s="1099"/>
      <c r="F130" s="1102"/>
      <c r="G130" s="1099"/>
      <c r="H130" s="609"/>
      <c r="I130" s="610"/>
      <c r="J130" s="610"/>
      <c r="K130" s="610"/>
      <c r="L130" s="610"/>
      <c r="M130" s="610"/>
      <c r="N130" s="610"/>
      <c r="O130" s="610"/>
      <c r="P130" s="610"/>
      <c r="Q130" s="610"/>
      <c r="R130" s="610"/>
      <c r="S130" s="611"/>
      <c r="T130" s="611"/>
      <c r="U130" s="611"/>
      <c r="V130" s="611"/>
      <c r="W130" s="612"/>
      <c r="AR130" s="592">
        <v>0</v>
      </c>
    </row>
    <row r="131" spans="4:44" ht="17.25" hidden="1" customHeight="1">
      <c r="D131" s="1094">
        <v>3</v>
      </c>
      <c r="E131" s="1098" t="s">
        <v>285</v>
      </c>
      <c r="F131" s="1100" t="s">
        <v>19</v>
      </c>
      <c r="G131" s="1098"/>
      <c r="H131" s="1103"/>
      <c r="I131" s="1105"/>
      <c r="J131" s="1106"/>
      <c r="K131" s="1095"/>
      <c r="L131" s="1095"/>
      <c r="M131" s="1095"/>
      <c r="N131" s="1096"/>
      <c r="O131" s="1095"/>
      <c r="P131" s="1095"/>
      <c r="Q131" s="1095"/>
      <c r="R131" s="1097"/>
      <c r="S131" s="1095"/>
      <c r="T131" s="68"/>
      <c r="U131" s="68"/>
      <c r="V131" s="69"/>
      <c r="W131" s="70"/>
      <c r="AC131" s="606" t="s">
        <v>286</v>
      </c>
      <c r="AD131" s="606" t="s">
        <v>287</v>
      </c>
      <c r="AE131" s="606" t="s">
        <v>288</v>
      </c>
      <c r="AF131" s="606" t="s">
        <v>289</v>
      </c>
      <c r="AH131" s="606" t="str">
        <f>IF($E$131=0,"",$E$131)</f>
        <v>Тариф на подключение (технологическое присоединение) к централизованной системе водоотведения</v>
      </c>
      <c r="AI131" s="606" t="str">
        <f>IF($G$131=0,"",$G$131)</f>
        <v/>
      </c>
      <c r="AJ131" s="606" t="str">
        <f>IF($J$131=0,"",$J$131)</f>
        <v/>
      </c>
      <c r="AK131" s="606" t="str">
        <f>IF($K$131="нет","без дифференциации",IF($N$131=0,"",$N$131))</f>
        <v/>
      </c>
      <c r="AL131" s="606" t="str">
        <f>IF($O$131="нет","без дифференциации",IF($R$131=0,"",$R$131))</f>
        <v/>
      </c>
      <c r="AM131" s="606" t="str">
        <f>IF($S$131="нет","без дифференциации",IF($V$131=0,"",$V$131))</f>
        <v/>
      </c>
      <c r="AN131" s="72">
        <f>$I$131</f>
        <v>0</v>
      </c>
      <c r="AO131" s="606" t="str">
        <f>$I$131&amp;"."&amp;$M$131</f>
        <v>.</v>
      </c>
      <c r="AP131" s="600" t="str">
        <f>$I$131&amp;"."&amp;$M$131&amp;"."&amp;$Q$131</f>
        <v>..</v>
      </c>
      <c r="AQ131" s="600" t="str">
        <f>$I$131&amp;"."&amp;$M$131&amp;"."&amp;$Q$131&amp;"."&amp;$U$131</f>
        <v>...</v>
      </c>
      <c r="AR131" s="592">
        <v>0</v>
      </c>
    </row>
    <row r="132" spans="4:44" ht="17.25" hidden="1" customHeight="1">
      <c r="D132" s="1094"/>
      <c r="E132" s="1098"/>
      <c r="F132" s="1101"/>
      <c r="G132" s="1098"/>
      <c r="H132" s="1104"/>
      <c r="I132" s="1031"/>
      <c r="J132" s="1031"/>
      <c r="K132" s="1031"/>
      <c r="L132" s="1031"/>
      <c r="M132" s="1031"/>
      <c r="N132" s="1031"/>
      <c r="O132" s="1031"/>
      <c r="P132" s="1031"/>
      <c r="Q132" s="1031"/>
      <c r="R132" s="1031"/>
      <c r="S132" s="1031"/>
      <c r="W132" s="608"/>
      <c r="AR132" s="592">
        <v>0</v>
      </c>
    </row>
    <row r="133" spans="4:44" ht="17.25" hidden="1" customHeight="1">
      <c r="D133" s="1071"/>
      <c r="E133" s="1099"/>
      <c r="F133" s="1101"/>
      <c r="G133" s="1099"/>
      <c r="H133" s="1104"/>
      <c r="I133" s="1031"/>
      <c r="J133" s="1031"/>
      <c r="K133" s="1031"/>
      <c r="L133" s="1031"/>
      <c r="M133" s="1031"/>
      <c r="N133" s="1031"/>
      <c r="O133" s="1031"/>
      <c r="W133" s="608"/>
      <c r="AR133" s="592">
        <v>0</v>
      </c>
    </row>
    <row r="134" spans="4:44" ht="17.25" hidden="1" customHeight="1">
      <c r="D134" s="1071"/>
      <c r="E134" s="1099"/>
      <c r="F134" s="1101"/>
      <c r="G134" s="1099"/>
      <c r="H134" s="1104"/>
      <c r="I134" s="1031"/>
      <c r="J134" s="1031"/>
      <c r="K134" s="1031"/>
      <c r="W134" s="608"/>
      <c r="AR134" s="592">
        <v>0</v>
      </c>
    </row>
    <row r="135" spans="4:44" ht="17.25" hidden="1" customHeight="1">
      <c r="D135" s="1071"/>
      <c r="E135" s="1099"/>
      <c r="F135" s="1102"/>
      <c r="G135" s="1099"/>
      <c r="H135" s="609"/>
      <c r="I135" s="610"/>
      <c r="J135" s="610"/>
      <c r="K135" s="610"/>
      <c r="L135" s="610"/>
      <c r="M135" s="610"/>
      <c r="N135" s="610"/>
      <c r="O135" s="610"/>
      <c r="P135" s="610"/>
      <c r="Q135" s="610"/>
      <c r="R135" s="610"/>
      <c r="S135" s="611"/>
      <c r="T135" s="611"/>
      <c r="U135" s="611"/>
      <c r="V135" s="611"/>
      <c r="W135" s="612"/>
      <c r="AR135" s="592">
        <v>0</v>
      </c>
    </row>
    <row r="136" spans="4:44" ht="11.45" customHeight="1">
      <c r="AR136" s="592">
        <v>11</v>
      </c>
    </row>
    <row r="137" spans="4:44" ht="11.45" customHeight="1">
      <c r="AR137" s="592">
        <v>11</v>
      </c>
    </row>
    <row r="138" spans="4:44" ht="11.45" customHeight="1">
      <c r="AR138" s="592">
        <v>11</v>
      </c>
    </row>
    <row r="139" spans="4:44" ht="11.45" customHeight="1">
      <c r="AR139" s="592">
        <v>11</v>
      </c>
    </row>
    <row r="140" spans="4:44" ht="11.45" customHeight="1">
      <c r="AR140" s="592">
        <v>11</v>
      </c>
    </row>
    <row r="141" spans="4:44" ht="11.45" customHeight="1">
      <c r="AR141" s="592">
        <v>11</v>
      </c>
    </row>
    <row r="142" spans="4:44" ht="11.45" customHeight="1">
      <c r="AR142" s="592">
        <v>11</v>
      </c>
    </row>
    <row r="143" spans="4:44" ht="11.45" customHeight="1">
      <c r="AR143" s="592">
        <v>11</v>
      </c>
    </row>
    <row r="144" spans="4:44" ht="11.45" customHeight="1">
      <c r="AR144" s="592">
        <v>11</v>
      </c>
    </row>
    <row r="145" spans="1:44" ht="11.45" customHeight="1">
      <c r="AR145" s="592">
        <v>11</v>
      </c>
    </row>
    <row r="146" spans="1:44" ht="11.25" hidden="1" customHeight="1">
      <c r="A146" s="582" t="s">
        <v>81</v>
      </c>
      <c r="B146" s="582">
        <v>0</v>
      </c>
      <c r="C146" s="592">
        <v>3</v>
      </c>
      <c r="D146" s="592">
        <v>6</v>
      </c>
      <c r="E146" s="592">
        <v>42</v>
      </c>
      <c r="F146" s="592">
        <v>14</v>
      </c>
      <c r="G146" s="592">
        <v>42</v>
      </c>
      <c r="H146" s="592">
        <v>3</v>
      </c>
      <c r="I146" s="592">
        <v>5</v>
      </c>
      <c r="J146" s="592">
        <v>47</v>
      </c>
      <c r="K146" s="592">
        <v>3</v>
      </c>
      <c r="L146" s="592">
        <v>3</v>
      </c>
      <c r="M146" s="592">
        <v>5</v>
      </c>
      <c r="N146" s="592">
        <v>28</v>
      </c>
      <c r="O146" s="592">
        <v>3</v>
      </c>
      <c r="P146" s="592">
        <v>3</v>
      </c>
      <c r="Q146" s="592">
        <v>5</v>
      </c>
      <c r="R146" s="592">
        <v>34</v>
      </c>
      <c r="S146" s="592">
        <v>0</v>
      </c>
      <c r="T146" s="592">
        <v>0</v>
      </c>
      <c r="U146" s="592">
        <v>0</v>
      </c>
      <c r="V146" s="592">
        <v>0</v>
      </c>
      <c r="W146" s="592">
        <v>30</v>
      </c>
      <c r="X146" s="592">
        <v>3</v>
      </c>
      <c r="Y146" s="600">
        <v>0</v>
      </c>
      <c r="Z146" s="600">
        <v>0</v>
      </c>
      <c r="AA146" s="600">
        <v>0</v>
      </c>
      <c r="AB146" s="600">
        <v>0</v>
      </c>
      <c r="AC146" s="600">
        <v>0</v>
      </c>
      <c r="AD146" s="600">
        <v>0</v>
      </c>
      <c r="AE146" s="600">
        <v>0</v>
      </c>
      <c r="AF146" s="600">
        <v>0</v>
      </c>
      <c r="AG146" s="600">
        <v>0</v>
      </c>
      <c r="AH146" s="600">
        <v>0</v>
      </c>
      <c r="AI146" s="600">
        <v>0</v>
      </c>
      <c r="AJ146" s="600">
        <v>0</v>
      </c>
      <c r="AK146" s="600">
        <v>0</v>
      </c>
      <c r="AL146" s="600">
        <v>0</v>
      </c>
      <c r="AM146" s="600">
        <v>0</v>
      </c>
      <c r="AN146" s="600">
        <v>0</v>
      </c>
      <c r="AO146" s="600">
        <v>0</v>
      </c>
      <c r="AP146" s="600">
        <v>0</v>
      </c>
      <c r="AQ146" s="600">
        <v>0</v>
      </c>
      <c r="AR146" s="592">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B30"/>
  <sheetViews>
    <sheetView showGridLines="0" zoomScale="90" workbookViewId="0">
      <pane xSplit="8" ySplit="18" topLeftCell="Q19" activePane="bottomRight" state="frozen"/>
      <selection pane="topRight" activeCell="I1" sqref="I1"/>
      <selection pane="bottomLeft" activeCell="A19" sqref="A19"/>
      <selection pane="bottomRight" activeCell="Q8" sqref="Q8"/>
    </sheetView>
  </sheetViews>
  <sheetFormatPr defaultColWidth="10.5703125" defaultRowHeight="15" customHeight="1"/>
  <cols>
    <col min="1" max="2" width="9.140625" style="1029" hidden="1" customWidth="1"/>
    <col min="3" max="3" width="4" style="1029" customWidth="1"/>
    <col min="4" max="4" width="6" style="1029" customWidth="1"/>
    <col min="5" max="5" width="47" style="1029" customWidth="1"/>
    <col min="6" max="6" width="9" style="1029" customWidth="1"/>
    <col min="7" max="7" width="25.7109375" style="1029" hidden="1" customWidth="1"/>
    <col min="8" max="8" width="34" style="1029" hidden="1" customWidth="1"/>
    <col min="9" max="9" width="25.7109375" style="1029" customWidth="1"/>
    <col min="10" max="10" width="33" style="1029" customWidth="1"/>
    <col min="11" max="11" width="25.7109375" style="1029" customWidth="1"/>
    <col min="12" max="12" width="34" style="1029" customWidth="1"/>
    <col min="13" max="13" width="25.7109375" style="1029" customWidth="1"/>
    <col min="14" max="14" width="34" style="1029" customWidth="1"/>
    <col min="15" max="15" width="25.7109375" style="1029" customWidth="1"/>
    <col min="16" max="16" width="34" style="1029" customWidth="1"/>
    <col min="17" max="17" width="50" style="1029" customWidth="1"/>
    <col min="18" max="27" width="10" style="1029" customWidth="1"/>
    <col min="28" max="28" width="10.5703125" style="1029" hidden="1"/>
  </cols>
  <sheetData>
    <row r="1" spans="4:28" ht="22.5" hidden="1" customHeight="1">
      <c r="G1" s="555">
        <v>4</v>
      </c>
      <c r="I1" s="555">
        <v>4</v>
      </c>
      <c r="K1" s="9">
        <v>4</v>
      </c>
      <c r="L1"/>
      <c r="M1" s="9">
        <v>4</v>
      </c>
      <c r="N1"/>
      <c r="O1" s="9">
        <v>4</v>
      </c>
      <c r="P1"/>
      <c r="AB1" s="555" t="s">
        <v>14</v>
      </c>
    </row>
    <row r="2" spans="4:28" ht="15" hidden="1" customHeight="1">
      <c r="K2"/>
      <c r="L2"/>
      <c r="M2"/>
      <c r="N2"/>
      <c r="O2"/>
      <c r="P2"/>
      <c r="AB2" s="538">
        <v>0</v>
      </c>
    </row>
    <row r="3" spans="4:28" ht="15" hidden="1" customHeight="1">
      <c r="K3"/>
      <c r="L3"/>
      <c r="M3"/>
      <c r="N3"/>
      <c r="O3"/>
      <c r="P3"/>
      <c r="AB3" s="555">
        <v>0</v>
      </c>
    </row>
    <row r="4" spans="4:28" ht="15.75" customHeight="1">
      <c r="K4"/>
      <c r="L4"/>
      <c r="M4"/>
      <c r="N4"/>
      <c r="O4"/>
      <c r="P4"/>
      <c r="AB4" s="538">
        <v>15</v>
      </c>
    </row>
    <row r="5" spans="4:28" ht="66" customHeight="1">
      <c r="D5" s="1178" t="s">
        <v>1332</v>
      </c>
      <c r="E5" s="1178"/>
      <c r="F5" s="1178"/>
      <c r="G5" s="1178"/>
      <c r="H5" s="1178"/>
      <c r="I5" s="1178"/>
      <c r="J5" s="1178"/>
      <c r="K5" s="125"/>
      <c r="L5" s="125"/>
      <c r="M5" s="125"/>
      <c r="N5" s="125"/>
      <c r="O5" s="125"/>
      <c r="P5" s="125"/>
      <c r="AB5" s="538">
        <v>63</v>
      </c>
    </row>
    <row r="6" spans="4:28" ht="15.75" customHeight="1">
      <c r="D6" s="1127" t="str">
        <f>IF(org=0,"Не определено",org)</f>
        <v>АО "НИЖЕГОРОДСКИЙ ВОДОКАНАЛ"</v>
      </c>
      <c r="E6" s="1127"/>
      <c r="F6" s="1127"/>
      <c r="G6" s="1127"/>
      <c r="H6" s="1127"/>
      <c r="I6" s="1127"/>
      <c r="J6" s="1127"/>
      <c r="K6" s="77"/>
      <c r="L6" s="77"/>
      <c r="M6" s="77"/>
      <c r="N6" s="77"/>
      <c r="O6" s="77"/>
      <c r="P6" s="77"/>
      <c r="AB6" s="538">
        <v>15</v>
      </c>
    </row>
    <row r="7" spans="4:28" ht="15.75" customHeight="1">
      <c r="D7" s="629"/>
      <c r="G7" s="555">
        <v>22</v>
      </c>
      <c r="I7" s="555">
        <v>1</v>
      </c>
      <c r="J7" s="629"/>
      <c r="K7" s="9" t="s">
        <v>22</v>
      </c>
      <c r="L7"/>
      <c r="M7" s="9" t="s">
        <v>22</v>
      </c>
      <c r="N7"/>
      <c r="O7" s="9" t="s">
        <v>22</v>
      </c>
      <c r="P7"/>
      <c r="AB7" s="538">
        <v>15</v>
      </c>
    </row>
    <row r="8" spans="4:28" ht="1.1499999999999999" customHeight="1">
      <c r="H8" s="629"/>
      <c r="I8" s="555" t="s">
        <v>122</v>
      </c>
      <c r="J8" s="629"/>
      <c r="K8" t="s">
        <v>130</v>
      </c>
      <c r="L8" s="90"/>
      <c r="M8" t="s">
        <v>132</v>
      </c>
      <c r="N8" s="90"/>
      <c r="O8" t="s">
        <v>127</v>
      </c>
      <c r="P8" s="90"/>
      <c r="AB8" s="538">
        <v>1</v>
      </c>
    </row>
    <row r="9" spans="4:28" ht="15.75" customHeight="1">
      <c r="D9" s="897"/>
      <c r="E9" s="1275" t="s">
        <v>110</v>
      </c>
      <c r="F9" s="1276"/>
      <c r="G9" s="1302" t="str">
        <f>IF(G8="","",INDEX(DIFFERENTIATION_UNMERGE_VD,MATCH(G8,DIFFERENTIATION_ID_DIFF,0)))</f>
        <v/>
      </c>
      <c r="H9" s="1303"/>
      <c r="I9" s="1302" t="str">
        <f>IF(I8="","",INDEX(DIFFERENTIATION_UNMERGE_VD,MATCH(I8,DIFFERENTIATION_ID_DIFF,0)))</f>
        <v>Холодное водоснабжение. Питьевая вода</v>
      </c>
      <c r="J9" s="1303"/>
      <c r="K9" s="1302" t="str">
        <f>IF(K8="","",INDEX(DIFFERENTIATION_UNMERGE_VD,MATCH(K8,DIFFERENTIATION_ID_DIFF,0)))</f>
        <v>Холодное водоснабжение. Техническая вода</v>
      </c>
      <c r="L9" s="1303"/>
      <c r="M9" s="1302" t="str">
        <f>IF(M8="","",INDEX(DIFFERENTIATION_UNMERGE_VD,MATCH(M8,DIFFERENTIATION_ID_DIFF,0)))</f>
        <v>Подключение (технологическое присоединение) к централизованной системе водоснабжения</v>
      </c>
      <c r="N9" s="1303"/>
      <c r="O9" s="1302" t="str">
        <f>IF(O8="","",INDEX(DIFFERENTIATION_UNMERGE_VD,MATCH(O8,DIFFERENTIATION_ID_DIFF,0)))</f>
        <v>Холодное водоснабжение. Питьевая вода</v>
      </c>
      <c r="P9" s="1303"/>
      <c r="Q9" s="1126" t="s">
        <v>312</v>
      </c>
      <c r="AB9" s="538">
        <v>15</v>
      </c>
    </row>
    <row r="10" spans="4:28" ht="15.75" customHeight="1">
      <c r="D10" s="897"/>
      <c r="E10" s="1275" t="s">
        <v>575</v>
      </c>
      <c r="F10" s="1276"/>
      <c r="G10" s="1302" t="str">
        <f>IF(G8="","",INDEX(DIFFERENTIATION_UNMERGE_AREA,MATCH(G8,DIFFERENTIATION_ID_DIFF,0)))</f>
        <v/>
      </c>
      <c r="H10" s="1303"/>
      <c r="I10" s="1302" t="str">
        <f>IF(I8="","",INDEX(DIFFERENTIATION_UNMERGE_AREA,MATCH(I8,DIFFERENTIATION_ID_DIFF,0)))</f>
        <v>Территория 1</v>
      </c>
      <c r="J10" s="1303"/>
      <c r="K10" s="1302" t="str">
        <f>IF(K8="","",INDEX(DIFFERENTIATION_UNMERGE_AREA,MATCH(K8,DIFFERENTIATION_ID_DIFF,0)))</f>
        <v>Территория 1</v>
      </c>
      <c r="L10" s="1303"/>
      <c r="M10" s="1302" t="str">
        <f>IF(M8="","",INDEX(DIFFERENTIATION_UNMERGE_AREA,MATCH(M8,DIFFERENTIATION_ID_DIFF,0)))</f>
        <v>без дифференциации</v>
      </c>
      <c r="N10" s="1303"/>
      <c r="O10" s="1302" t="str">
        <f>IF(O8="","",INDEX(DIFFERENTIATION_UNMERGE_AREA,MATCH(O8,DIFFERENTIATION_ID_DIFF,0)))</f>
        <v>Территория 2</v>
      </c>
      <c r="P10" s="1303"/>
      <c r="Q10" s="1145"/>
      <c r="AB10" s="538">
        <v>15</v>
      </c>
    </row>
    <row r="11" spans="4:28" ht="15.75" customHeight="1">
      <c r="D11" s="897"/>
      <c r="E11" s="1275" t="s">
        <v>576</v>
      </c>
      <c r="F11" s="1276"/>
      <c r="G11" s="1302" t="str">
        <f>IF(G8="","",INDEX(DIFFERENTIATION_UNMERGE_SYSTEM,MATCH(G8,DIFFERENTIATION_ID_DIFF,0)))</f>
        <v/>
      </c>
      <c r="H11" s="1303"/>
      <c r="I11" s="1302" t="str">
        <f>IF(I8="","",INDEX(DIFFERENTIATION_UNMERGE_SYSTEM,MATCH(I8,DIFFERENTIATION_ID_DIFF,0)))</f>
        <v>Централизованная система водоснабжения города Нижнего Новгорода (1)</v>
      </c>
      <c r="J11" s="1303"/>
      <c r="K11" s="1302" t="str">
        <f>IF(K8="","",INDEX(DIFFERENTIATION_UNMERGE_SYSTEM,MATCH(K8,DIFFERENTIATION_ID_DIFF,0)))</f>
        <v>Централизованная система водоснабжения города Нижнего Новгорода (2)</v>
      </c>
      <c r="L11" s="1303"/>
      <c r="M11" s="1302" t="str">
        <f>IF(M8="","",INDEX(DIFFERENTIATION_UNMERGE_SYSTEM,MATCH(M8,DIFFERENTIATION_ID_DIFF,0)))</f>
        <v>без дифференциации</v>
      </c>
      <c r="N11" s="1303"/>
      <c r="O11" s="1302" t="str">
        <f>IF(O8="","",INDEX(DIFFERENTIATION_UNMERGE_SYSTEM,MATCH(O8,DIFFERENTIATION_ID_DIFF,0)))</f>
        <v>Централизованная система водоснабжения Кстовского муниципального района</v>
      </c>
      <c r="P11" s="1303"/>
      <c r="Q11" s="1145"/>
      <c r="AB11" s="538">
        <v>15</v>
      </c>
    </row>
    <row r="12" spans="4:28" ht="15.75" customHeight="1">
      <c r="D12" s="1277" t="s">
        <v>311</v>
      </c>
      <c r="E12" s="1278"/>
      <c r="F12" s="1278"/>
      <c r="G12" s="898"/>
      <c r="H12" s="898"/>
      <c r="I12" s="898"/>
      <c r="J12" s="898"/>
      <c r="K12" s="380"/>
      <c r="L12" s="380"/>
      <c r="M12" s="380"/>
      <c r="N12" s="380"/>
      <c r="O12" s="380"/>
      <c r="P12" s="380"/>
      <c r="Q12" s="1145"/>
      <c r="AB12" s="538">
        <v>15</v>
      </c>
    </row>
    <row r="13" spans="4:28" ht="35.65" customHeight="1">
      <c r="D13" s="583" t="s">
        <v>87</v>
      </c>
      <c r="E13" s="583" t="s">
        <v>313</v>
      </c>
      <c r="F13" s="583" t="s">
        <v>577</v>
      </c>
      <c r="G13" s="543" t="s">
        <v>314</v>
      </c>
      <c r="H13" s="583" t="s">
        <v>401</v>
      </c>
      <c r="I13" s="543" t="s">
        <v>314</v>
      </c>
      <c r="J13" s="583" t="s">
        <v>401</v>
      </c>
      <c r="K13" s="5" t="s">
        <v>314</v>
      </c>
      <c r="L13" s="35" t="s">
        <v>401</v>
      </c>
      <c r="M13" s="5" t="s">
        <v>314</v>
      </c>
      <c r="N13" s="35" t="s">
        <v>401</v>
      </c>
      <c r="O13" s="5" t="s">
        <v>314</v>
      </c>
      <c r="P13" s="35" t="s">
        <v>401</v>
      </c>
      <c r="Q13" s="1173"/>
      <c r="AB13" s="538">
        <v>34</v>
      </c>
    </row>
    <row r="14" spans="4:28" ht="15" hidden="1" customHeight="1">
      <c r="D14" s="382" t="s">
        <v>114</v>
      </c>
      <c r="E14" s="382" t="s">
        <v>102</v>
      </c>
      <c r="F14" s="382" t="s">
        <v>89</v>
      </c>
      <c r="G14" s="731" t="str">
        <f>G1&amp;".1"</f>
        <v>4.1</v>
      </c>
      <c r="I14" s="731" t="str">
        <f>I1&amp;".1"</f>
        <v>4.1</v>
      </c>
      <c r="K14" s="181" t="str">
        <f>K1&amp;".1"</f>
        <v>4.1</v>
      </c>
      <c r="L14"/>
      <c r="M14" s="181" t="str">
        <f>M1&amp;".1"</f>
        <v>4.1</v>
      </c>
      <c r="N14"/>
      <c r="O14" s="181" t="str">
        <f>O1&amp;".1"</f>
        <v>4.1</v>
      </c>
      <c r="P14"/>
      <c r="Q14" s="795"/>
      <c r="AB14" s="538">
        <v>0</v>
      </c>
    </row>
    <row r="15" spans="4:28" ht="22.5" hidden="1" customHeight="1">
      <c r="D15" s="583">
        <v>1</v>
      </c>
      <c r="E15" s="619" t="s">
        <v>829</v>
      </c>
      <c r="F15" s="583" t="s">
        <v>830</v>
      </c>
      <c r="G15" s="383"/>
      <c r="H15" s="383"/>
      <c r="I15" s="383"/>
      <c r="J15" s="383"/>
      <c r="K15" s="383"/>
      <c r="L15" s="383"/>
      <c r="M15" s="383"/>
      <c r="N15" s="383"/>
      <c r="O15" s="383"/>
      <c r="P15" s="383"/>
      <c r="Q15" s="795" t="s">
        <v>831</v>
      </c>
      <c r="AB15" s="538">
        <v>0</v>
      </c>
    </row>
    <row r="16" spans="4:28" ht="22.5" hidden="1" customHeight="1">
      <c r="D16" s="583">
        <v>2</v>
      </c>
      <c r="E16" s="619" t="s">
        <v>832</v>
      </c>
      <c r="F16" s="583" t="s">
        <v>833</v>
      </c>
      <c r="G16" s="383"/>
      <c r="H16" s="383"/>
      <c r="I16" s="383"/>
      <c r="J16" s="383"/>
      <c r="K16" s="383"/>
      <c r="L16" s="383"/>
      <c r="M16" s="383"/>
      <c r="N16" s="383"/>
      <c r="O16" s="383"/>
      <c r="P16" s="383"/>
      <c r="Q16" s="795" t="s">
        <v>834</v>
      </c>
      <c r="AB16" s="538">
        <v>0</v>
      </c>
    </row>
    <row r="17" spans="1:28" ht="123.75" hidden="1" customHeight="1">
      <c r="D17" s="583">
        <v>3</v>
      </c>
      <c r="E17" s="619" t="s">
        <v>1333</v>
      </c>
      <c r="F17" s="583" t="s">
        <v>317</v>
      </c>
      <c r="G17" s="383"/>
      <c r="H17" s="383"/>
      <c r="I17" s="383"/>
      <c r="J17" s="383"/>
      <c r="K17" s="383"/>
      <c r="L17" s="383"/>
      <c r="M17" s="383"/>
      <c r="N17" s="383"/>
      <c r="O17" s="383"/>
      <c r="P17" s="383"/>
      <c r="Q17" s="795" t="s">
        <v>1334</v>
      </c>
      <c r="AB17" s="538">
        <v>0</v>
      </c>
    </row>
    <row r="18" spans="1:28" ht="48.2" customHeight="1">
      <c r="D18" s="583">
        <v>3</v>
      </c>
      <c r="E18" s="619" t="s">
        <v>835</v>
      </c>
      <c r="F18" s="583" t="s">
        <v>317</v>
      </c>
      <c r="G18" s="583" t="s">
        <v>317</v>
      </c>
      <c r="H18" s="617" t="s">
        <v>317</v>
      </c>
      <c r="I18" s="583" t="s">
        <v>317</v>
      </c>
      <c r="J18" s="617" t="s">
        <v>317</v>
      </c>
      <c r="K18" s="35" t="s">
        <v>317</v>
      </c>
      <c r="L18" s="78" t="s">
        <v>317</v>
      </c>
      <c r="M18" s="35" t="s">
        <v>317</v>
      </c>
      <c r="N18" s="78" t="s">
        <v>317</v>
      </c>
      <c r="O18" s="35" t="s">
        <v>317</v>
      </c>
      <c r="P18" s="78" t="s">
        <v>317</v>
      </c>
      <c r="Q18" s="795" t="s">
        <v>1335</v>
      </c>
      <c r="AB18" s="538">
        <v>46</v>
      </c>
    </row>
    <row r="19" spans="1:28" ht="35.65" customHeight="1">
      <c r="D19" s="55" t="s">
        <v>335</v>
      </c>
      <c r="E19" s="888" t="s">
        <v>837</v>
      </c>
      <c r="F19" s="583" t="s">
        <v>838</v>
      </c>
      <c r="G19" s="384"/>
      <c r="H19" s="106"/>
      <c r="I19" s="384"/>
      <c r="J19" s="307"/>
      <c r="K19" s="384"/>
      <c r="L19" s="106"/>
      <c r="M19" s="384"/>
      <c r="N19" s="106"/>
      <c r="O19" s="384"/>
      <c r="P19" s="106"/>
      <c r="Q19" s="901"/>
      <c r="AB19" s="538">
        <v>34</v>
      </c>
    </row>
    <row r="20" spans="1:28" ht="35.65" customHeight="1">
      <c r="D20" s="55" t="s">
        <v>343</v>
      </c>
      <c r="E20" s="888" t="s">
        <v>839</v>
      </c>
      <c r="F20" s="583" t="s">
        <v>840</v>
      </c>
      <c r="G20" s="384"/>
      <c r="H20" s="106"/>
      <c r="I20" s="384"/>
      <c r="J20" s="106"/>
      <c r="K20" s="384"/>
      <c r="L20" s="106"/>
      <c r="M20" s="384"/>
      <c r="N20" s="106"/>
      <c r="O20" s="384"/>
      <c r="P20" s="106"/>
      <c r="Q20" s="901"/>
      <c r="AB20" s="538">
        <v>34</v>
      </c>
    </row>
    <row r="21" spans="1:28" ht="48.2" customHeight="1">
      <c r="D21" s="55" t="s">
        <v>345</v>
      </c>
      <c r="E21" s="888" t="s">
        <v>841</v>
      </c>
      <c r="F21" s="583" t="s">
        <v>582</v>
      </c>
      <c r="G21" s="385"/>
      <c r="H21" s="106"/>
      <c r="I21" s="385"/>
      <c r="J21" s="106"/>
      <c r="K21" s="385"/>
      <c r="L21" s="106"/>
      <c r="M21" s="385"/>
      <c r="N21" s="106"/>
      <c r="O21" s="385"/>
      <c r="P21" s="106"/>
      <c r="Q21" s="901"/>
      <c r="AB21" s="538">
        <v>46</v>
      </c>
    </row>
    <row r="22" spans="1:28" ht="67.5" hidden="1" customHeight="1">
      <c r="D22" s="583">
        <v>5</v>
      </c>
      <c r="E22" s="619" t="s">
        <v>1336</v>
      </c>
      <c r="F22" s="583" t="s">
        <v>569</v>
      </c>
      <c r="G22" s="386"/>
      <c r="H22" s="387"/>
      <c r="I22" s="386"/>
      <c r="J22" s="387"/>
      <c r="K22" s="386"/>
      <c r="L22" s="387"/>
      <c r="M22" s="386"/>
      <c r="N22" s="387"/>
      <c r="O22" s="386"/>
      <c r="P22" s="387"/>
      <c r="Q22" s="795" t="s">
        <v>1337</v>
      </c>
      <c r="AB22" s="538">
        <v>0</v>
      </c>
    </row>
    <row r="23" spans="1:28" ht="33.75" hidden="1" customHeight="1">
      <c r="D23" s="583">
        <v>6</v>
      </c>
      <c r="E23" s="619" t="s">
        <v>1338</v>
      </c>
      <c r="F23" s="583" t="s">
        <v>1339</v>
      </c>
      <c r="G23" s="386"/>
      <c r="H23" s="386"/>
      <c r="I23" s="386"/>
      <c r="J23" s="386"/>
      <c r="K23" s="386"/>
      <c r="L23" s="386"/>
      <c r="M23" s="386"/>
      <c r="N23" s="386"/>
      <c r="O23" s="386"/>
      <c r="P23" s="386"/>
      <c r="Q23" s="795" t="s">
        <v>1340</v>
      </c>
      <c r="AB23" s="538">
        <v>0</v>
      </c>
    </row>
    <row r="24" spans="1:28" ht="15.75" customHeight="1">
      <c r="K24"/>
      <c r="L24"/>
      <c r="M24"/>
      <c r="N24"/>
      <c r="O24"/>
      <c r="P24"/>
      <c r="AB24" s="538">
        <v>15</v>
      </c>
    </row>
    <row r="25" spans="1:28" ht="15.75" customHeight="1">
      <c r="K25"/>
      <c r="L25"/>
      <c r="M25"/>
      <c r="N25"/>
      <c r="O25"/>
      <c r="P25"/>
      <c r="AB25" s="538">
        <v>15</v>
      </c>
    </row>
    <row r="26" spans="1:28" ht="15.75" customHeight="1">
      <c r="K26"/>
      <c r="L26"/>
      <c r="M26"/>
      <c r="N26"/>
      <c r="O26"/>
      <c r="P26"/>
      <c r="AB26" s="538">
        <v>15</v>
      </c>
    </row>
    <row r="27" spans="1:28" ht="15.75" customHeight="1">
      <c r="K27"/>
      <c r="L27"/>
      <c r="M27"/>
      <c r="N27"/>
      <c r="O27"/>
      <c r="P27"/>
      <c r="AB27" s="538">
        <v>15</v>
      </c>
    </row>
    <row r="28" spans="1:28" ht="15.75" customHeight="1">
      <c r="K28"/>
      <c r="L28"/>
      <c r="M28"/>
      <c r="N28"/>
      <c r="O28"/>
      <c r="P28"/>
      <c r="AB28" s="538">
        <v>15</v>
      </c>
    </row>
    <row r="29" spans="1:28" ht="15.75" customHeight="1">
      <c r="AB29" s="538">
        <v>15</v>
      </c>
    </row>
    <row r="30" spans="1:28" ht="22.5" hidden="1" customHeight="1">
      <c r="A30" s="536" t="s">
        <v>81</v>
      </c>
      <c r="B30" s="538">
        <v>0</v>
      </c>
      <c r="C30" s="731">
        <v>4</v>
      </c>
      <c r="D30" s="538">
        <v>6</v>
      </c>
      <c r="E30" s="538">
        <v>47</v>
      </c>
      <c r="F30" s="538">
        <v>9</v>
      </c>
      <c r="G30" s="538">
        <v>0</v>
      </c>
      <c r="H30" s="538">
        <v>0</v>
      </c>
      <c r="I30" s="538">
        <v>25</v>
      </c>
      <c r="J30" s="538">
        <v>33</v>
      </c>
      <c r="K30" s="3">
        <v>0</v>
      </c>
      <c r="L30" s="3">
        <v>0</v>
      </c>
      <c r="M30" s="3">
        <v>0</v>
      </c>
      <c r="N30" s="3">
        <v>0</v>
      </c>
      <c r="O30" s="3">
        <v>0</v>
      </c>
      <c r="P30" s="3">
        <v>0</v>
      </c>
      <c r="Q30" s="555">
        <v>50</v>
      </c>
      <c r="R30" s="538">
        <v>10</v>
      </c>
      <c r="S30" s="538">
        <v>10</v>
      </c>
      <c r="T30" s="538">
        <v>10</v>
      </c>
      <c r="U30" s="538">
        <v>10</v>
      </c>
      <c r="V30" s="538">
        <v>10</v>
      </c>
      <c r="W30" s="538">
        <v>10</v>
      </c>
      <c r="X30" s="538">
        <v>10</v>
      </c>
      <c r="Y30" s="538">
        <v>10</v>
      </c>
      <c r="Z30" s="538">
        <v>10</v>
      </c>
      <c r="AA30" s="902">
        <v>10</v>
      </c>
      <c r="AB30" s="538">
        <v>23</v>
      </c>
    </row>
  </sheetData>
  <sheetProtection formatColumns="0" formatRows="0" insertRows="0" deleteColumns="0" deleteRows="0" sort="0" autoFilter="0"/>
  <mergeCells count="22">
    <mergeCell ref="D5:J5"/>
    <mergeCell ref="D6:J6"/>
    <mergeCell ref="Q9:Q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s>
  <dataValidations count="4">
    <dataValidation type="decimal" allowBlank="1" showErrorMessage="1" errorTitle="Ошибка" error="Допускается ввод только неотрицательных чисел!" sqref="G21 I21 K21 M21 O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029" customWidth="1"/>
    <col min="2" max="2" width="11" style="1029" customWidth="1"/>
    <col min="4" max="4" width="26.5703125" style="1029" customWidth="1"/>
    <col min="5" max="5" width="36.85546875" style="1029" customWidth="1"/>
    <col min="6" max="6" width="23.5703125" style="1029" customWidth="1"/>
    <col min="7" max="7" width="31.42578125" style="1029" customWidth="1"/>
    <col min="8" max="8" width="40.85546875" style="1029" customWidth="1"/>
    <col min="9" max="9" width="14.5703125" style="1029" customWidth="1"/>
    <col min="10" max="10" width="26.85546875" style="1029" customWidth="1"/>
    <col min="11" max="11" width="50" style="1029" customWidth="1"/>
    <col min="12" max="12" width="52.42578125" style="1029" customWidth="1"/>
    <col min="13" max="13" width="10.7109375" style="1029" customWidth="1"/>
    <col min="14" max="14" width="55.140625" style="1029" customWidth="1"/>
    <col min="15" max="15" width="31.85546875" style="1029" customWidth="1"/>
    <col min="16" max="16" width="23.85546875" style="1029" customWidth="1"/>
    <col min="17" max="17" width="46.5703125" style="1029" customWidth="1"/>
    <col min="18" max="18" width="24" style="1029" customWidth="1"/>
    <col min="19" max="19" width="20.5703125" style="1029" customWidth="1"/>
    <col min="20" max="20" width="22" style="1029" customWidth="1"/>
    <col min="21" max="22" width="26.42578125" style="1029" customWidth="1"/>
    <col min="23" max="23" width="8.28515625" style="1029" hidden="1" customWidth="1"/>
    <col min="24" max="24" width="59.7109375" style="1029" customWidth="1"/>
    <col min="25" max="25" width="49.140625" style="1029" customWidth="1"/>
    <col min="26" max="26" width="11.140625" style="1029" customWidth="1"/>
    <col min="27" max="30" width="29" style="1029" customWidth="1"/>
    <col min="32" max="32" width="34.7109375" style="1029" customWidth="1"/>
    <col min="34" max="35" width="34.42578125" style="1029" customWidth="1"/>
    <col min="37" max="37" width="24.5703125" style="1029" customWidth="1"/>
    <col min="39" max="39" width="26.140625" style="1029" customWidth="1"/>
    <col min="40" max="40" width="1.7109375" style="1029" customWidth="1"/>
    <col min="42" max="43" width="47.85546875" style="1029" customWidth="1"/>
    <col min="44" max="44" width="1.7109375" style="1029" customWidth="1"/>
    <col min="45" max="45" width="21.42578125" style="1029" customWidth="1"/>
    <col min="46" max="46" width="1.7109375" style="1029" customWidth="1"/>
    <col min="47" max="47" width="31.28515625" style="1029" customWidth="1"/>
    <col min="48" max="48" width="1.7109375" style="1029" customWidth="1"/>
    <col min="51" max="51" width="3.7109375" style="1029" customWidth="1"/>
    <col min="52" max="52" width="60.85546875" style="1029" customWidth="1"/>
    <col min="53" max="53" width="49.28515625" style="1029" customWidth="1"/>
    <col min="54" max="54" width="35.140625" style="1029" customWidth="1"/>
    <col min="56" max="56" width="1.7109375" style="1029" customWidth="1"/>
    <col min="57" max="57" width="12.5703125" style="1029" customWidth="1"/>
    <col min="58" max="58" width="14.28515625" style="1029" customWidth="1"/>
    <col min="59" max="59" width="30.7109375" style="1029" customWidth="1"/>
    <col min="60" max="60" width="40.7109375" style="1029" customWidth="1"/>
    <col min="61" max="61" width="15" style="1029" customWidth="1"/>
    <col min="62" max="62" width="40.7109375" style="1029" customWidth="1"/>
    <col min="63" max="63" width="2.7109375" style="1029" customWidth="1"/>
    <col min="64" max="64" width="44.7109375" style="1029" customWidth="1"/>
    <col min="65" max="65" width="2.7109375" style="1029" customWidth="1"/>
    <col min="66" max="66" width="40.7109375" style="1029" customWidth="1"/>
    <col min="69" max="69" width="18.140625" style="1029" customWidth="1"/>
    <col min="70" max="70" width="57.85546875" style="1029" customWidth="1"/>
    <col min="71" max="71" width="1.7109375" style="1029" customWidth="1"/>
    <col min="72" max="72" width="22.5703125" style="1029" customWidth="1"/>
    <col min="73" max="73" width="57.85546875" style="1029" customWidth="1"/>
    <col min="74" max="74" width="1.7109375" style="1029" customWidth="1"/>
    <col min="75" max="75" width="22.5703125" style="1029" customWidth="1"/>
    <col min="76" max="76" width="57.85546875" style="1029" customWidth="1"/>
    <col min="77" max="77" width="1.7109375" style="1029" customWidth="1"/>
    <col min="78" max="78" width="22.5703125" style="1029" customWidth="1"/>
    <col min="79" max="79" width="57.85546875" style="1029" customWidth="1"/>
    <col min="82" max="82" width="49.5703125" style="1029" customWidth="1"/>
  </cols>
  <sheetData>
    <row r="1" spans="1:79" ht="11.25" customHeight="1">
      <c r="A1" s="160" t="s">
        <v>1341</v>
      </c>
      <c r="B1" s="160" t="s">
        <v>1342</v>
      </c>
      <c r="C1" s="160" t="s">
        <v>1343</v>
      </c>
      <c r="D1" s="160" t="s">
        <v>1344</v>
      </c>
      <c r="E1" s="160" t="s">
        <v>1345</v>
      </c>
      <c r="F1" s="160" t="s">
        <v>1346</v>
      </c>
      <c r="G1" s="160" t="s">
        <v>1347</v>
      </c>
      <c r="H1" s="160" t="s">
        <v>1348</v>
      </c>
      <c r="I1" s="160" t="s">
        <v>1349</v>
      </c>
      <c r="J1" s="160" t="s">
        <v>1350</v>
      </c>
      <c r="K1" s="160" t="s">
        <v>1351</v>
      </c>
      <c r="L1" s="160" t="s">
        <v>1352</v>
      </c>
      <c r="M1" s="160"/>
      <c r="N1" s="160" t="s">
        <v>1353</v>
      </c>
      <c r="O1" s="160" t="s">
        <v>1354</v>
      </c>
      <c r="P1" s="160" t="s">
        <v>1355</v>
      </c>
      <c r="Q1" s="160" t="s">
        <v>1356</v>
      </c>
      <c r="R1" s="160" t="s">
        <v>1357</v>
      </c>
      <c r="S1" s="160" t="s">
        <v>1358</v>
      </c>
      <c r="T1" s="160" t="s">
        <v>1359</v>
      </c>
      <c r="U1" s="160" t="s">
        <v>1360</v>
      </c>
      <c r="V1" s="160"/>
      <c r="W1" s="161" t="s">
        <v>1361</v>
      </c>
      <c r="X1" s="160" t="s">
        <v>1362</v>
      </c>
      <c r="Y1" s="160" t="s">
        <v>1363</v>
      </c>
      <c r="Z1" s="160"/>
      <c r="AA1" s="160" t="s">
        <v>1364</v>
      </c>
      <c r="AB1" s="160"/>
      <c r="AC1" s="160" t="s">
        <v>1365</v>
      </c>
      <c r="AD1" s="160"/>
      <c r="AF1" s="160" t="s">
        <v>1366</v>
      </c>
      <c r="AH1" s="160" t="s">
        <v>1367</v>
      </c>
      <c r="AI1" s="160" t="s">
        <v>1368</v>
      </c>
      <c r="AK1" s="160" t="s">
        <v>1369</v>
      </c>
      <c r="AM1" s="160" t="s">
        <v>1370</v>
      </c>
      <c r="AP1" s="160" t="s">
        <v>1371</v>
      </c>
      <c r="AQ1" s="160" t="s">
        <v>1372</v>
      </c>
      <c r="AS1" s="160" t="s">
        <v>1373</v>
      </c>
      <c r="AU1" s="160" t="s">
        <v>1374</v>
      </c>
      <c r="AW1" s="160" t="s">
        <v>1375</v>
      </c>
      <c r="AX1" s="160" t="s">
        <v>1376</v>
      </c>
      <c r="AZ1" s="162" t="s">
        <v>1377</v>
      </c>
      <c r="BB1" s="160" t="s">
        <v>1378</v>
      </c>
      <c r="BC1" s="160"/>
      <c r="BE1" s="160" t="s">
        <v>1379</v>
      </c>
      <c r="BF1" s="160" t="s">
        <v>1380</v>
      </c>
      <c r="BH1" s="710" t="s">
        <v>828</v>
      </c>
      <c r="BJ1" s="163" t="s">
        <v>1381</v>
      </c>
      <c r="BL1" s="164" t="s">
        <v>929</v>
      </c>
      <c r="BN1" s="165" t="s">
        <v>1382</v>
      </c>
    </row>
    <row r="2" spans="1:79" ht="11.25" customHeight="1">
      <c r="A2" s="79" t="s">
        <v>1383</v>
      </c>
      <c r="B2" s="711">
        <v>2000</v>
      </c>
      <c r="C2" s="711">
        <v>2022</v>
      </c>
      <c r="D2" s="711" t="s">
        <v>61</v>
      </c>
      <c r="E2" s="712" t="s">
        <v>1384</v>
      </c>
      <c r="F2" s="712" t="s">
        <v>1385</v>
      </c>
      <c r="G2" s="712" t="s">
        <v>1386</v>
      </c>
      <c r="H2" s="712" t="s">
        <v>53</v>
      </c>
      <c r="I2" s="712" t="s">
        <v>114</v>
      </c>
      <c r="J2" s="712" t="s">
        <v>1387</v>
      </c>
      <c r="K2" s="713" t="s">
        <v>1388</v>
      </c>
      <c r="L2" s="713"/>
      <c r="M2" s="713">
        <v>1</v>
      </c>
      <c r="N2" s="714" t="s">
        <v>1389</v>
      </c>
      <c r="O2" s="712" t="s">
        <v>1390</v>
      </c>
      <c r="P2" s="166" t="s">
        <v>37</v>
      </c>
      <c r="Q2" s="167" t="s">
        <v>1391</v>
      </c>
      <c r="R2" s="168" t="s">
        <v>1392</v>
      </c>
      <c r="S2" s="168" t="s">
        <v>1393</v>
      </c>
      <c r="T2" s="715" t="s">
        <v>1394</v>
      </c>
      <c r="U2" s="713" t="s">
        <v>1395</v>
      </c>
      <c r="V2" s="716">
        <v>1</v>
      </c>
      <c r="W2" s="717"/>
      <c r="X2" s="717" t="s">
        <v>1396</v>
      </c>
      <c r="Y2" s="711" t="s">
        <v>1397</v>
      </c>
      <c r="Z2" s="718"/>
      <c r="AA2" s="711" t="s">
        <v>1398</v>
      </c>
      <c r="AB2" s="169" t="s">
        <v>1398</v>
      </c>
      <c r="AC2" s="711" t="s">
        <v>1399</v>
      </c>
      <c r="AD2" s="169" t="s">
        <v>1399</v>
      </c>
      <c r="AF2" s="712" t="s">
        <v>1395</v>
      </c>
      <c r="AH2" s="712" t="s">
        <v>1400</v>
      </c>
      <c r="AI2" s="712" t="s">
        <v>1400</v>
      </c>
      <c r="AK2" s="712" t="s">
        <v>1401</v>
      </c>
      <c r="AM2" s="712" t="s">
        <v>1402</v>
      </c>
      <c r="AP2" s="719" t="s">
        <v>1396</v>
      </c>
      <c r="AQ2" s="720" t="s">
        <v>1396</v>
      </c>
      <c r="AS2" s="711" t="s">
        <v>1403</v>
      </c>
      <c r="AU2" s="721" t="s">
        <v>1404</v>
      </c>
      <c r="AW2" s="721" t="s">
        <v>1405</v>
      </c>
      <c r="AX2" s="721" t="s">
        <v>1405</v>
      </c>
      <c r="AZ2" s="721" t="s">
        <v>1406</v>
      </c>
      <c r="BB2" s="721" t="s">
        <v>1407</v>
      </c>
      <c r="BC2" s="721" t="s">
        <v>1408</v>
      </c>
      <c r="BE2" s="721">
        <v>2000</v>
      </c>
      <c r="BF2" s="721" t="s">
        <v>1409</v>
      </c>
    </row>
    <row r="3" spans="1:79" ht="11.25" customHeight="1">
      <c r="A3" s="79" t="s">
        <v>1410</v>
      </c>
      <c r="B3" s="711">
        <v>2001</v>
      </c>
      <c r="C3" s="711">
        <v>2023</v>
      </c>
      <c r="D3" s="711" t="s">
        <v>19</v>
      </c>
      <c r="E3" s="712" t="s">
        <v>1411</v>
      </c>
      <c r="F3" s="712" t="s">
        <v>1412</v>
      </c>
      <c r="G3" s="712" t="s">
        <v>1413</v>
      </c>
      <c r="H3" s="712" t="s">
        <v>1414</v>
      </c>
      <c r="I3" s="712" t="s">
        <v>102</v>
      </c>
      <c r="J3" s="712" t="s">
        <v>567</v>
      </c>
      <c r="K3" s="713" t="s">
        <v>1415</v>
      </c>
      <c r="L3" s="713">
        <f>IFERROR(MATCH(K3,OFFER_METHOD,0),0)</f>
        <v>0</v>
      </c>
      <c r="M3" s="713">
        <v>2</v>
      </c>
      <c r="N3" s="714" t="s">
        <v>1416</v>
      </c>
      <c r="O3" s="712" t="s">
        <v>1417</v>
      </c>
      <c r="P3" s="166" t="s">
        <v>1418</v>
      </c>
      <c r="Q3" s="167" t="s">
        <v>1419</v>
      </c>
      <c r="R3" s="168" t="s">
        <v>1420</v>
      </c>
      <c r="S3" s="168" t="s">
        <v>1421</v>
      </c>
      <c r="T3" s="715" t="s">
        <v>1422</v>
      </c>
      <c r="U3" s="713" t="s">
        <v>1423</v>
      </c>
      <c r="V3" s="716">
        <v>2</v>
      </c>
      <c r="W3" s="717"/>
      <c r="X3" s="717" t="s">
        <v>1424</v>
      </c>
      <c r="Y3" s="711" t="s">
        <v>1397</v>
      </c>
      <c r="Z3" s="718"/>
      <c r="AA3" s="711" t="s">
        <v>1425</v>
      </c>
      <c r="AB3" s="169" t="s">
        <v>1425</v>
      </c>
      <c r="AC3" s="711" t="s">
        <v>1426</v>
      </c>
      <c r="AD3" s="169" t="s">
        <v>1426</v>
      </c>
      <c r="AF3" s="712" t="s">
        <v>1423</v>
      </c>
      <c r="AH3" s="712" t="s">
        <v>1427</v>
      </c>
      <c r="AI3" s="712" t="s">
        <v>1428</v>
      </c>
      <c r="AK3" s="712" t="s">
        <v>1429</v>
      </c>
      <c r="AM3" s="712" t="s">
        <v>1430</v>
      </c>
      <c r="AP3" s="719" t="s">
        <v>1431</v>
      </c>
      <c r="AQ3" s="720" t="s">
        <v>1431</v>
      </c>
      <c r="AS3" s="711" t="s">
        <v>1432</v>
      </c>
      <c r="AU3" s="721" t="s">
        <v>1433</v>
      </c>
      <c r="AW3" s="721" t="s">
        <v>1434</v>
      </c>
      <c r="AX3" s="721" t="s">
        <v>1434</v>
      </c>
      <c r="AZ3" s="721" t="s">
        <v>1435</v>
      </c>
      <c r="BB3" s="721" t="s">
        <v>1436</v>
      </c>
      <c r="BC3" s="721" t="s">
        <v>1408</v>
      </c>
      <c r="BE3" s="721">
        <v>2001</v>
      </c>
      <c r="BF3" s="721" t="s">
        <v>1437</v>
      </c>
      <c r="BH3" s="160" t="s">
        <v>1438</v>
      </c>
      <c r="BJ3" s="160" t="s">
        <v>1439</v>
      </c>
      <c r="BL3" s="160" t="s">
        <v>1440</v>
      </c>
      <c r="BN3" s="160" t="s">
        <v>1441</v>
      </c>
      <c r="BR3" s="160" t="s">
        <v>1442</v>
      </c>
      <c r="BU3" s="160" t="s">
        <v>1443</v>
      </c>
      <c r="BX3" s="160" t="s">
        <v>1444</v>
      </c>
      <c r="CA3" s="160" t="s">
        <v>1445</v>
      </c>
    </row>
    <row r="4" spans="1:79" ht="11.25" customHeight="1">
      <c r="A4" s="79" t="s">
        <v>1446</v>
      </c>
      <c r="B4" s="711">
        <v>2002</v>
      </c>
      <c r="C4" s="711">
        <v>2024</v>
      </c>
      <c r="E4" s="712" t="s">
        <v>1447</v>
      </c>
      <c r="F4" s="712" t="s">
        <v>1448</v>
      </c>
      <c r="H4" s="712" t="s">
        <v>1449</v>
      </c>
      <c r="I4" s="712" t="s">
        <v>89</v>
      </c>
      <c r="J4" s="712" t="s">
        <v>1450</v>
      </c>
      <c r="K4" s="713" t="s">
        <v>1451</v>
      </c>
      <c r="L4" s="713">
        <f>IFERROR(MATCH(K4,OFFER_METHOD,0),0)</f>
        <v>0</v>
      </c>
      <c r="M4" s="713">
        <v>3</v>
      </c>
      <c r="N4" s="714" t="s">
        <v>1452</v>
      </c>
      <c r="O4" s="712" t="s">
        <v>1453</v>
      </c>
      <c r="Q4" s="167" t="s">
        <v>1454</v>
      </c>
      <c r="R4" s="168" t="s">
        <v>1455</v>
      </c>
      <c r="S4" s="168" t="s">
        <v>1456</v>
      </c>
      <c r="T4" s="715" t="s">
        <v>1457</v>
      </c>
      <c r="U4" s="713" t="s">
        <v>1458</v>
      </c>
      <c r="V4" s="716">
        <v>3</v>
      </c>
      <c r="W4" s="717"/>
      <c r="X4" s="717" t="s">
        <v>1459</v>
      </c>
      <c r="Y4" s="711" t="s">
        <v>1397</v>
      </c>
      <c r="AC4" s="711" t="s">
        <v>1460</v>
      </c>
      <c r="AD4" s="169" t="s">
        <v>1460</v>
      </c>
      <c r="AF4" s="712" t="s">
        <v>1458</v>
      </c>
      <c r="AH4" s="712" t="s">
        <v>1461</v>
      </c>
      <c r="AK4" s="712" t="s">
        <v>1462</v>
      </c>
      <c r="AM4" s="712" t="s">
        <v>1463</v>
      </c>
      <c r="AP4" s="719" t="s">
        <v>1424</v>
      </c>
      <c r="AQ4" s="720" t="s">
        <v>1424</v>
      </c>
      <c r="AS4" s="711" t="s">
        <v>1464</v>
      </c>
      <c r="AU4" s="721" t="s">
        <v>1465</v>
      </c>
      <c r="AW4" s="721" t="s">
        <v>1466</v>
      </c>
      <c r="AX4" s="721" t="s">
        <v>1466</v>
      </c>
      <c r="AZ4" s="721" t="s">
        <v>1467</v>
      </c>
      <c r="BB4" s="721" t="s">
        <v>1468</v>
      </c>
      <c r="BC4" s="721" t="s">
        <v>1469</v>
      </c>
      <c r="BE4" s="721">
        <v>2002</v>
      </c>
      <c r="BF4" s="721" t="s">
        <v>1470</v>
      </c>
      <c r="BH4" s="722" t="s">
        <v>1471</v>
      </c>
      <c r="BJ4" s="722" t="s">
        <v>1471</v>
      </c>
      <c r="BL4" s="722" t="s">
        <v>1471</v>
      </c>
      <c r="BN4" s="722" t="s">
        <v>1471</v>
      </c>
      <c r="BQ4" s="723" t="s">
        <v>1472</v>
      </c>
      <c r="BR4" s="719" t="s">
        <v>1473</v>
      </c>
      <c r="BT4" s="723" t="s">
        <v>1474</v>
      </c>
      <c r="BU4" s="719" t="s">
        <v>1475</v>
      </c>
      <c r="BW4" s="723" t="s">
        <v>1476</v>
      </c>
      <c r="BX4" s="719" t="s">
        <v>1477</v>
      </c>
      <c r="BZ4" s="723" t="s">
        <v>1478</v>
      </c>
      <c r="CA4" s="719" t="s">
        <v>1479</v>
      </c>
    </row>
    <row r="5" spans="1:79" ht="11.25" customHeight="1">
      <c r="A5" s="79" t="s">
        <v>1480</v>
      </c>
      <c r="B5" s="711">
        <v>2003</v>
      </c>
      <c r="C5" s="711">
        <v>2025</v>
      </c>
      <c r="E5" s="712" t="s">
        <v>1481</v>
      </c>
      <c r="F5" s="712" t="s">
        <v>1482</v>
      </c>
      <c r="H5" s="712" t="s">
        <v>1483</v>
      </c>
      <c r="I5" s="712" t="s">
        <v>90</v>
      </c>
      <c r="K5" s="713" t="s">
        <v>1484</v>
      </c>
      <c r="L5" s="713">
        <f>IFERROR(MATCH(K5,OFFER_METHOD,0),0)</f>
        <v>0</v>
      </c>
      <c r="M5" s="713">
        <v>4</v>
      </c>
      <c r="N5" s="170" t="s">
        <v>1485</v>
      </c>
      <c r="O5" s="712" t="s">
        <v>1486</v>
      </c>
      <c r="Q5" s="167" t="s">
        <v>1487</v>
      </c>
      <c r="R5" s="168" t="s">
        <v>1488</v>
      </c>
      <c r="T5" s="712" t="s">
        <v>1489</v>
      </c>
      <c r="U5" s="713" t="s">
        <v>1490</v>
      </c>
      <c r="V5" s="716">
        <v>4</v>
      </c>
      <c r="W5" s="717"/>
      <c r="X5" s="717" t="s">
        <v>179</v>
      </c>
      <c r="Y5" s="711" t="s">
        <v>1491</v>
      </c>
      <c r="Z5" s="600">
        <v>1</v>
      </c>
      <c r="AF5" s="712" t="s">
        <v>1492</v>
      </c>
      <c r="AH5" s="712" t="s">
        <v>1493</v>
      </c>
      <c r="AK5" s="712" t="s">
        <v>1494</v>
      </c>
      <c r="AM5" s="712" t="s">
        <v>1495</v>
      </c>
      <c r="AP5" s="719" t="s">
        <v>179</v>
      </c>
      <c r="AQ5" s="720" t="s">
        <v>179</v>
      </c>
      <c r="AU5" s="721" t="s">
        <v>1496</v>
      </c>
      <c r="AW5" s="721" t="s">
        <v>1497</v>
      </c>
      <c r="AX5" s="721" t="s">
        <v>1497</v>
      </c>
      <c r="AZ5" s="721" t="s">
        <v>1498</v>
      </c>
      <c r="BB5" s="721" t="s">
        <v>1499</v>
      </c>
      <c r="BC5" s="721" t="s">
        <v>1500</v>
      </c>
      <c r="BE5" s="721">
        <v>2003</v>
      </c>
      <c r="BF5" s="721" t="s">
        <v>1501</v>
      </c>
      <c r="BH5" s="722" t="s">
        <v>1128</v>
      </c>
      <c r="BJ5" s="722" t="s">
        <v>1128</v>
      </c>
      <c r="BL5" s="722" t="s">
        <v>1128</v>
      </c>
      <c r="BN5" s="722" t="s">
        <v>1502</v>
      </c>
      <c r="BQ5" s="721">
        <v>4213775</v>
      </c>
      <c r="BR5" s="722" t="s">
        <v>1396</v>
      </c>
      <c r="BT5" s="721">
        <v>64236871</v>
      </c>
      <c r="BU5" s="722" t="s">
        <v>240</v>
      </c>
      <c r="BW5" s="721">
        <v>4213767</v>
      </c>
      <c r="BX5" s="722" t="s">
        <v>1503</v>
      </c>
      <c r="BZ5" s="721">
        <v>64237509</v>
      </c>
      <c r="CA5" s="724" t="s">
        <v>1504</v>
      </c>
    </row>
    <row r="6" spans="1:79" ht="11.25" customHeight="1">
      <c r="A6" s="79" t="s">
        <v>1505</v>
      </c>
      <c r="B6" s="711">
        <v>2004</v>
      </c>
      <c r="C6" s="711">
        <v>2026</v>
      </c>
      <c r="E6" s="712" t="s">
        <v>1506</v>
      </c>
      <c r="H6" s="712" t="s">
        <v>1507</v>
      </c>
      <c r="I6" s="712" t="s">
        <v>115</v>
      </c>
      <c r="J6" s="160" t="s">
        <v>1508</v>
      </c>
      <c r="L6" s="713">
        <f>SUM(kind_of_control_method_filter)</f>
        <v>0</v>
      </c>
      <c r="N6" s="170" t="s">
        <v>1509</v>
      </c>
      <c r="O6" s="712" t="s">
        <v>1510</v>
      </c>
      <c r="R6" s="168" t="s">
        <v>1391</v>
      </c>
      <c r="T6" s="712" t="s">
        <v>1511</v>
      </c>
      <c r="U6" s="713" t="s">
        <v>1492</v>
      </c>
      <c r="V6" s="716">
        <v>5</v>
      </c>
      <c r="W6" s="717"/>
      <c r="X6" s="711" t="s">
        <v>185</v>
      </c>
      <c r="Y6" s="711" t="s">
        <v>1512</v>
      </c>
      <c r="AH6" s="712" t="s">
        <v>1513</v>
      </c>
      <c r="AK6" s="712" t="s">
        <v>1514</v>
      </c>
      <c r="AM6" s="712" t="s">
        <v>1515</v>
      </c>
      <c r="AP6" s="719" t="s">
        <v>185</v>
      </c>
      <c r="AQ6" s="720" t="s">
        <v>185</v>
      </c>
      <c r="AU6" s="721" t="s">
        <v>1516</v>
      </c>
      <c r="AW6" s="721" t="s">
        <v>1517</v>
      </c>
      <c r="AX6" s="721" t="s">
        <v>1517</v>
      </c>
      <c r="BB6" s="721" t="s">
        <v>1518</v>
      </c>
      <c r="BC6" s="721" t="s">
        <v>1500</v>
      </c>
      <c r="BE6" s="721">
        <v>2004</v>
      </c>
      <c r="BF6" s="721" t="s">
        <v>1519</v>
      </c>
      <c r="BH6" s="722" t="s">
        <v>1520</v>
      </c>
      <c r="BJ6" s="722" t="s">
        <v>1521</v>
      </c>
      <c r="BL6" s="722" t="s">
        <v>1521</v>
      </c>
      <c r="BN6" s="722" t="s">
        <v>1522</v>
      </c>
      <c r="BQ6" s="721">
        <v>4213784</v>
      </c>
      <c r="BR6" s="724" t="s">
        <v>1431</v>
      </c>
      <c r="BT6" s="721">
        <v>64236872</v>
      </c>
      <c r="BU6" s="722" t="s">
        <v>245</v>
      </c>
      <c r="BW6" s="721">
        <v>4213768</v>
      </c>
      <c r="BX6" s="722" t="s">
        <v>265</v>
      </c>
      <c r="BZ6" s="721">
        <v>64237510</v>
      </c>
      <c r="CA6" s="722" t="s">
        <v>1523</v>
      </c>
    </row>
    <row r="7" spans="1:79" ht="11.25" customHeight="1">
      <c r="A7" s="79" t="s">
        <v>1524</v>
      </c>
      <c r="B7" s="711">
        <v>2005</v>
      </c>
      <c r="E7" s="712" t="s">
        <v>1525</v>
      </c>
      <c r="H7" s="712" t="s">
        <v>1526</v>
      </c>
      <c r="I7" s="712" t="s">
        <v>91</v>
      </c>
      <c r="J7" s="712" t="s">
        <v>1527</v>
      </c>
      <c r="N7" s="171" t="s">
        <v>1528</v>
      </c>
      <c r="O7" s="712" t="s">
        <v>1529</v>
      </c>
      <c r="U7" s="713" t="s">
        <v>19</v>
      </c>
      <c r="V7" s="172" t="s">
        <v>91</v>
      </c>
      <c r="W7" s="717"/>
      <c r="X7" s="711" t="s">
        <v>191</v>
      </c>
      <c r="Y7" s="711" t="s">
        <v>1491</v>
      </c>
      <c r="AH7" s="712" t="s">
        <v>1530</v>
      </c>
      <c r="AK7" s="712" t="s">
        <v>1531</v>
      </c>
      <c r="AM7" s="712" t="s">
        <v>1532</v>
      </c>
      <c r="AP7" s="719" t="s">
        <v>191</v>
      </c>
      <c r="AQ7" s="720" t="s">
        <v>191</v>
      </c>
      <c r="AU7" s="721" t="s">
        <v>1533</v>
      </c>
      <c r="AW7" s="721" t="s">
        <v>1534</v>
      </c>
      <c r="AX7" s="721" t="s">
        <v>1534</v>
      </c>
      <c r="AZ7" s="160" t="s">
        <v>1535</v>
      </c>
      <c r="BB7" s="721" t="s">
        <v>1536</v>
      </c>
      <c r="BC7" s="721" t="s">
        <v>1500</v>
      </c>
      <c r="BE7" s="721">
        <v>2005</v>
      </c>
      <c r="BF7" s="721" t="s">
        <v>1537</v>
      </c>
      <c r="BH7" s="722" t="s">
        <v>1538</v>
      </c>
      <c r="BJ7" s="722" t="s">
        <v>1520</v>
      </c>
      <c r="BL7" s="722" t="s">
        <v>1520</v>
      </c>
      <c r="BN7" s="722" t="s">
        <v>1539</v>
      </c>
      <c r="BQ7" s="721">
        <v>4213781</v>
      </c>
      <c r="BR7" s="722" t="s">
        <v>1424</v>
      </c>
      <c r="BT7" s="721">
        <v>64236873</v>
      </c>
      <c r="BU7" s="722" t="s">
        <v>250</v>
      </c>
      <c r="BW7" s="721">
        <v>4213769</v>
      </c>
      <c r="BX7" s="722" t="s">
        <v>1540</v>
      </c>
      <c r="BZ7" s="721">
        <v>64237511</v>
      </c>
      <c r="CA7" s="722" t="s">
        <v>280</v>
      </c>
    </row>
    <row r="8" spans="1:79" ht="11.25" customHeight="1">
      <c r="A8" s="79" t="s">
        <v>1541</v>
      </c>
      <c r="B8" s="711">
        <v>2006</v>
      </c>
      <c r="E8" s="712" t="s">
        <v>1542</v>
      </c>
      <c r="H8" s="712" t="s">
        <v>1543</v>
      </c>
      <c r="I8" s="712" t="s">
        <v>92</v>
      </c>
      <c r="J8" s="712" t="s">
        <v>1544</v>
      </c>
      <c r="N8" s="725" t="s">
        <v>1545</v>
      </c>
      <c r="O8" s="712" t="s">
        <v>1546</v>
      </c>
      <c r="V8" s="172" t="s">
        <v>92</v>
      </c>
      <c r="W8" s="717"/>
      <c r="X8" s="711" t="s">
        <v>197</v>
      </c>
      <c r="Y8" s="711" t="s">
        <v>1491</v>
      </c>
      <c r="AK8" s="712" t="s">
        <v>1547</v>
      </c>
      <c r="AP8" s="719" t="s">
        <v>197</v>
      </c>
      <c r="AQ8" s="720" t="s">
        <v>197</v>
      </c>
      <c r="AU8" s="721" t="s">
        <v>1548</v>
      </c>
      <c r="AW8" s="721" t="s">
        <v>1549</v>
      </c>
      <c r="AX8" s="721" t="s">
        <v>1549</v>
      </c>
      <c r="AZ8" s="721" t="s">
        <v>1550</v>
      </c>
      <c r="BB8" s="721" t="s">
        <v>1551</v>
      </c>
      <c r="BC8" s="721" t="s">
        <v>1500</v>
      </c>
      <c r="BE8" s="721">
        <v>2006</v>
      </c>
      <c r="BF8" s="721" t="s">
        <v>1552</v>
      </c>
      <c r="BH8" s="722" t="s">
        <v>1553</v>
      </c>
      <c r="BJ8" s="722" t="s">
        <v>1554</v>
      </c>
      <c r="BL8" s="722" t="s">
        <v>1554</v>
      </c>
      <c r="BN8" s="722" t="s">
        <v>1063</v>
      </c>
      <c r="BQ8" s="721">
        <v>4213776</v>
      </c>
      <c r="BR8" s="722" t="s">
        <v>179</v>
      </c>
      <c r="BT8" s="721">
        <v>64236874</v>
      </c>
      <c r="BU8" s="724" t="s">
        <v>1555</v>
      </c>
      <c r="BW8" s="721">
        <v>4213770</v>
      </c>
      <c r="BX8" s="724" t="s">
        <v>1556</v>
      </c>
      <c r="BZ8" s="721">
        <v>64237512</v>
      </c>
      <c r="CA8" s="722" t="s">
        <v>275</v>
      </c>
    </row>
    <row r="9" spans="1:79" ht="11.25" customHeight="1">
      <c r="A9" s="79" t="s">
        <v>1557</v>
      </c>
      <c r="B9" s="711">
        <v>2007</v>
      </c>
      <c r="E9" s="712" t="s">
        <v>1558</v>
      </c>
      <c r="G9" s="160" t="s">
        <v>1559</v>
      </c>
      <c r="H9" s="160" t="s">
        <v>1560</v>
      </c>
      <c r="I9" s="712" t="s">
        <v>116</v>
      </c>
      <c r="O9" s="712" t="s">
        <v>1561</v>
      </c>
      <c r="V9" s="172" t="s">
        <v>116</v>
      </c>
      <c r="W9" s="717"/>
      <c r="X9" s="711" t="s">
        <v>203</v>
      </c>
      <c r="Y9" s="711" t="s">
        <v>1397</v>
      </c>
      <c r="Z9" s="600">
        <v>1</v>
      </c>
      <c r="AK9" s="712" t="s">
        <v>1562</v>
      </c>
      <c r="AP9" s="719" t="s">
        <v>1563</v>
      </c>
      <c r="AQ9" s="720" t="s">
        <v>1563</v>
      </c>
      <c r="AW9" s="721" t="s">
        <v>1564</v>
      </c>
      <c r="AX9" s="721" t="s">
        <v>1564</v>
      </c>
      <c r="AZ9" s="721" t="s">
        <v>1565</v>
      </c>
      <c r="BB9" s="721" t="s">
        <v>1566</v>
      </c>
      <c r="BC9" s="721" t="s">
        <v>1500</v>
      </c>
      <c r="BE9" s="721">
        <v>2007</v>
      </c>
      <c r="BF9" s="721" t="s">
        <v>1567</v>
      </c>
      <c r="BH9" s="722" t="s">
        <v>1142</v>
      </c>
      <c r="BJ9" s="722" t="s">
        <v>1568</v>
      </c>
      <c r="BL9" s="722" t="s">
        <v>1568</v>
      </c>
      <c r="BN9" s="722" t="s">
        <v>1569</v>
      </c>
      <c r="BQ9" s="721">
        <v>4213777</v>
      </c>
      <c r="BR9" s="722" t="s">
        <v>185</v>
      </c>
      <c r="BT9" s="721">
        <v>64236875</v>
      </c>
      <c r="BU9" s="722" t="s">
        <v>255</v>
      </c>
    </row>
    <row r="10" spans="1:79" ht="11.25" customHeight="1">
      <c r="A10" s="79" t="s">
        <v>1570</v>
      </c>
      <c r="B10" s="711">
        <v>2008</v>
      </c>
      <c r="E10" s="712" t="s">
        <v>1571</v>
      </c>
      <c r="G10" s="712" t="s">
        <v>1572</v>
      </c>
      <c r="H10" s="712" t="s">
        <v>1573</v>
      </c>
      <c r="I10" s="712" t="s">
        <v>161</v>
      </c>
      <c r="J10" s="160" t="s">
        <v>1574</v>
      </c>
      <c r="K10" s="160" t="s">
        <v>1575</v>
      </c>
      <c r="O10" s="712" t="s">
        <v>1576</v>
      </c>
      <c r="V10" s="173" t="s">
        <v>161</v>
      </c>
      <c r="W10" s="726"/>
      <c r="X10" s="726" t="s">
        <v>1577</v>
      </c>
      <c r="Y10" s="727" t="s">
        <v>1578</v>
      </c>
      <c r="AP10" s="719" t="s">
        <v>1577</v>
      </c>
      <c r="AQ10" s="720" t="s">
        <v>1577</v>
      </c>
      <c r="AW10" s="721" t="s">
        <v>1579</v>
      </c>
      <c r="AX10" s="721" t="s">
        <v>1579</v>
      </c>
      <c r="AZ10" s="721" t="s">
        <v>1289</v>
      </c>
      <c r="BB10" s="721" t="s">
        <v>1580</v>
      </c>
      <c r="BC10" s="721" t="s">
        <v>1500</v>
      </c>
      <c r="BE10" s="721">
        <v>2008</v>
      </c>
      <c r="BF10" s="721" t="s">
        <v>1581</v>
      </c>
      <c r="BH10" s="722" t="s">
        <v>1582</v>
      </c>
      <c r="BJ10" s="722" t="s">
        <v>1129</v>
      </c>
      <c r="BL10" s="722" t="s">
        <v>1129</v>
      </c>
      <c r="BN10" s="722" t="s">
        <v>1583</v>
      </c>
      <c r="BQ10" s="721">
        <v>4213778</v>
      </c>
      <c r="BR10" s="722" t="s">
        <v>191</v>
      </c>
      <c r="BT10" s="721">
        <v>64236876</v>
      </c>
      <c r="BU10" s="722" t="s">
        <v>235</v>
      </c>
    </row>
    <row r="11" spans="1:79" ht="11.25" customHeight="1">
      <c r="A11" s="79" t="s">
        <v>1584</v>
      </c>
      <c r="B11" s="711">
        <v>2009</v>
      </c>
      <c r="E11" s="712" t="s">
        <v>1585</v>
      </c>
      <c r="G11" s="712" t="s">
        <v>1586</v>
      </c>
      <c r="H11" s="712" t="s">
        <v>1587</v>
      </c>
      <c r="I11" s="712" t="s">
        <v>162</v>
      </c>
      <c r="J11" s="712" t="s">
        <v>1588</v>
      </c>
      <c r="K11" s="174" t="s">
        <v>1589</v>
      </c>
      <c r="O11" s="712" t="s">
        <v>1590</v>
      </c>
      <c r="V11" s="172" t="s">
        <v>162</v>
      </c>
      <c r="W11" s="175"/>
      <c r="X11" s="717" t="s">
        <v>1563</v>
      </c>
      <c r="Y11" s="711" t="s">
        <v>1591</v>
      </c>
      <c r="AP11" s="719" t="s">
        <v>203</v>
      </c>
      <c r="AQ11" s="176" t="s">
        <v>203</v>
      </c>
      <c r="AW11" s="721" t="s">
        <v>1592</v>
      </c>
      <c r="AX11" s="721" t="s">
        <v>1592</v>
      </c>
      <c r="AZ11" s="721" t="s">
        <v>1593</v>
      </c>
      <c r="BB11" s="721" t="s">
        <v>1594</v>
      </c>
      <c r="BC11" s="721" t="s">
        <v>1500</v>
      </c>
      <c r="BE11" s="721">
        <v>2009</v>
      </c>
      <c r="BF11" s="721" t="s">
        <v>1595</v>
      </c>
      <c r="BH11" s="722" t="s">
        <v>1596</v>
      </c>
      <c r="BJ11" s="722" t="s">
        <v>1142</v>
      </c>
      <c r="BL11" s="722" t="s">
        <v>1142</v>
      </c>
      <c r="BN11" s="722" t="s">
        <v>1597</v>
      </c>
      <c r="BQ11" s="721">
        <v>4213780</v>
      </c>
      <c r="BR11" s="722" t="s">
        <v>197</v>
      </c>
    </row>
    <row r="12" spans="1:79" ht="11.25" customHeight="1">
      <c r="A12" s="79" t="s">
        <v>1598</v>
      </c>
      <c r="B12" s="711">
        <v>2010</v>
      </c>
      <c r="E12" s="712" t="s">
        <v>1599</v>
      </c>
      <c r="G12" s="712" t="s">
        <v>1587</v>
      </c>
      <c r="I12" s="712" t="s">
        <v>163</v>
      </c>
      <c r="J12" s="712" t="s">
        <v>1600</v>
      </c>
      <c r="K12" s="174" t="s">
        <v>1601</v>
      </c>
      <c r="O12" s="712" t="s">
        <v>1391</v>
      </c>
      <c r="V12" s="172" t="s">
        <v>163</v>
      </c>
      <c r="W12" s="176"/>
      <c r="X12" s="717" t="s">
        <v>1602</v>
      </c>
      <c r="Y12" s="711" t="s">
        <v>1397</v>
      </c>
      <c r="AW12" s="721" t="s">
        <v>162</v>
      </c>
      <c r="AX12" s="721" t="s">
        <v>162</v>
      </c>
      <c r="AZ12" s="721" t="s">
        <v>1603</v>
      </c>
      <c r="BB12" s="721" t="s">
        <v>1604</v>
      </c>
      <c r="BC12" s="721" t="s">
        <v>1500</v>
      </c>
      <c r="BE12" s="721">
        <v>2010</v>
      </c>
      <c r="BF12" s="721" t="s">
        <v>1605</v>
      </c>
      <c r="BH12" s="722" t="s">
        <v>1606</v>
      </c>
      <c r="BJ12" s="722" t="s">
        <v>1127</v>
      </c>
      <c r="BL12" s="722" t="s">
        <v>1127</v>
      </c>
      <c r="BN12" s="722" t="s">
        <v>1607</v>
      </c>
      <c r="BQ12" s="721">
        <v>4213779</v>
      </c>
      <c r="BR12" s="722" t="s">
        <v>1563</v>
      </c>
    </row>
    <row r="13" spans="1:79" ht="11.25" customHeight="1">
      <c r="A13" s="79" t="s">
        <v>1608</v>
      </c>
      <c r="B13" s="711">
        <v>2011</v>
      </c>
      <c r="E13" s="712" t="s">
        <v>1609</v>
      </c>
      <c r="I13" s="712" t="s">
        <v>164</v>
      </c>
      <c r="K13" s="174" t="s">
        <v>1562</v>
      </c>
      <c r="V13" s="172" t="s">
        <v>164</v>
      </c>
      <c r="W13" s="176"/>
      <c r="X13" s="176"/>
      <c r="Y13" s="176"/>
      <c r="AW13" s="721" t="s">
        <v>163</v>
      </c>
      <c r="AX13" s="721" t="s">
        <v>163</v>
      </c>
      <c r="BB13" s="721" t="s">
        <v>1610</v>
      </c>
      <c r="BC13" s="721" t="s">
        <v>1611</v>
      </c>
      <c r="BE13" s="721">
        <v>2011</v>
      </c>
      <c r="BF13" s="721" t="s">
        <v>1055</v>
      </c>
      <c r="BH13" s="722" t="s">
        <v>1612</v>
      </c>
      <c r="BJ13" s="722" t="s">
        <v>1596</v>
      </c>
      <c r="BL13" s="722" t="s">
        <v>1596</v>
      </c>
      <c r="BN13" s="722" t="s">
        <v>1613</v>
      </c>
      <c r="BQ13" s="721">
        <v>4213783</v>
      </c>
      <c r="BR13" s="722" t="s">
        <v>1577</v>
      </c>
    </row>
    <row r="14" spans="1:79" ht="11.25" customHeight="1">
      <c r="A14" s="79" t="s">
        <v>1614</v>
      </c>
      <c r="B14" s="711">
        <v>2012</v>
      </c>
      <c r="I14" s="712" t="s">
        <v>165</v>
      </c>
      <c r="J14" s="160" t="s">
        <v>1615</v>
      </c>
      <c r="N14" s="160" t="s">
        <v>1616</v>
      </c>
      <c r="V14" s="716">
        <v>13</v>
      </c>
      <c r="W14" s="717"/>
      <c r="X14" s="717" t="s">
        <v>1431</v>
      </c>
      <c r="Y14" s="711" t="s">
        <v>1397</v>
      </c>
      <c r="AW14" s="721" t="s">
        <v>164</v>
      </c>
      <c r="AX14" s="721" t="s">
        <v>164</v>
      </c>
      <c r="AZ14" s="160" t="s">
        <v>1617</v>
      </c>
      <c r="BB14" s="721" t="s">
        <v>1618</v>
      </c>
      <c r="BC14" s="721" t="s">
        <v>1611</v>
      </c>
      <c r="BE14" s="721">
        <v>2012</v>
      </c>
      <c r="BH14" s="722" t="s">
        <v>1539</v>
      </c>
      <c r="BJ14" s="728" t="s">
        <v>1619</v>
      </c>
      <c r="BL14" s="728" t="s">
        <v>1619</v>
      </c>
      <c r="BN14" s="722" t="s">
        <v>1138</v>
      </c>
      <c r="BQ14" s="721">
        <v>4213782</v>
      </c>
      <c r="BR14" s="722" t="s">
        <v>203</v>
      </c>
    </row>
    <row r="15" spans="1:79" ht="19.5" customHeight="1">
      <c r="A15" s="79" t="s">
        <v>1620</v>
      </c>
      <c r="B15" s="711">
        <v>2013</v>
      </c>
      <c r="E15" s="729" t="s">
        <v>1621</v>
      </c>
      <c r="G15" s="160" t="s">
        <v>1622</v>
      </c>
      <c r="H15" s="160" t="s">
        <v>1623</v>
      </c>
      <c r="I15" s="713" t="s">
        <v>166</v>
      </c>
      <c r="J15" s="176" t="s">
        <v>601</v>
      </c>
      <c r="N15" s="177" t="s">
        <v>1624</v>
      </c>
      <c r="AW15" s="721" t="s">
        <v>165</v>
      </c>
      <c r="AX15" s="721" t="s">
        <v>165</v>
      </c>
      <c r="AZ15" s="721" t="s">
        <v>1550</v>
      </c>
      <c r="BB15" s="721" t="s">
        <v>1625</v>
      </c>
      <c r="BC15" s="721" t="s">
        <v>1611</v>
      </c>
      <c r="BE15" s="721">
        <v>2013</v>
      </c>
      <c r="BH15" s="722" t="s">
        <v>1063</v>
      </c>
      <c r="BJ15" s="728" t="s">
        <v>1626</v>
      </c>
      <c r="BL15" s="728" t="s">
        <v>1626</v>
      </c>
      <c r="BN15" s="722" t="s">
        <v>1139</v>
      </c>
    </row>
    <row r="16" spans="1:79" ht="21" customHeight="1">
      <c r="A16" s="178" t="s">
        <v>1627</v>
      </c>
      <c r="B16" s="711">
        <v>2014</v>
      </c>
      <c r="E16" s="730" t="s">
        <v>1628</v>
      </c>
      <c r="G16" s="712" t="s">
        <v>1629</v>
      </c>
      <c r="H16" s="712" t="s">
        <v>1630</v>
      </c>
      <c r="I16" s="713" t="s">
        <v>1112</v>
      </c>
      <c r="J16" s="176" t="s">
        <v>567</v>
      </c>
      <c r="N16" s="177" t="s">
        <v>1631</v>
      </c>
      <c r="AW16" s="721" t="s">
        <v>166</v>
      </c>
      <c r="AX16" s="721" t="s">
        <v>166</v>
      </c>
      <c r="AZ16" s="721" t="s">
        <v>1565</v>
      </c>
      <c r="BB16" s="721" t="s">
        <v>1632</v>
      </c>
      <c r="BC16" s="721" t="s">
        <v>1611</v>
      </c>
      <c r="BE16" s="721">
        <v>2014</v>
      </c>
      <c r="BH16" s="722" t="s">
        <v>1569</v>
      </c>
      <c r="BJ16" s="728" t="s">
        <v>1633</v>
      </c>
      <c r="BL16" s="728" t="s">
        <v>1633</v>
      </c>
      <c r="BN16" s="722" t="s">
        <v>1634</v>
      </c>
    </row>
    <row r="17" spans="1:82" ht="21" customHeight="1">
      <c r="A17" s="79" t="s">
        <v>1635</v>
      </c>
      <c r="B17" s="711">
        <v>2015</v>
      </c>
      <c r="G17" s="712" t="s">
        <v>1587</v>
      </c>
      <c r="H17" s="712" t="s">
        <v>1587</v>
      </c>
      <c r="I17" s="712" t="s">
        <v>1118</v>
      </c>
      <c r="N17" s="177" t="s">
        <v>1636</v>
      </c>
      <c r="AW17" s="721" t="s">
        <v>1112</v>
      </c>
      <c r="AX17" s="721" t="s">
        <v>1112</v>
      </c>
      <c r="AZ17" s="721" t="s">
        <v>66</v>
      </c>
      <c r="BB17" s="721" t="s">
        <v>1637</v>
      </c>
      <c r="BC17" s="721" t="s">
        <v>1500</v>
      </c>
      <c r="BE17" s="721">
        <v>2015</v>
      </c>
      <c r="BH17" s="722" t="s">
        <v>1583</v>
      </c>
      <c r="BJ17" s="728" t="s">
        <v>1638</v>
      </c>
      <c r="BL17" s="728" t="s">
        <v>1638</v>
      </c>
      <c r="BN17" s="722" t="s">
        <v>1639</v>
      </c>
      <c r="BR17" s="160" t="s">
        <v>1442</v>
      </c>
      <c r="BU17" s="160" t="s">
        <v>1640</v>
      </c>
      <c r="BX17" s="160" t="s">
        <v>1641</v>
      </c>
      <c r="CA17" s="160" t="s">
        <v>1642</v>
      </c>
      <c r="CD17" s="160" t="s">
        <v>1643</v>
      </c>
    </row>
    <row r="18" spans="1:82" ht="21" customHeight="1">
      <c r="A18" s="79" t="s">
        <v>1644</v>
      </c>
      <c r="B18" s="711">
        <v>2016</v>
      </c>
      <c r="E18" s="179" t="s">
        <v>1645</v>
      </c>
      <c r="I18" s="712" t="s">
        <v>1120</v>
      </c>
      <c r="N18" s="177" t="s">
        <v>1646</v>
      </c>
      <c r="AW18" s="721" t="s">
        <v>1118</v>
      </c>
      <c r="AX18" s="721" t="s">
        <v>1118</v>
      </c>
      <c r="BB18" s="721" t="s">
        <v>1647</v>
      </c>
      <c r="BC18" s="721" t="s">
        <v>1500</v>
      </c>
      <c r="BE18" s="721">
        <v>2016</v>
      </c>
      <c r="BH18" s="722" t="s">
        <v>1597</v>
      </c>
      <c r="BJ18" s="728" t="s">
        <v>1648</v>
      </c>
      <c r="BL18" s="728" t="s">
        <v>1648</v>
      </c>
      <c r="BN18" s="722" t="s">
        <v>1649</v>
      </c>
      <c r="BQ18" s="723" t="s">
        <v>1472</v>
      </c>
      <c r="BR18" s="719" t="s">
        <v>1473</v>
      </c>
      <c r="BT18" s="723" t="s">
        <v>1650</v>
      </c>
      <c r="BU18" s="719" t="s">
        <v>1651</v>
      </c>
      <c r="BW18" s="723" t="s">
        <v>1652</v>
      </c>
      <c r="BX18" s="719" t="s">
        <v>1653</v>
      </c>
      <c r="BZ18" s="723" t="s">
        <v>1654</v>
      </c>
      <c r="CA18" s="719" t="s">
        <v>1655</v>
      </c>
      <c r="CC18" s="723" t="s">
        <v>1656</v>
      </c>
      <c r="CD18" s="719" t="s">
        <v>1657</v>
      </c>
    </row>
    <row r="19" spans="1:82" ht="21" customHeight="1">
      <c r="A19" s="178" t="s">
        <v>1658</v>
      </c>
      <c r="B19" s="711">
        <v>2017</v>
      </c>
      <c r="E19" s="79" t="s">
        <v>178</v>
      </c>
      <c r="I19" s="712" t="s">
        <v>1153</v>
      </c>
      <c r="N19" s="177" t="s">
        <v>1659</v>
      </c>
      <c r="AW19" s="721" t="s">
        <v>1120</v>
      </c>
      <c r="AX19" s="721" t="s">
        <v>1120</v>
      </c>
      <c r="AZ19" s="160" t="s">
        <v>1660</v>
      </c>
      <c r="BB19" s="721" t="s">
        <v>1661</v>
      </c>
      <c r="BC19" s="721" t="s">
        <v>1500</v>
      </c>
      <c r="BE19" s="721">
        <v>2017</v>
      </c>
      <c r="BH19" s="722" t="s">
        <v>1662</v>
      </c>
      <c r="BJ19" s="728" t="s">
        <v>1663</v>
      </c>
      <c r="BL19" s="728" t="s">
        <v>1663</v>
      </c>
      <c r="BQ19" s="721">
        <v>4190064</v>
      </c>
      <c r="BR19" s="722" t="s">
        <v>1664</v>
      </c>
      <c r="BT19" s="721">
        <v>4189671</v>
      </c>
      <c r="BU19" s="722" t="s">
        <v>1665</v>
      </c>
      <c r="BW19" s="721">
        <v>4189706</v>
      </c>
      <c r="BX19" s="722" t="s">
        <v>1666</v>
      </c>
      <c r="BZ19" s="721">
        <v>4189714</v>
      </c>
      <c r="CA19" s="722" t="s">
        <v>1667</v>
      </c>
      <c r="CC19" s="721">
        <v>4189708</v>
      </c>
      <c r="CD19" s="722" t="s">
        <v>1668</v>
      </c>
    </row>
    <row r="20" spans="1:82" ht="21" customHeight="1">
      <c r="A20" s="79" t="s">
        <v>1669</v>
      </c>
      <c r="B20" s="711">
        <v>2018</v>
      </c>
      <c r="E20" s="79" t="s">
        <v>1431</v>
      </c>
      <c r="I20" s="712" t="s">
        <v>1155</v>
      </c>
      <c r="N20" s="177" t="s">
        <v>1670</v>
      </c>
      <c r="AW20" s="721" t="s">
        <v>1153</v>
      </c>
      <c r="AX20" s="721" t="s">
        <v>1153</v>
      </c>
      <c r="AZ20" s="721" t="s">
        <v>1671</v>
      </c>
      <c r="BB20" s="721" t="s">
        <v>1672</v>
      </c>
      <c r="BC20" s="721" t="s">
        <v>1611</v>
      </c>
      <c r="BE20" s="721">
        <v>2018</v>
      </c>
      <c r="BH20" s="722" t="s">
        <v>1607</v>
      </c>
      <c r="BJ20" s="722" t="s">
        <v>1539</v>
      </c>
      <c r="BL20" s="722" t="s">
        <v>1539</v>
      </c>
      <c r="BQ20" s="721">
        <v>4190065</v>
      </c>
      <c r="BR20" s="722" t="s">
        <v>1673</v>
      </c>
      <c r="BT20" s="721">
        <v>4189672</v>
      </c>
      <c r="BU20" s="722" t="s">
        <v>1674</v>
      </c>
      <c r="BW20" s="721">
        <v>4189705</v>
      </c>
      <c r="BX20" s="722" t="s">
        <v>1675</v>
      </c>
      <c r="BZ20" s="721">
        <v>4189713</v>
      </c>
      <c r="CA20" s="722" t="s">
        <v>1675</v>
      </c>
      <c r="CC20" s="721">
        <v>4189709</v>
      </c>
      <c r="CD20" s="722" t="s">
        <v>1676</v>
      </c>
    </row>
    <row r="21" spans="1:82" ht="21" customHeight="1">
      <c r="A21" s="79" t="s">
        <v>1677</v>
      </c>
      <c r="B21" s="711">
        <v>2019</v>
      </c>
      <c r="I21" s="712" t="s">
        <v>1157</v>
      </c>
      <c r="N21" s="177" t="s">
        <v>1678</v>
      </c>
      <c r="AW21" s="721" t="s">
        <v>1155</v>
      </c>
      <c r="AX21" s="721" t="s">
        <v>1155</v>
      </c>
      <c r="AZ21" s="721" t="s">
        <v>1679</v>
      </c>
      <c r="BB21" s="721" t="s">
        <v>1680</v>
      </c>
      <c r="BC21" s="721" t="s">
        <v>1500</v>
      </c>
      <c r="BE21" s="721">
        <v>2019</v>
      </c>
      <c r="BH21" s="722" t="s">
        <v>1613</v>
      </c>
      <c r="BJ21" s="722" t="s">
        <v>1063</v>
      </c>
      <c r="BL21" s="722" t="s">
        <v>1063</v>
      </c>
      <c r="BQ21" s="721">
        <v>4190066</v>
      </c>
      <c r="BR21" s="722" t="s">
        <v>1681</v>
      </c>
      <c r="BT21" s="721">
        <v>4189673</v>
      </c>
      <c r="BU21" s="722" t="s">
        <v>1682</v>
      </c>
      <c r="BW21" s="721">
        <v>4189707</v>
      </c>
      <c r="BX21" s="722" t="s">
        <v>1683</v>
      </c>
      <c r="BZ21" s="721">
        <v>4189712</v>
      </c>
      <c r="CA21" s="722" t="s">
        <v>1684</v>
      </c>
      <c r="CC21" s="721">
        <v>4189710</v>
      </c>
      <c r="CD21" s="722" t="s">
        <v>1685</v>
      </c>
    </row>
    <row r="22" spans="1:82" ht="21" customHeight="1">
      <c r="A22" s="79" t="s">
        <v>1686</v>
      </c>
      <c r="B22" s="711">
        <v>2020</v>
      </c>
      <c r="N22" s="177" t="s">
        <v>1687</v>
      </c>
      <c r="AW22" s="721" t="s">
        <v>1157</v>
      </c>
      <c r="AX22" s="721" t="s">
        <v>1157</v>
      </c>
      <c r="AZ22" s="721" t="s">
        <v>1688</v>
      </c>
      <c r="BB22" s="721" t="s">
        <v>1689</v>
      </c>
      <c r="BC22" s="721" t="s">
        <v>1500</v>
      </c>
      <c r="BE22" s="721">
        <v>2020</v>
      </c>
      <c r="BH22" s="722" t="s">
        <v>1138</v>
      </c>
      <c r="BJ22" s="722" t="s">
        <v>1569</v>
      </c>
      <c r="BL22" s="722" t="s">
        <v>1569</v>
      </c>
      <c r="BQ22" s="721">
        <v>4190067</v>
      </c>
      <c r="BR22" s="722" t="s">
        <v>1690</v>
      </c>
      <c r="BT22" s="721">
        <v>4189674</v>
      </c>
      <c r="BU22" s="722" t="s">
        <v>1691</v>
      </c>
      <c r="CC22" s="721">
        <v>4189711</v>
      </c>
      <c r="CD22" s="722" t="s">
        <v>304</v>
      </c>
    </row>
    <row r="23" spans="1:82" ht="21" customHeight="1">
      <c r="A23" s="79" t="s">
        <v>1692</v>
      </c>
      <c r="B23" s="711">
        <v>2021</v>
      </c>
      <c r="AW23" s="721" t="s">
        <v>1159</v>
      </c>
      <c r="AX23" s="721" t="s">
        <v>1159</v>
      </c>
      <c r="AZ23" s="721" t="s">
        <v>1693</v>
      </c>
      <c r="BB23" s="721" t="s">
        <v>1694</v>
      </c>
      <c r="BC23" s="721" t="s">
        <v>1408</v>
      </c>
      <c r="BE23" s="721">
        <v>2021</v>
      </c>
      <c r="BH23" s="722" t="s">
        <v>1139</v>
      </c>
      <c r="BJ23" s="722" t="s">
        <v>1583</v>
      </c>
      <c r="BL23" s="722" t="s">
        <v>1583</v>
      </c>
      <c r="BQ23" s="721">
        <v>4190068</v>
      </c>
      <c r="BR23" s="722" t="s">
        <v>1695</v>
      </c>
      <c r="BT23" s="721">
        <v>4189675</v>
      </c>
      <c r="BU23" s="722" t="s">
        <v>1696</v>
      </c>
      <c r="CC23" s="721">
        <v>5110778</v>
      </c>
      <c r="CD23" s="722" t="s">
        <v>1697</v>
      </c>
    </row>
    <row r="24" spans="1:82" ht="21" customHeight="1">
      <c r="A24" s="79" t="s">
        <v>1698</v>
      </c>
      <c r="B24" s="711">
        <v>2022</v>
      </c>
      <c r="AW24" s="721" t="s">
        <v>1161</v>
      </c>
      <c r="AX24" s="721" t="s">
        <v>1161</v>
      </c>
      <c r="AZ24" s="721" t="s">
        <v>1699</v>
      </c>
      <c r="BB24" s="721" t="s">
        <v>1700</v>
      </c>
      <c r="BC24" s="721" t="s">
        <v>1701</v>
      </c>
      <c r="BE24" s="721">
        <v>2022</v>
      </c>
      <c r="BH24" s="722" t="s">
        <v>1634</v>
      </c>
      <c r="BJ24" s="722" t="s">
        <v>1597</v>
      </c>
      <c r="BL24" s="722" t="s">
        <v>1597</v>
      </c>
      <c r="BQ24" s="721">
        <v>4190069</v>
      </c>
      <c r="BR24" s="722" t="s">
        <v>1702</v>
      </c>
      <c r="BT24" s="721">
        <v>4189676</v>
      </c>
      <c r="BU24" s="722" t="s">
        <v>1703</v>
      </c>
      <c r="CC24" s="721">
        <v>25575374</v>
      </c>
      <c r="CD24" s="722" t="s">
        <v>1704</v>
      </c>
    </row>
    <row r="25" spans="1:82" ht="11.25" customHeight="1">
      <c r="A25" s="79" t="s">
        <v>1705</v>
      </c>
      <c r="B25" s="711">
        <v>2023</v>
      </c>
      <c r="AW25" s="721" t="s">
        <v>1163</v>
      </c>
      <c r="AX25" s="721" t="s">
        <v>1163</v>
      </c>
      <c r="AZ25" s="721" t="s">
        <v>1706</v>
      </c>
      <c r="BB25" s="721" t="s">
        <v>1707</v>
      </c>
      <c r="BC25" s="721" t="s">
        <v>1701</v>
      </c>
      <c r="BE25" s="721">
        <v>2023</v>
      </c>
      <c r="BH25" s="722" t="s">
        <v>1639</v>
      </c>
      <c r="BJ25" s="722" t="s">
        <v>1662</v>
      </c>
      <c r="BL25" s="722" t="s">
        <v>1662</v>
      </c>
      <c r="BQ25" s="721">
        <v>4190070</v>
      </c>
      <c r="BR25" s="722" t="s">
        <v>1708</v>
      </c>
      <c r="BT25" s="721">
        <v>4189677</v>
      </c>
      <c r="BU25" s="722" t="s">
        <v>1709</v>
      </c>
    </row>
    <row r="26" spans="1:82" ht="11.25" customHeight="1">
      <c r="A26" s="79" t="s">
        <v>1710</v>
      </c>
      <c r="B26" s="711">
        <v>2024</v>
      </c>
      <c r="J26" s="180" t="s">
        <v>1711</v>
      </c>
      <c r="AX26" s="721" t="s">
        <v>105</v>
      </c>
      <c r="AZ26" s="721" t="s">
        <v>1590</v>
      </c>
      <c r="BB26" s="721" t="s">
        <v>1712</v>
      </c>
      <c r="BC26" s="721" t="s">
        <v>1701</v>
      </c>
      <c r="BE26" s="721">
        <v>2024</v>
      </c>
      <c r="BH26" s="722" t="s">
        <v>1649</v>
      </c>
      <c r="BJ26" s="722" t="s">
        <v>1607</v>
      </c>
      <c r="BL26" s="722" t="s">
        <v>1607</v>
      </c>
      <c r="BQ26" s="721">
        <v>4190071</v>
      </c>
      <c r="BR26" s="722" t="s">
        <v>1713</v>
      </c>
    </row>
    <row r="27" spans="1:82" ht="11.25" customHeight="1">
      <c r="A27" s="79" t="s">
        <v>1714</v>
      </c>
      <c r="B27" s="711">
        <v>2025</v>
      </c>
      <c r="J27" s="731" t="s">
        <v>103</v>
      </c>
      <c r="AX27" s="721" t="s">
        <v>1166</v>
      </c>
      <c r="BB27" s="721" t="s">
        <v>1715</v>
      </c>
      <c r="BC27" s="721" t="s">
        <v>1701</v>
      </c>
      <c r="BE27" s="721">
        <v>2025</v>
      </c>
      <c r="BH27" t="s">
        <v>22</v>
      </c>
      <c r="BJ27" s="722" t="s">
        <v>1613</v>
      </c>
      <c r="BL27" s="722" t="s">
        <v>1613</v>
      </c>
      <c r="BN27" t="s">
        <v>22</v>
      </c>
      <c r="BQ27" s="721">
        <v>4190072</v>
      </c>
      <c r="BR27" s="722" t="s">
        <v>1716</v>
      </c>
    </row>
    <row r="28" spans="1:82" ht="11.25" customHeight="1">
      <c r="A28" s="79" t="s">
        <v>1717</v>
      </c>
      <c r="E28" s="182"/>
      <c r="F28" s="182"/>
      <c r="H28" s="65" t="s">
        <v>1718</v>
      </c>
      <c r="AX28" s="721" t="s">
        <v>1168</v>
      </c>
      <c r="AZ28" s="160" t="s">
        <v>1719</v>
      </c>
      <c r="BB28" s="721" t="s">
        <v>1720</v>
      </c>
      <c r="BC28" s="721" t="s">
        <v>1721</v>
      </c>
      <c r="BE28" s="721">
        <v>2026</v>
      </c>
      <c r="BH28" t="s">
        <v>22</v>
      </c>
      <c r="BJ28" s="722" t="s">
        <v>1138</v>
      </c>
      <c r="BL28" s="722" t="s">
        <v>1138</v>
      </c>
      <c r="BN28" t="s">
        <v>22</v>
      </c>
      <c r="BQ28" s="721">
        <v>4190073</v>
      </c>
      <c r="BR28" s="722" t="s">
        <v>1722</v>
      </c>
    </row>
    <row r="29" spans="1:82" ht="11.25" customHeight="1">
      <c r="A29" s="79" t="s">
        <v>1723</v>
      </c>
      <c r="D29" s="183" t="s">
        <v>1724</v>
      </c>
      <c r="E29" s="732" t="str">
        <f>IF(TEMPLATE_GROUP="","",INDEX(StartDateList,MATCH(TEMPLATE_GROUP,CodeTemplateList,0),1))</f>
        <v>01.01.2023</v>
      </c>
      <c r="F29" s="732" t="str">
        <f>IF(TEMPLATE_GROUP="","",INDEX(EndDateList,MATCH(TEMPLATE_GROUP,CodeTemplateList,0),1))</f>
        <v>31.12.2023</v>
      </c>
      <c r="H29" s="184" t="s">
        <v>1725</v>
      </c>
      <c r="AX29" s="721" t="s">
        <v>1169</v>
      </c>
      <c r="AZ29" s="721" t="s">
        <v>1392</v>
      </c>
      <c r="BB29" s="721" t="s">
        <v>1590</v>
      </c>
      <c r="BE29" s="721">
        <v>2027</v>
      </c>
      <c r="BJ29" s="722" t="s">
        <v>1139</v>
      </c>
      <c r="BL29" s="722" t="s">
        <v>1139</v>
      </c>
    </row>
    <row r="30" spans="1:82" ht="11.25" customHeight="1">
      <c r="A30" s="79" t="s">
        <v>1726</v>
      </c>
      <c r="AX30" s="721" t="s">
        <v>1170</v>
      </c>
      <c r="AZ30" s="721" t="s">
        <v>1420</v>
      </c>
      <c r="BE30" s="721">
        <v>2028</v>
      </c>
      <c r="BJ30" s="722" t="s">
        <v>1727</v>
      </c>
      <c r="BL30" s="722" t="s">
        <v>1727</v>
      </c>
    </row>
    <row r="31" spans="1:82" ht="12.75" customHeight="1">
      <c r="A31" s="79" t="s">
        <v>1728</v>
      </c>
      <c r="E31" s="182"/>
      <c r="F31" s="182"/>
      <c r="H31" s="733"/>
      <c r="AX31" s="721" t="s">
        <v>1171</v>
      </c>
      <c r="AZ31" s="721" t="s">
        <v>1729</v>
      </c>
      <c r="BE31" s="721">
        <v>2029</v>
      </c>
      <c r="BJ31" s="722" t="s">
        <v>1730</v>
      </c>
      <c r="BL31" s="722" t="s">
        <v>1730</v>
      </c>
    </row>
    <row r="32" spans="1:82" ht="11.25" customHeight="1">
      <c r="A32" s="79" t="s">
        <v>1731</v>
      </c>
      <c r="D32" s="183" t="s">
        <v>1732</v>
      </c>
      <c r="E32" s="732" t="str">
        <f>IF(TEMPLATE_GROUP="","",INDEX(StartDateList,MATCH(TEMPLATE_GROUP,CodeTemplateList,0),1))</f>
        <v>01.01.2023</v>
      </c>
      <c r="F32" s="732" t="str">
        <f>IF(TEMPLATE_GROUP="","",INDEX(EndDateList,MATCH(TEMPLATE_GROUP,CodeTemplateList,0),1))</f>
        <v>31.12.2023</v>
      </c>
      <c r="H32" s="734" t="s">
        <v>1733</v>
      </c>
      <c r="O32" s="79" t="s">
        <v>1390</v>
      </c>
      <c r="AX32" s="721" t="s">
        <v>1173</v>
      </c>
      <c r="AZ32" s="721" t="s">
        <v>1488</v>
      </c>
      <c r="BE32" s="721">
        <v>2030</v>
      </c>
      <c r="BJ32" s="722" t="s">
        <v>1634</v>
      </c>
      <c r="BL32" s="722" t="s">
        <v>1634</v>
      </c>
    </row>
    <row r="33" spans="1:66" ht="11.25" customHeight="1">
      <c r="A33" s="79" t="s">
        <v>1734</v>
      </c>
      <c r="O33" s="79" t="s">
        <v>1417</v>
      </c>
      <c r="AX33" s="721" t="s">
        <v>1075</v>
      </c>
      <c r="AZ33" s="721" t="s">
        <v>1391</v>
      </c>
      <c r="BE33" s="721">
        <v>2031</v>
      </c>
      <c r="BJ33" s="722" t="s">
        <v>1639</v>
      </c>
      <c r="BL33" s="722" t="s">
        <v>1639</v>
      </c>
    </row>
    <row r="34" spans="1:66" ht="11.25" customHeight="1">
      <c r="A34" s="79" t="s">
        <v>1735</v>
      </c>
      <c r="O34" s="79" t="s">
        <v>1453</v>
      </c>
      <c r="AX34" s="721" t="s">
        <v>1736</v>
      </c>
      <c r="BE34" s="721">
        <v>2032</v>
      </c>
      <c r="BJ34" s="722" t="s">
        <v>1649</v>
      </c>
      <c r="BL34" s="722" t="s">
        <v>1649</v>
      </c>
    </row>
    <row r="35" spans="1:66" ht="11.25" customHeight="1">
      <c r="A35" s="79" t="s">
        <v>1737</v>
      </c>
      <c r="O35" s="79" t="s">
        <v>1486</v>
      </c>
      <c r="AX35" s="721" t="s">
        <v>1738</v>
      </c>
      <c r="AZ35" s="160" t="s">
        <v>1739</v>
      </c>
      <c r="BE35" s="721">
        <v>2033</v>
      </c>
      <c r="BL35" s="722" t="s">
        <v>1740</v>
      </c>
    </row>
    <row r="36" spans="1:66" ht="11.25" customHeight="1">
      <c r="A36" s="178" t="s">
        <v>1741</v>
      </c>
      <c r="D36" s="185" t="s">
        <v>1742</v>
      </c>
      <c r="E36" s="186" t="s">
        <v>874</v>
      </c>
      <c r="F36" s="720" t="str">
        <f>INDEX(E37:E41,MATCH(TEMPLATE_SPHERE,F37:F41,0))</f>
        <v>холодного водоснабжения</v>
      </c>
      <c r="G36" s="720" t="str">
        <f>INDEX(G37:G41,MATCH(TEMPLATE_SPHERE,F37:F41,0))</f>
        <v>холодное водоснабжение</v>
      </c>
      <c r="O36" s="79" t="s">
        <v>1510</v>
      </c>
      <c r="AX36" s="721" t="s">
        <v>1743</v>
      </c>
      <c r="AZ36" s="721" t="s">
        <v>1391</v>
      </c>
      <c r="BE36" s="721">
        <v>2034</v>
      </c>
      <c r="BL36" s="722" t="s">
        <v>1744</v>
      </c>
    </row>
    <row r="37" spans="1:66" ht="11.25" customHeight="1">
      <c r="A37" s="79" t="s">
        <v>1745</v>
      </c>
      <c r="E37" s="735" t="s">
        <v>1746</v>
      </c>
      <c r="F37" s="187" t="s">
        <v>828</v>
      </c>
      <c r="G37" s="735" t="s">
        <v>1747</v>
      </c>
      <c r="O37" s="79" t="s">
        <v>1529</v>
      </c>
      <c r="AX37" s="721" t="s">
        <v>1748</v>
      </c>
      <c r="AZ37" s="721" t="s">
        <v>1419</v>
      </c>
      <c r="BE37" s="721">
        <v>2035</v>
      </c>
    </row>
    <row r="38" spans="1:66" ht="11.25" customHeight="1">
      <c r="A38" s="79" t="s">
        <v>1749</v>
      </c>
      <c r="E38" s="735" t="s">
        <v>1750</v>
      </c>
      <c r="F38" s="188" t="s">
        <v>874</v>
      </c>
      <c r="G38" s="735" t="s">
        <v>1751</v>
      </c>
      <c r="O38" s="79" t="s">
        <v>1546</v>
      </c>
      <c r="AX38" s="721" t="s">
        <v>1752</v>
      </c>
      <c r="AZ38" s="721" t="s">
        <v>1454</v>
      </c>
      <c r="BE38" s="721">
        <v>2036</v>
      </c>
      <c r="BH38" s="160" t="s">
        <v>1753</v>
      </c>
      <c r="BJ38" s="160" t="s">
        <v>1754</v>
      </c>
      <c r="BL38" s="160" t="s">
        <v>1755</v>
      </c>
      <c r="BN38" s="160" t="s">
        <v>1756</v>
      </c>
    </row>
    <row r="39" spans="1:66" ht="11.25" customHeight="1">
      <c r="A39" s="79" t="s">
        <v>1757</v>
      </c>
      <c r="E39" s="735" t="s">
        <v>1758</v>
      </c>
      <c r="F39" s="188" t="s">
        <v>929</v>
      </c>
      <c r="G39" s="735" t="s">
        <v>1759</v>
      </c>
      <c r="O39" s="79" t="s">
        <v>1561</v>
      </c>
      <c r="AX39" s="721" t="s">
        <v>1760</v>
      </c>
      <c r="AZ39" s="721" t="s">
        <v>1487</v>
      </c>
      <c r="BE39" s="721">
        <v>2037</v>
      </c>
      <c r="BH39" s="722" t="s">
        <v>1761</v>
      </c>
      <c r="BJ39" s="728" t="s">
        <v>1761</v>
      </c>
      <c r="BL39" s="728" t="s">
        <v>1761</v>
      </c>
      <c r="BN39" s="722" t="s">
        <v>1762</v>
      </c>
    </row>
    <row r="40" spans="1:66" ht="11.25" customHeight="1">
      <c r="A40" s="79" t="s">
        <v>1763</v>
      </c>
      <c r="E40" s="735" t="s">
        <v>1764</v>
      </c>
      <c r="F40" s="188" t="s">
        <v>916</v>
      </c>
      <c r="G40" s="735" t="s">
        <v>1765</v>
      </c>
      <c r="O40" s="79" t="s">
        <v>1576</v>
      </c>
      <c r="AX40" s="721" t="s">
        <v>1766</v>
      </c>
      <c r="BE40" s="721">
        <v>2038</v>
      </c>
      <c r="BH40" s="722" t="s">
        <v>1767</v>
      </c>
      <c r="BJ40" s="728" t="s">
        <v>1201</v>
      </c>
      <c r="BL40" s="728" t="s">
        <v>1201</v>
      </c>
      <c r="BN40" s="722" t="s">
        <v>1235</v>
      </c>
    </row>
    <row r="41" spans="1:66" ht="11.25" customHeight="1">
      <c r="A41" s="79" t="s">
        <v>16</v>
      </c>
      <c r="E41" s="735" t="s">
        <v>1768</v>
      </c>
      <c r="F41" s="188" t="s">
        <v>1769</v>
      </c>
      <c r="G41" s="735" t="s">
        <v>1768</v>
      </c>
      <c r="O41" s="79" t="s">
        <v>1590</v>
      </c>
      <c r="AX41" s="721" t="s">
        <v>1770</v>
      </c>
      <c r="AZ41" s="160" t="s">
        <v>1771</v>
      </c>
      <c r="BE41" s="721">
        <v>2039</v>
      </c>
      <c r="BH41" s="722" t="s">
        <v>1772</v>
      </c>
      <c r="BJ41" s="728" t="s">
        <v>1197</v>
      </c>
      <c r="BL41" s="728" t="s">
        <v>1197</v>
      </c>
      <c r="BN41" s="722" t="s">
        <v>1222</v>
      </c>
    </row>
    <row r="42" spans="1:66" ht="11.25" customHeight="1">
      <c r="A42" s="79" t="s">
        <v>1773</v>
      </c>
      <c r="AX42" s="721" t="s">
        <v>1774</v>
      </c>
      <c r="AZ42" s="721" t="s">
        <v>1390</v>
      </c>
      <c r="BE42" s="721">
        <v>2040</v>
      </c>
      <c r="BH42" s="722" t="s">
        <v>1219</v>
      </c>
      <c r="BJ42" s="728" t="s">
        <v>1199</v>
      </c>
      <c r="BL42" s="728" t="s">
        <v>1199</v>
      </c>
      <c r="BN42" s="722" t="s">
        <v>1775</v>
      </c>
    </row>
    <row r="43" spans="1:66" ht="11.25" customHeight="1">
      <c r="A43" s="79" t="s">
        <v>1776</v>
      </c>
      <c r="AX43" s="721" t="s">
        <v>1777</v>
      </c>
      <c r="AZ43" s="721" t="s">
        <v>1417</v>
      </c>
      <c r="BE43" s="721">
        <v>2041</v>
      </c>
      <c r="BH43" s="722" t="s">
        <v>1778</v>
      </c>
      <c r="BJ43" s="728" t="s">
        <v>1772</v>
      </c>
      <c r="BL43" s="728" t="s">
        <v>1772</v>
      </c>
      <c r="BN43" s="722" t="s">
        <v>1779</v>
      </c>
    </row>
    <row r="44" spans="1:66" ht="11.25" customHeight="1">
      <c r="A44" s="79" t="s">
        <v>1780</v>
      </c>
      <c r="G44" s="736">
        <f ca="1">YEAR(TODAY())</f>
        <v>2024</v>
      </c>
      <c r="I44" s="189" t="s">
        <v>1781</v>
      </c>
      <c r="J44" s="176" t="s">
        <v>1782</v>
      </c>
      <c r="K44" s="176" t="s">
        <v>1783</v>
      </c>
      <c r="AX44" s="721" t="s">
        <v>1784</v>
      </c>
      <c r="AZ44" s="721" t="s">
        <v>1453</v>
      </c>
      <c r="BE44" s="721">
        <v>2042</v>
      </c>
      <c r="BH44" s="722" t="s">
        <v>1785</v>
      </c>
      <c r="BJ44" s="728" t="s">
        <v>1219</v>
      </c>
      <c r="BL44" s="728" t="s">
        <v>1219</v>
      </c>
      <c r="BN44" s="722" t="s">
        <v>1786</v>
      </c>
    </row>
    <row r="45" spans="1:66" ht="11.25" customHeight="1">
      <c r="A45" s="79" t="s">
        <v>1787</v>
      </c>
      <c r="D45" s="185" t="s">
        <v>1788</v>
      </c>
      <c r="E45" s="186" t="s">
        <v>1789</v>
      </c>
      <c r="F45" s="161" t="s">
        <v>1790</v>
      </c>
      <c r="G45" s="190" t="s">
        <v>1791</v>
      </c>
      <c r="H45" s="189" t="s">
        <v>1792</v>
      </c>
      <c r="I45" s="737" t="b">
        <f>INDEX(PeriodIsEmptyList,MATCH(TEMPLATE_GROUP,CodeTemplateList,0),1)</f>
        <v>0</v>
      </c>
      <c r="J45" s="738"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73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721" t="s">
        <v>1793</v>
      </c>
      <c r="AZ45" s="721" t="s">
        <v>1486</v>
      </c>
      <c r="BE45" s="721">
        <v>2043</v>
      </c>
      <c r="BH45" s="722" t="s">
        <v>1794</v>
      </c>
      <c r="BJ45" s="728" t="s">
        <v>1213</v>
      </c>
      <c r="BL45" s="728" t="s">
        <v>1213</v>
      </c>
      <c r="BN45" s="722" t="s">
        <v>1795</v>
      </c>
    </row>
    <row r="46" spans="1:66" ht="11.25" customHeight="1">
      <c r="A46" s="79" t="s">
        <v>1796</v>
      </c>
      <c r="E46" s="735" t="s">
        <v>27</v>
      </c>
      <c r="F46" s="187" t="s">
        <v>1797</v>
      </c>
      <c r="G46" s="739" t="str">
        <f ca="1">IFERROR(IF(TITLE_DATE_FIL="","01.01."&amp;CURRENT_YEAR,"01.01."&amp;YEAR(TITLE_DATE_FIL)),"01.01."&amp;CURRENT_YEAR)</f>
        <v>01.01.2024</v>
      </c>
      <c r="H46" s="739" t="str">
        <f ca="1">IFERROR(IF(TITLE_DATE_FIL="","31.12."&amp;CURRENT_YEAR,"31.12."&amp;YEAR(TITLE_DATE_FIL)),"31.12."&amp;CURRENT_YEAR)</f>
        <v>31.12.2024</v>
      </c>
      <c r="I46" s="740" t="b">
        <f>IF(TITLE_DATE_FIL="",TRUE,FALSE)</f>
        <v>1</v>
      </c>
      <c r="J46" s="741" t="str">
        <f>"Общая информация о регулируемой организации ("&amp;TEMPLATE_SPHERE_RUS&amp;")"</f>
        <v>Общая информация о регулируемой организации (холодного водоснабжения)</v>
      </c>
      <c r="AX46" s="721" t="s">
        <v>1798</v>
      </c>
      <c r="AZ46" s="721" t="s">
        <v>1510</v>
      </c>
      <c r="BE46" s="721">
        <v>2044</v>
      </c>
      <c r="BH46" s="722" t="s">
        <v>1222</v>
      </c>
      <c r="BJ46" s="728" t="s">
        <v>1203</v>
      </c>
      <c r="BL46" s="728" t="s">
        <v>1203</v>
      </c>
      <c r="BN46" s="722" t="s">
        <v>1799</v>
      </c>
    </row>
    <row r="47" spans="1:66" ht="11.25" customHeight="1">
      <c r="A47" s="79" t="s">
        <v>1800</v>
      </c>
      <c r="E47" s="735" t="s">
        <v>33</v>
      </c>
      <c r="F47" s="188" t="s">
        <v>1801</v>
      </c>
      <c r="G47" s="739" t="str">
        <f>IFERROR(IF(f_year="","01.01."&amp;CURRENT_YEAR,IF(LEN(f_quart)=0,"01.01."&amp;f_year,IF(f_quart="I квартал","01.01."&amp;f_year,IF(f_quart="II квартал","01.04."&amp;f_year,(IF(f_quart="III квартал","01.07."&amp;f_year,"01.10."&amp;f_year)))))),"01.01."&amp;CURRENT_YEAR)</f>
        <v>01.01.2023</v>
      </c>
      <c r="H47" s="739" t="str">
        <f>IFERROR(IF(f_year="","31.12."&amp;CURRENT_YEAR,IF(LEN(f_quart)=0,"31.12."&amp;f_year,IF(f_quart="I квартал","31.03."&amp;f_year,IF(f_quart="II квартал","30.06."&amp;f_year,(IF(f_quart="III квартал","30.09."&amp;f_year,"31.12."&amp;f_year)))))),"31.12."&amp;CURRENT_YEAR)</f>
        <v>31.12.2023</v>
      </c>
      <c r="I47" s="742" t="b">
        <f>IF(OR(f_year="",f_quart=""),TRUE,FALSE)</f>
        <v>1</v>
      </c>
      <c r="J47" s="74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AX47" s="721" t="s">
        <v>1802</v>
      </c>
      <c r="AZ47" s="721" t="s">
        <v>1529</v>
      </c>
      <c r="BE47" s="721">
        <v>2045</v>
      </c>
      <c r="BH47" s="722" t="s">
        <v>1775</v>
      </c>
      <c r="BJ47" s="728" t="s">
        <v>1205</v>
      </c>
      <c r="BL47" s="728" t="s">
        <v>1205</v>
      </c>
      <c r="BN47" s="722" t="s">
        <v>1803</v>
      </c>
    </row>
    <row r="48" spans="1:66" ht="11.25" customHeight="1">
      <c r="A48" s="79" t="s">
        <v>1804</v>
      </c>
      <c r="E48" s="735" t="s">
        <v>1805</v>
      </c>
      <c r="F48" s="188" t="s">
        <v>1789</v>
      </c>
      <c r="G48" s="739" t="str">
        <f>IFERROR(IF(f_year="","01.01."&amp;CURRENT_YEAR,"01.01."&amp;f_year),"01.01."&amp;CURRENT_YEAR)</f>
        <v>01.01.2023</v>
      </c>
      <c r="H48" s="739" t="str">
        <f>IFERROR(IF(f_year="","31.12."&amp;CURRENT_YEAR,"31.12."&amp;f_year),"31.12."&amp;CURRENT_YEAR)</f>
        <v>31.12.2023</v>
      </c>
      <c r="I48" s="740" t="b">
        <f>IF(f_year="",TRUE,FALSE)</f>
        <v>0</v>
      </c>
      <c r="J48" s="741" t="s">
        <v>1806</v>
      </c>
      <c r="AX48" s="721" t="s">
        <v>1807</v>
      </c>
      <c r="AZ48" s="721" t="s">
        <v>1546</v>
      </c>
      <c r="BE48" s="721">
        <v>2046</v>
      </c>
      <c r="BH48" s="722" t="s">
        <v>1779</v>
      </c>
      <c r="BJ48" s="728" t="s">
        <v>1207</v>
      </c>
      <c r="BL48" s="728" t="s">
        <v>1207</v>
      </c>
      <c r="BN48" s="722" t="s">
        <v>1808</v>
      </c>
    </row>
    <row r="49" spans="1:64" ht="11.25" customHeight="1">
      <c r="A49" s="79" t="s">
        <v>1809</v>
      </c>
      <c r="E49" s="735" t="s">
        <v>1810</v>
      </c>
      <c r="F49" s="188" t="s">
        <v>1811</v>
      </c>
      <c r="G49" s="739" t="str">
        <f>IFERROR(IF(f_year="","01.01."&amp;CURRENT_YEAR,"01.01."&amp;f_year),"01.01."&amp;CURRENT_YEAR)</f>
        <v>01.01.2023</v>
      </c>
      <c r="H49" s="739" t="str">
        <f>IFERROR(IF(f_year="","31.12."&amp;CURRENT_YEAR,"31.12."&amp;f_year),"31.12."&amp;CURRENT_YEAR)</f>
        <v>31.12.2023</v>
      </c>
      <c r="I49" s="740" t="b">
        <f>IF(f_year="",TRUE,FALSE)</f>
        <v>0</v>
      </c>
      <c r="J49" s="74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AX49" s="721" t="s">
        <v>1812</v>
      </c>
      <c r="AZ49" s="721" t="s">
        <v>1561</v>
      </c>
      <c r="BE49" s="721">
        <v>2047</v>
      </c>
      <c r="BH49" s="722" t="s">
        <v>1223</v>
      </c>
      <c r="BJ49" s="728" t="s">
        <v>1209</v>
      </c>
      <c r="BL49" s="728" t="s">
        <v>1209</v>
      </c>
    </row>
    <row r="50" spans="1:64" ht="11.25" customHeight="1">
      <c r="A50" s="79" t="s">
        <v>1813</v>
      </c>
      <c r="E50" s="735" t="s">
        <v>1814</v>
      </c>
      <c r="F50" s="188" t="s">
        <v>1193</v>
      </c>
      <c r="G50" s="739" t="str">
        <f>IFERROR(IF(f_year="","01.01."&amp;CURRENT_YEAR,"01.01."&amp;f_year),"01.01."&amp;CURRENT_YEAR)</f>
        <v>01.01.2023</v>
      </c>
      <c r="H50" s="739" t="str">
        <f>IFERROR(IF(f_year="","31.12."&amp;CURRENT_YEAR,"31.12."&amp;f_year),"31.12."&amp;CURRENT_YEAR)</f>
        <v>31.12.2023</v>
      </c>
      <c r="I50" s="740" t="b">
        <f>IF(f_year="",TRUE,FALSE)</f>
        <v>0</v>
      </c>
      <c r="J50" s="74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AX50" s="721" t="s">
        <v>98</v>
      </c>
      <c r="AZ50" s="721" t="s">
        <v>1576</v>
      </c>
      <c r="BE50" s="721">
        <v>2048</v>
      </c>
      <c r="BH50" s="722" t="s">
        <v>1786</v>
      </c>
      <c r="BJ50" s="728" t="s">
        <v>1211</v>
      </c>
      <c r="BL50" s="728" t="s">
        <v>1211</v>
      </c>
    </row>
    <row r="51" spans="1:64" ht="11.25" customHeight="1">
      <c r="A51" s="79" t="s">
        <v>1815</v>
      </c>
      <c r="E51" s="735" t="s">
        <v>1816</v>
      </c>
      <c r="F51" s="188" t="s">
        <v>1817</v>
      </c>
      <c r="G51" s="739" t="str">
        <f ca="1">IFERROR(IF(TITLE_PERIOD_START="","01.01."&amp;CURRENT_YEAR,"01.01."&amp;YEAR(TITLE_PERIOD_START)),"01.01."&amp;CURRENT_YEAR)</f>
        <v>01.01.2024</v>
      </c>
      <c r="H51" s="739" t="str">
        <f ca="1">IFERROR(IF(TITLE_PERIOD_END="","31.12."&amp;CURRENT_YEAR,"31.12."&amp;YEAR(TITLE_PERIOD_END)),"31.12."&amp;CURRENT_YEAR)</f>
        <v>31.12.2024</v>
      </c>
      <c r="I51" s="742" t="b">
        <f>IF(OR(TITLE_PERIOD_START="",TITLE_PERIOD_END=""),TRUE,FALSE)</f>
        <v>1</v>
      </c>
      <c r="J51" s="74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AX51" s="721" t="s">
        <v>1818</v>
      </c>
      <c r="AZ51" s="721" t="s">
        <v>1590</v>
      </c>
      <c r="BE51" s="721">
        <v>2049</v>
      </c>
      <c r="BH51" s="722" t="s">
        <v>1795</v>
      </c>
      <c r="BJ51" s="728" t="s">
        <v>1819</v>
      </c>
      <c r="BL51" s="728" t="s">
        <v>1819</v>
      </c>
    </row>
    <row r="52" spans="1:64" ht="11.25" customHeight="1">
      <c r="A52" s="79" t="s">
        <v>1820</v>
      </c>
      <c r="E52" s="735" t="s">
        <v>1821</v>
      </c>
      <c r="F52" s="188" t="s">
        <v>1822</v>
      </c>
      <c r="G52" s="739" t="str">
        <f ca="1">IFERROR(IF(TITLE_PERIOD_START="","01.01."&amp;CURRENT_YEAR,"01.01."&amp;YEAR(TITLE_PERIOD_START)),"01.01."&amp;CURRENT_YEAR)</f>
        <v>01.01.2024</v>
      </c>
      <c r="H52" s="739" t="str">
        <f ca="1">IFERROR(IF(TITLE_PERIOD_END="","31.12."&amp;CURRENT_YEAR,"31.12."&amp;YEAR(TITLE_PERIOD_END)),"31.12."&amp;CURRENT_YEAR)</f>
        <v>31.12.2024</v>
      </c>
      <c r="I52" s="742" t="b">
        <f>IF(OR(TITLE_PERIOD_START="",TITLE_PERIOD_END=""),TRUE,FALSE)</f>
        <v>1</v>
      </c>
      <c r="J52" s="74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AX52" s="721" t="s">
        <v>1823</v>
      </c>
      <c r="AZ52" s="721" t="s">
        <v>1391</v>
      </c>
      <c r="BE52" s="721">
        <v>2050</v>
      </c>
      <c r="BH52" s="722" t="s">
        <v>1799</v>
      </c>
      <c r="BJ52" s="728" t="s">
        <v>1222</v>
      </c>
      <c r="BL52" s="728" t="s">
        <v>1222</v>
      </c>
    </row>
    <row r="53" spans="1:64" ht="11.25" customHeight="1">
      <c r="A53" s="79" t="s">
        <v>1824</v>
      </c>
      <c r="E53" s="735" t="s">
        <v>1825</v>
      </c>
      <c r="F53" s="188" t="s">
        <v>1825</v>
      </c>
      <c r="G53" s="739" t="str">
        <f>IFERROR(IF(f_year="","01.01."&amp;CURRENT_YEAR,"01.01."&amp;f_year),"01.01."&amp;CURRENT_YEAR)</f>
        <v>01.01.2023</v>
      </c>
      <c r="H53" s="739" t="str">
        <f>IFERROR(IF(f_year="","31.12."&amp;CURRENT_YEAR,"31.12."&amp;f_year),"31.12."&amp;CURRENT_YEAR)</f>
        <v>31.12.2023</v>
      </c>
      <c r="I53" s="740" t="b">
        <f>IF(AND(f_year="",TITLE_DATE_FIL=""),TRUE,FALSE)</f>
        <v>0</v>
      </c>
      <c r="J53" s="741" t="s">
        <v>1826</v>
      </c>
      <c r="AX53" s="721" t="s">
        <v>1827</v>
      </c>
      <c r="BE53" s="721">
        <v>2051</v>
      </c>
      <c r="BH53" s="722" t="s">
        <v>1803</v>
      </c>
      <c r="BJ53" s="728" t="s">
        <v>1775</v>
      </c>
      <c r="BL53" s="728" t="s">
        <v>1775</v>
      </c>
    </row>
    <row r="54" spans="1:64" ht="11.25" customHeight="1">
      <c r="A54" s="79" t="s">
        <v>1828</v>
      </c>
      <c r="AX54" s="721" t="s">
        <v>1829</v>
      </c>
      <c r="AZ54" s="160" t="s">
        <v>1830</v>
      </c>
      <c r="BE54" s="721">
        <v>2052</v>
      </c>
      <c r="BH54" s="722" t="s">
        <v>1808</v>
      </c>
      <c r="BJ54" s="728" t="s">
        <v>1779</v>
      </c>
      <c r="BL54" s="728" t="s">
        <v>1779</v>
      </c>
    </row>
    <row r="55" spans="1:64" ht="11.25" customHeight="1">
      <c r="A55" s="79" t="s">
        <v>1831</v>
      </c>
      <c r="AX55" s="721" t="s">
        <v>1832</v>
      </c>
      <c r="AZ55" s="721" t="s">
        <v>1393</v>
      </c>
      <c r="BE55" s="721">
        <v>2053</v>
      </c>
      <c r="BH55" s="1029" t="s">
        <v>22</v>
      </c>
      <c r="BJ55" s="728" t="s">
        <v>1223</v>
      </c>
      <c r="BL55" s="728" t="s">
        <v>1223</v>
      </c>
    </row>
    <row r="56" spans="1:64" ht="11.25" customHeight="1">
      <c r="A56" s="79" t="s">
        <v>1833</v>
      </c>
      <c r="D56" s="191" t="s">
        <v>1834</v>
      </c>
      <c r="E56" s="176" t="s">
        <v>1827</v>
      </c>
      <c r="F56" s="79" t="s">
        <v>1835</v>
      </c>
      <c r="AX56" s="721" t="s">
        <v>1836</v>
      </c>
      <c r="AZ56" s="721" t="s">
        <v>1421</v>
      </c>
      <c r="BE56" s="721">
        <v>2054</v>
      </c>
      <c r="BH56" t="s">
        <v>22</v>
      </c>
      <c r="BJ56" s="728" t="s">
        <v>1786</v>
      </c>
      <c r="BL56" s="728" t="s">
        <v>1786</v>
      </c>
    </row>
    <row r="57" spans="1:64" ht="11.25" customHeight="1">
      <c r="A57" s="79" t="s">
        <v>1837</v>
      </c>
      <c r="D57" s="191" t="s">
        <v>1838</v>
      </c>
      <c r="E57" s="176" t="s">
        <v>1839</v>
      </c>
      <c r="F57" s="79" t="s">
        <v>1835</v>
      </c>
      <c r="AX57" s="721" t="s">
        <v>1840</v>
      </c>
      <c r="AZ57" s="721" t="s">
        <v>1456</v>
      </c>
      <c r="BE57" s="721">
        <v>2055</v>
      </c>
      <c r="BJ57" s="728" t="s">
        <v>1795</v>
      </c>
      <c r="BL57" s="728" t="s">
        <v>1795</v>
      </c>
    </row>
    <row r="58" spans="1:64" ht="11.25" customHeight="1">
      <c r="A58" s="79" t="s">
        <v>1841</v>
      </c>
      <c r="D58" s="191" t="s">
        <v>1842</v>
      </c>
      <c r="E58" s="176" t="s">
        <v>1827</v>
      </c>
      <c r="F58" s="79" t="s">
        <v>1835</v>
      </c>
      <c r="AX58" s="721" t="s">
        <v>1843</v>
      </c>
      <c r="BE58" s="721">
        <v>2056</v>
      </c>
      <c r="BJ58" s="728" t="s">
        <v>1799</v>
      </c>
      <c r="BL58" s="728" t="s">
        <v>1799</v>
      </c>
    </row>
    <row r="59" spans="1:64" ht="11.25" customHeight="1">
      <c r="A59" s="79" t="s">
        <v>1844</v>
      </c>
      <c r="D59" s="191" t="s">
        <v>144</v>
      </c>
      <c r="E59" s="176" t="s">
        <v>1173</v>
      </c>
      <c r="F59" s="79" t="s">
        <v>1845</v>
      </c>
      <c r="AX59" s="721" t="s">
        <v>1846</v>
      </c>
      <c r="AZ59" s="160" t="s">
        <v>1847</v>
      </c>
      <c r="BE59" s="721">
        <v>2057</v>
      </c>
      <c r="BJ59" s="728" t="s">
        <v>1803</v>
      </c>
      <c r="BL59" s="728" t="s">
        <v>1803</v>
      </c>
    </row>
    <row r="60" spans="1:64" ht="11.25" customHeight="1">
      <c r="A60" s="79" t="s">
        <v>1848</v>
      </c>
      <c r="D60" s="191" t="s">
        <v>1849</v>
      </c>
      <c r="E60" s="176" t="s">
        <v>1173</v>
      </c>
      <c r="F60" s="79" t="s">
        <v>1845</v>
      </c>
      <c r="AX60" s="721" t="s">
        <v>1850</v>
      </c>
      <c r="AZ60" s="721" t="s">
        <v>1394</v>
      </c>
      <c r="BE60" s="721">
        <v>2058</v>
      </c>
      <c r="BJ60" s="728" t="s">
        <v>1808</v>
      </c>
      <c r="BL60" s="728" t="s">
        <v>1808</v>
      </c>
    </row>
    <row r="61" spans="1:64" ht="11.25" customHeight="1">
      <c r="A61" s="79" t="s">
        <v>1851</v>
      </c>
      <c r="D61" s="191" t="s">
        <v>1852</v>
      </c>
      <c r="E61" s="176" t="s">
        <v>1173</v>
      </c>
      <c r="F61" s="79" t="s">
        <v>1845</v>
      </c>
      <c r="AX61" s="721" t="s">
        <v>1853</v>
      </c>
      <c r="AZ61" s="721" t="s">
        <v>1422</v>
      </c>
      <c r="BE61" s="721">
        <v>2059</v>
      </c>
      <c r="BL61" s="728" t="s">
        <v>1215</v>
      </c>
    </row>
    <row r="62" spans="1:64" ht="11.25" customHeight="1">
      <c r="A62" s="79" t="s">
        <v>1854</v>
      </c>
      <c r="D62" s="191" t="s">
        <v>143</v>
      </c>
      <c r="E62" s="176">
        <v>30</v>
      </c>
      <c r="F62" s="79" t="s">
        <v>1845</v>
      </c>
      <c r="AZ62" s="721" t="s">
        <v>1457</v>
      </c>
      <c r="BE62" s="721">
        <v>2060</v>
      </c>
      <c r="BL62" s="728" t="s">
        <v>1217</v>
      </c>
    </row>
    <row r="63" spans="1:64" ht="11.25" customHeight="1">
      <c r="A63" s="79" t="s">
        <v>1855</v>
      </c>
      <c r="D63" s="191" t="s">
        <v>1856</v>
      </c>
      <c r="E63" s="176">
        <v>30</v>
      </c>
      <c r="F63" s="79" t="s">
        <v>1845</v>
      </c>
      <c r="AZ63" s="721" t="s">
        <v>1489</v>
      </c>
      <c r="BE63" s="721">
        <v>2061</v>
      </c>
    </row>
    <row r="64" spans="1:64" ht="11.25" customHeight="1">
      <c r="A64" s="79" t="s">
        <v>1857</v>
      </c>
      <c r="D64" s="191" t="s">
        <v>1858</v>
      </c>
      <c r="E64" s="176">
        <v>30</v>
      </c>
      <c r="F64" s="79" t="s">
        <v>1845</v>
      </c>
      <c r="AZ64" s="721" t="s">
        <v>1511</v>
      </c>
      <c r="BE64" s="721">
        <v>2062</v>
      </c>
    </row>
    <row r="65" spans="1:66" ht="11.25" customHeight="1">
      <c r="A65" s="79" t="s">
        <v>1859</v>
      </c>
      <c r="BE65" s="721">
        <v>2063</v>
      </c>
    </row>
    <row r="66" spans="1:66" ht="11.25" customHeight="1">
      <c r="A66" s="79" t="s">
        <v>1860</v>
      </c>
      <c r="AZ66" s="160" t="s">
        <v>1861</v>
      </c>
      <c r="BE66" s="721">
        <v>2064</v>
      </c>
    </row>
    <row r="67" spans="1:66" ht="11.25" customHeight="1">
      <c r="A67" s="79" t="s">
        <v>1862</v>
      </c>
      <c r="AZ67" s="721" t="s">
        <v>1395</v>
      </c>
      <c r="BE67" s="721">
        <v>2065</v>
      </c>
    </row>
    <row r="68" spans="1:66" ht="11.25" customHeight="1">
      <c r="A68" s="79" t="s">
        <v>1863</v>
      </c>
      <c r="AZ68" s="721" t="s">
        <v>1423</v>
      </c>
      <c r="BE68" s="721">
        <v>2066</v>
      </c>
      <c r="BH68" s="160" t="s">
        <v>1864</v>
      </c>
      <c r="BJ68" s="160" t="s">
        <v>1865</v>
      </c>
      <c r="BL68" s="160" t="s">
        <v>1866</v>
      </c>
      <c r="BN68" s="160" t="s">
        <v>1867</v>
      </c>
    </row>
    <row r="69" spans="1:66" ht="11.25" customHeight="1">
      <c r="A69" s="79" t="s">
        <v>1868</v>
      </c>
      <c r="AZ69" s="721" t="s">
        <v>1458</v>
      </c>
      <c r="BE69" s="721">
        <v>2067</v>
      </c>
      <c r="BH69" s="722" t="s">
        <v>1869</v>
      </c>
      <c r="BI69" s="192" t="s">
        <v>114</v>
      </c>
      <c r="BJ69" s="722" t="s">
        <v>1123</v>
      </c>
      <c r="BK69" s="192" t="s">
        <v>114</v>
      </c>
      <c r="BL69" s="722" t="s">
        <v>1870</v>
      </c>
      <c r="BM69" s="192" t="s">
        <v>114</v>
      </c>
      <c r="BN69" s="722" t="s">
        <v>1871</v>
      </c>
    </row>
    <row r="70" spans="1:66" ht="11.25" customHeight="1">
      <c r="A70" s="79" t="s">
        <v>1872</v>
      </c>
      <c r="AZ70" s="721" t="s">
        <v>1490</v>
      </c>
      <c r="BE70" s="721">
        <v>2068</v>
      </c>
      <c r="BH70" s="722" t="s">
        <v>1873</v>
      </c>
      <c r="BJ70" s="722" t="s">
        <v>1080</v>
      </c>
      <c r="BL70" s="722" t="s">
        <v>1874</v>
      </c>
      <c r="BN70" s="722" t="s">
        <v>1875</v>
      </c>
    </row>
    <row r="71" spans="1:66" ht="11.25" customHeight="1">
      <c r="A71" s="79" t="s">
        <v>1876</v>
      </c>
      <c r="AZ71" s="721" t="s">
        <v>1492</v>
      </c>
      <c r="BE71" s="721">
        <v>2069</v>
      </c>
      <c r="BH71" s="722" t="s">
        <v>1877</v>
      </c>
      <c r="BI71" s="192" t="s">
        <v>89</v>
      </c>
      <c r="BJ71" s="722" t="s">
        <v>1077</v>
      </c>
      <c r="BK71" s="192" t="s">
        <v>89</v>
      </c>
      <c r="BL71" s="722" t="s">
        <v>1878</v>
      </c>
      <c r="BM71" s="192" t="s">
        <v>89</v>
      </c>
      <c r="BN71" s="722" t="s">
        <v>1879</v>
      </c>
    </row>
    <row r="72" spans="1:66" ht="11.25" customHeight="1">
      <c r="A72" s="79" t="s">
        <v>1880</v>
      </c>
      <c r="AZ72" s="721" t="s">
        <v>19</v>
      </c>
      <c r="BE72" s="721">
        <v>2070</v>
      </c>
      <c r="BH72" s="722" t="s">
        <v>1053</v>
      </c>
      <c r="BJ72" s="722" t="s">
        <v>1053</v>
      </c>
      <c r="BL72" s="722" t="s">
        <v>1053</v>
      </c>
      <c r="BN72" s="722" t="s">
        <v>1881</v>
      </c>
    </row>
    <row r="73" spans="1:66" ht="11.25" customHeight="1">
      <c r="A73" s="79" t="s">
        <v>1882</v>
      </c>
      <c r="BH73" s="722" t="s">
        <v>1883</v>
      </c>
      <c r="BI73" s="192" t="s">
        <v>115</v>
      </c>
      <c r="BJ73" s="722" t="s">
        <v>1884</v>
      </c>
      <c r="BK73" s="192" t="s">
        <v>115</v>
      </c>
      <c r="BL73" s="722" t="s">
        <v>1885</v>
      </c>
      <c r="BM73" s="192" t="s">
        <v>115</v>
      </c>
      <c r="BN73" s="722" t="s">
        <v>1886</v>
      </c>
    </row>
    <row r="74" spans="1:66" ht="11.25" customHeight="1">
      <c r="A74" s="79" t="s">
        <v>1887</v>
      </c>
      <c r="BH74" s="722" t="s">
        <v>1888</v>
      </c>
      <c r="BJ74" s="722" t="s">
        <v>1086</v>
      </c>
      <c r="BL74" s="722" t="s">
        <v>1889</v>
      </c>
      <c r="BN74" s="722" t="s">
        <v>1890</v>
      </c>
    </row>
    <row r="75" spans="1:66" ht="11.25" customHeight="1">
      <c r="A75" s="79" t="s">
        <v>1891</v>
      </c>
      <c r="AZ75" s="160" t="s">
        <v>1892</v>
      </c>
      <c r="BH75" s="722" t="s">
        <v>1893</v>
      </c>
      <c r="BJ75" s="722" t="s">
        <v>1893</v>
      </c>
      <c r="BL75" s="722" t="s">
        <v>1893</v>
      </c>
    </row>
    <row r="76" spans="1:66" ht="11.25" customHeight="1">
      <c r="A76" s="79" t="s">
        <v>1894</v>
      </c>
      <c r="AZ76" s="721" t="s">
        <v>1404</v>
      </c>
      <c r="BH76" s="722" t="s">
        <v>1895</v>
      </c>
      <c r="BJ76" s="722" t="s">
        <v>1066</v>
      </c>
      <c r="BL76" s="722" t="s">
        <v>1896</v>
      </c>
    </row>
    <row r="77" spans="1:66" ht="11.25" customHeight="1">
      <c r="A77" s="79" t="s">
        <v>1897</v>
      </c>
      <c r="AZ77" s="721" t="s">
        <v>1433</v>
      </c>
    </row>
    <row r="78" spans="1:66" ht="11.25" customHeight="1">
      <c r="A78" s="79" t="s">
        <v>1898</v>
      </c>
      <c r="AZ78" s="721" t="s">
        <v>1465</v>
      </c>
    </row>
    <row r="79" spans="1:66" ht="11.25" customHeight="1">
      <c r="A79" s="79" t="s">
        <v>1899</v>
      </c>
      <c r="AZ79" s="721" t="s">
        <v>1496</v>
      </c>
      <c r="BH79" s="160" t="s">
        <v>1900</v>
      </c>
      <c r="BJ79" s="160" t="s">
        <v>1122</v>
      </c>
      <c r="BL79" s="160" t="s">
        <v>1901</v>
      </c>
    </row>
    <row r="80" spans="1:66" ht="11.25" customHeight="1">
      <c r="A80" s="79" t="s">
        <v>1902</v>
      </c>
      <c r="AZ80" s="721" t="s">
        <v>1516</v>
      </c>
      <c r="BH80" s="722" t="s">
        <v>1903</v>
      </c>
      <c r="BJ80" s="722" t="s">
        <v>1124</v>
      </c>
      <c r="BL80" s="722" t="s">
        <v>1904</v>
      </c>
    </row>
    <row r="81" spans="1:66" ht="11.25" customHeight="1">
      <c r="A81" s="79" t="s">
        <v>1905</v>
      </c>
      <c r="AZ81" s="721" t="s">
        <v>1533</v>
      </c>
      <c r="BH81" s="722" t="s">
        <v>1906</v>
      </c>
      <c r="BJ81" s="722" t="s">
        <v>1907</v>
      </c>
      <c r="BL81" s="722" t="s">
        <v>1908</v>
      </c>
    </row>
    <row r="82" spans="1:66" ht="11.25" customHeight="1">
      <c r="A82" s="79" t="s">
        <v>1909</v>
      </c>
      <c r="AZ82" s="721" t="s">
        <v>1548</v>
      </c>
      <c r="BH82" s="722" t="s">
        <v>1910</v>
      </c>
      <c r="BJ82" s="722" t="s">
        <v>1911</v>
      </c>
      <c r="BL82" s="722" t="s">
        <v>1912</v>
      </c>
    </row>
    <row r="83" spans="1:66" ht="11.25" customHeight="1">
      <c r="A83" s="79" t="s">
        <v>1913</v>
      </c>
      <c r="BH83" s="722" t="s">
        <v>1914</v>
      </c>
      <c r="BJ83" s="722" t="s">
        <v>1915</v>
      </c>
      <c r="BL83" s="722" t="s">
        <v>1916</v>
      </c>
    </row>
    <row r="84" spans="1:66" ht="11.25" customHeight="1">
      <c r="A84" s="79" t="s">
        <v>1917</v>
      </c>
      <c r="AZ84" s="160" t="s">
        <v>1918</v>
      </c>
    </row>
    <row r="85" spans="1:66" ht="11.25" customHeight="1">
      <c r="A85" s="178" t="s">
        <v>1919</v>
      </c>
      <c r="AZ85" s="721" t="s">
        <v>1920</v>
      </c>
    </row>
    <row r="86" spans="1:66" ht="11.25" customHeight="1">
      <c r="A86" s="79" t="s">
        <v>1921</v>
      </c>
      <c r="AZ86" s="721" t="s">
        <v>1922</v>
      </c>
      <c r="BH86" s="160" t="s">
        <v>1923</v>
      </c>
      <c r="BJ86" s="160" t="s">
        <v>1076</v>
      </c>
      <c r="BL86" s="160" t="s">
        <v>1924</v>
      </c>
    </row>
    <row r="87" spans="1:66" ht="11.25" customHeight="1">
      <c r="A87" s="79" t="s">
        <v>1925</v>
      </c>
      <c r="AZ87" s="721" t="s">
        <v>1926</v>
      </c>
      <c r="BH87" s="722" t="s">
        <v>1927</v>
      </c>
      <c r="BJ87" s="722" t="s">
        <v>1130</v>
      </c>
      <c r="BL87" s="722" t="s">
        <v>1928</v>
      </c>
    </row>
    <row r="88" spans="1:66" ht="11.25" customHeight="1">
      <c r="A88" s="79" t="s">
        <v>1929</v>
      </c>
      <c r="BH88" s="722" t="s">
        <v>1930</v>
      </c>
      <c r="BJ88" s="722" t="s">
        <v>1078</v>
      </c>
      <c r="BL88" s="722" t="s">
        <v>1931</v>
      </c>
    </row>
    <row r="89" spans="1:66" ht="11.25" customHeight="1">
      <c r="A89" s="79" t="s">
        <v>1932</v>
      </c>
      <c r="AZ89" s="160" t="s">
        <v>1933</v>
      </c>
    </row>
    <row r="90" spans="1:66" ht="11.25" customHeight="1">
      <c r="A90" s="79" t="s">
        <v>1934</v>
      </c>
      <c r="AZ90" s="721" t="s">
        <v>1193</v>
      </c>
    </row>
    <row r="91" spans="1:66" ht="11.25" customHeight="1">
      <c r="A91" s="79" t="s">
        <v>1935</v>
      </c>
      <c r="AZ91" s="721" t="s">
        <v>1229</v>
      </c>
      <c r="BH91" s="160" t="s">
        <v>1936</v>
      </c>
      <c r="BJ91" s="160" t="s">
        <v>1937</v>
      </c>
      <c r="BL91" s="160" t="s">
        <v>1938</v>
      </c>
    </row>
    <row r="92" spans="1:66" ht="11.25" customHeight="1">
      <c r="AZ92" s="721" t="s">
        <v>1939</v>
      </c>
      <c r="BH92" s="722" t="s">
        <v>1940</v>
      </c>
      <c r="BJ92" s="722" t="s">
        <v>1941</v>
      </c>
      <c r="BL92" s="722" t="s">
        <v>1942</v>
      </c>
    </row>
    <row r="93" spans="1:66" ht="11.25" customHeight="1">
      <c r="AZ93" s="721" t="s">
        <v>1943</v>
      </c>
      <c r="BH93" s="722" t="s">
        <v>1944</v>
      </c>
      <c r="BJ93" s="722" t="s">
        <v>1945</v>
      </c>
      <c r="BL93" s="722" t="s">
        <v>1946</v>
      </c>
    </row>
    <row r="94" spans="1:66" ht="11.25" customHeight="1">
      <c r="AZ94" s="721" t="s">
        <v>1947</v>
      </c>
    </row>
    <row r="96" spans="1:66" ht="11.25" customHeight="1">
      <c r="AZ96" s="160" t="s">
        <v>1948</v>
      </c>
      <c r="BH96" s="160" t="s">
        <v>1949</v>
      </c>
      <c r="BJ96" s="160" t="s">
        <v>1950</v>
      </c>
      <c r="BL96" s="160" t="s">
        <v>1951</v>
      </c>
      <c r="BN96" s="160" t="s">
        <v>1952</v>
      </c>
    </row>
    <row r="97" spans="52:66" ht="11.25" customHeight="1">
      <c r="AZ97" s="743" t="s">
        <v>1953</v>
      </c>
      <c r="BA97" s="744" t="s">
        <v>1954</v>
      </c>
      <c r="BH97" s="722" t="s">
        <v>1955</v>
      </c>
      <c r="BJ97" s="722" t="s">
        <v>1956</v>
      </c>
      <c r="BL97" s="722" t="s">
        <v>1957</v>
      </c>
      <c r="BN97" s="722" t="s">
        <v>1958</v>
      </c>
    </row>
    <row r="98" spans="52:66" ht="11.25" customHeight="1">
      <c r="AZ98" s="743" t="s">
        <v>1959</v>
      </c>
      <c r="BA98" s="744" t="s">
        <v>1960</v>
      </c>
      <c r="BH98" s="722" t="s">
        <v>1961</v>
      </c>
      <c r="BJ98" s="722" t="s">
        <v>1962</v>
      </c>
      <c r="BL98" s="722" t="s">
        <v>1963</v>
      </c>
      <c r="BN98" s="722" t="s">
        <v>1964</v>
      </c>
    </row>
    <row r="99" spans="52:66" ht="22.5" customHeight="1">
      <c r="AZ99" s="743" t="s">
        <v>1965</v>
      </c>
      <c r="BA99" s="744" t="str">
        <f>"не позднее чем за "&amp;IF(TEMPLATE_SPHERE="TKO","3","10")&amp;" дней до дня проведения заседания правления"</f>
        <v>не позднее чем за 10 дней до дня проведения заседания правления</v>
      </c>
      <c r="BH99" s="722" t="s">
        <v>1966</v>
      </c>
      <c r="BJ99" s="722" t="s">
        <v>1967</v>
      </c>
      <c r="BL99" s="722" t="s">
        <v>1968</v>
      </c>
      <c r="BN99" s="722" t="s">
        <v>1969</v>
      </c>
    </row>
    <row r="100" spans="52:66" ht="22.5" customHeight="1">
      <c r="AZ100" s="743" t="s">
        <v>1970</v>
      </c>
      <c r="BA100" s="74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722" t="s">
        <v>1590</v>
      </c>
      <c r="BL100" s="722" t="s">
        <v>1590</v>
      </c>
      <c r="BN100" s="722" t="s">
        <v>1971</v>
      </c>
    </row>
    <row r="101" spans="52:66" ht="22.5" customHeight="1">
      <c r="AZ101" s="743" t="s">
        <v>1972</v>
      </c>
      <c r="BA101" s="744" t="s">
        <v>1973</v>
      </c>
      <c r="BN101" s="722" t="s">
        <v>1974</v>
      </c>
    </row>
    <row r="102" spans="52:66" ht="22.5" customHeight="1">
      <c r="AZ102" s="743" t="s">
        <v>1975</v>
      </c>
      <c r="BA102" s="74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722" t="s">
        <v>1976</v>
      </c>
    </row>
    <row r="103" spans="52:66" ht="11.25" customHeight="1">
      <c r="AZ103" s="743" t="s">
        <v>1977</v>
      </c>
      <c r="BA103" s="744" t="s">
        <v>1978</v>
      </c>
      <c r="BN103" s="722" t="s">
        <v>1979</v>
      </c>
    </row>
    <row r="104" spans="52:66" ht="11.25" customHeight="1">
      <c r="BN104" s="722" t="s">
        <v>1980</v>
      </c>
    </row>
    <row r="105" spans="52:66" ht="11.25" customHeight="1">
      <c r="AZ105" s="160" t="s">
        <v>1981</v>
      </c>
    </row>
    <row r="106" spans="52:66" ht="11.25" customHeight="1">
      <c r="AZ106" s="721" t="s">
        <v>1982</v>
      </c>
    </row>
    <row r="107" spans="52:66" ht="11.25" customHeight="1">
      <c r="AZ107" s="721" t="s">
        <v>1983</v>
      </c>
      <c r="BH107" s="160" t="s">
        <v>1984</v>
      </c>
      <c r="BJ107" s="160" t="s">
        <v>1985</v>
      </c>
      <c r="BL107" s="160" t="s">
        <v>1986</v>
      </c>
      <c r="BN107" s="160" t="s">
        <v>1987</v>
      </c>
    </row>
    <row r="108" spans="52:66" ht="11.25" customHeight="1">
      <c r="AZ108" s="721" t="s">
        <v>582</v>
      </c>
      <c r="BH108" s="722" t="s">
        <v>1988</v>
      </c>
      <c r="BJ108" s="722" t="s">
        <v>1989</v>
      </c>
      <c r="BL108" s="722" t="s">
        <v>1667</v>
      </c>
      <c r="BN108" s="722" t="s">
        <v>1990</v>
      </c>
    </row>
    <row r="109" spans="52:66" ht="11.25" customHeight="1">
      <c r="BH109" s="722" t="s">
        <v>1991</v>
      </c>
    </row>
    <row r="110" spans="52:66" ht="11.25" customHeight="1">
      <c r="AZ110" s="160" t="s">
        <v>1992</v>
      </c>
      <c r="BH110" s="722" t="s">
        <v>1991</v>
      </c>
    </row>
    <row r="111" spans="52:66" ht="11.25" customHeight="1">
      <c r="AZ111" s="743" t="s">
        <v>1953</v>
      </c>
      <c r="BA111" s="744" t="s">
        <v>1954</v>
      </c>
    </row>
    <row r="112" spans="52:66" ht="11.25" customHeight="1">
      <c r="AZ112" s="743" t="s">
        <v>1959</v>
      </c>
      <c r="BA112" s="744" t="s">
        <v>1960</v>
      </c>
    </row>
    <row r="113" spans="52:60" ht="22.5" customHeight="1">
      <c r="AZ113" s="743" t="s">
        <v>1965</v>
      </c>
      <c r="BA113" s="744"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743" t="s">
        <v>1970</v>
      </c>
      <c r="BA114" s="74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60" t="s">
        <v>1993</v>
      </c>
    </row>
    <row r="115" spans="52:60" ht="22.5" customHeight="1">
      <c r="AZ115" s="743" t="s">
        <v>1975</v>
      </c>
      <c r="BA115" s="74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722" t="s">
        <v>1391</v>
      </c>
    </row>
    <row r="116" spans="52:60" ht="11.25" customHeight="1">
      <c r="AZ116" s="743" t="s">
        <v>1977</v>
      </c>
      <c r="BA116" s="744" t="s">
        <v>1978</v>
      </c>
      <c r="BH116" s="722" t="s">
        <v>1419</v>
      </c>
    </row>
    <row r="117" spans="52:60" ht="11.25" customHeight="1">
      <c r="BH117" s="722" t="s">
        <v>1454</v>
      </c>
    </row>
    <row r="118" spans="52:60" ht="11.25" customHeight="1">
      <c r="BH118" s="722" t="s">
        <v>1487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1029" hidden="1" customWidth="1"/>
    <col min="3" max="3" width="3" style="1029" customWidth="1"/>
    <col min="4" max="4" width="6" style="1029" customWidth="1"/>
    <col min="5" max="5" width="52" style="1029" customWidth="1"/>
    <col min="6" max="6" width="48" style="1029" customWidth="1"/>
    <col min="7" max="7" width="93" style="1029" customWidth="1"/>
    <col min="8" max="8" width="8" style="1029" customWidth="1"/>
    <col min="9" max="9" width="64" style="1029" customWidth="1"/>
    <col min="10" max="10" width="9.140625" style="1029" hidden="1"/>
  </cols>
  <sheetData>
    <row r="1" spans="1:10" ht="11.25" hidden="1" customHeight="1">
      <c r="A1" s="626" t="s">
        <v>310</v>
      </c>
      <c r="J1" s="625" t="s">
        <v>14</v>
      </c>
    </row>
    <row r="2" spans="1:10" ht="22.5" hidden="1" customHeight="1">
      <c r="A2" s="630"/>
      <c r="B2" s="630"/>
      <c r="C2" s="374" t="s">
        <v>103</v>
      </c>
      <c r="D2" s="486"/>
      <c r="E2" s="123"/>
      <c r="F2" s="887"/>
      <c r="H2" s="636"/>
      <c r="J2" s="625">
        <v>0</v>
      </c>
    </row>
    <row r="3" spans="1:10" ht="11.25" hidden="1" customHeight="1">
      <c r="J3" s="625">
        <v>0</v>
      </c>
    </row>
    <row r="4" spans="1:10" ht="11.45" customHeight="1">
      <c r="A4" s="972"/>
      <c r="B4" s="972"/>
      <c r="J4" s="625">
        <v>11</v>
      </c>
    </row>
    <row r="5" spans="1:10" ht="27.4" customHeight="1">
      <c r="D5" s="108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082"/>
      <c r="F5" s="1083"/>
      <c r="J5" s="625">
        <v>26</v>
      </c>
    </row>
    <row r="6" spans="1:10" ht="18" customHeight="1">
      <c r="D6" s="1127" t="str">
        <f>IF(region_name=0,"Не определено",region_name)</f>
        <v>Нижегородская область</v>
      </c>
      <c r="E6" s="1127"/>
      <c r="F6" s="1127"/>
      <c r="J6" s="625">
        <v>17</v>
      </c>
    </row>
    <row r="7" spans="1:10" ht="11.45" customHeight="1">
      <c r="A7" s="626"/>
      <c r="B7" s="626"/>
      <c r="F7" s="629"/>
      <c r="J7" s="628">
        <v>11</v>
      </c>
    </row>
    <row r="8" spans="1:10" ht="11.25" hidden="1" customHeight="1">
      <c r="A8" s="630"/>
      <c r="B8" s="630"/>
      <c r="C8" s="556"/>
      <c r="D8" s="551"/>
      <c r="E8" s="1152"/>
      <c r="F8" s="1152"/>
      <c r="J8" s="625">
        <v>0</v>
      </c>
    </row>
    <row r="9" spans="1:10" ht="11.45" customHeight="1">
      <c r="A9" s="630"/>
      <c r="B9" s="630"/>
      <c r="C9" s="556"/>
      <c r="D9" s="1149" t="s">
        <v>311</v>
      </c>
      <c r="E9" s="1150"/>
      <c r="F9" s="1150"/>
      <c r="G9" s="1153" t="s">
        <v>312</v>
      </c>
      <c r="J9" s="625">
        <v>11</v>
      </c>
    </row>
    <row r="10" spans="1:10" ht="11.45" customHeight="1">
      <c r="A10" s="630"/>
      <c r="B10" s="630"/>
      <c r="C10" s="556"/>
      <c r="D10" s="92" t="s">
        <v>87</v>
      </c>
      <c r="E10" s="631" t="s">
        <v>313</v>
      </c>
      <c r="F10" s="631" t="s">
        <v>314</v>
      </c>
      <c r="G10" s="1154"/>
      <c r="J10" s="625">
        <v>11</v>
      </c>
    </row>
    <row r="11" spans="1:10" ht="1.1499999999999999" customHeight="1">
      <c r="A11" s="630"/>
      <c r="B11" s="630"/>
      <c r="C11" s="556"/>
      <c r="D11" s="633"/>
      <c r="E11" s="633"/>
      <c r="F11" s="633"/>
      <c r="G11" s="633"/>
      <c r="J11" s="625">
        <v>1</v>
      </c>
    </row>
    <row r="12" spans="1:10" ht="24" customHeight="1">
      <c r="A12" s="630"/>
      <c r="B12" s="630"/>
      <c r="C12" s="556"/>
      <c r="D12" s="486">
        <v>1</v>
      </c>
      <c r="E12" s="63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867" t="str">
        <f>IF(org="","",org)</f>
        <v>АО "НИЖЕГОРОДСКИЙ ВОДОКАНАЛ"</v>
      </c>
      <c r="G12" s="63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973"/>
      <c r="J12" s="625">
        <v>23</v>
      </c>
    </row>
    <row r="13" spans="1:10" ht="19.899999999999999" customHeight="1">
      <c r="A13" s="630"/>
      <c r="B13" s="630"/>
      <c r="C13" s="556"/>
      <c r="D13" s="486">
        <v>2</v>
      </c>
      <c r="E13" s="832" t="s">
        <v>1994</v>
      </c>
      <c r="F13" s="583" t="s">
        <v>317</v>
      </c>
      <c r="G13" s="638"/>
      <c r="H13" s="973"/>
      <c r="J13" s="625">
        <v>19</v>
      </c>
    </row>
    <row r="14" spans="1:10" ht="19.899999999999999" customHeight="1">
      <c r="A14" s="630"/>
      <c r="B14" s="630"/>
      <c r="C14" s="556"/>
      <c r="D14" s="80" t="s">
        <v>729</v>
      </c>
      <c r="E14" s="888" t="s">
        <v>1995</v>
      </c>
      <c r="F14" s="123"/>
      <c r="G14" s="795" t="s">
        <v>1996</v>
      </c>
      <c r="H14" s="973"/>
      <c r="J14" s="625">
        <v>19</v>
      </c>
    </row>
    <row r="15" spans="1:10" ht="19.899999999999999" customHeight="1">
      <c r="A15" s="630"/>
      <c r="B15" s="630"/>
      <c r="C15" s="556"/>
      <c r="D15" s="80" t="s">
        <v>318</v>
      </c>
      <c r="E15" s="888" t="s">
        <v>1997</v>
      </c>
      <c r="F15" s="123"/>
      <c r="G15" s="795" t="s">
        <v>1998</v>
      </c>
      <c r="H15" s="973"/>
      <c r="J15" s="625">
        <v>19</v>
      </c>
    </row>
    <row r="16" spans="1:10" ht="24" customHeight="1">
      <c r="A16" s="630"/>
      <c r="B16" s="630"/>
      <c r="C16" s="556"/>
      <c r="D16" s="80" t="s">
        <v>321</v>
      </c>
      <c r="E16" s="838" t="s">
        <v>1999</v>
      </c>
      <c r="F16" s="106"/>
      <c r="G16" s="638" t="s">
        <v>2000</v>
      </c>
      <c r="H16" s="973"/>
      <c r="J16" s="625">
        <v>23</v>
      </c>
    </row>
    <row r="17" spans="1:10" ht="48.2" customHeight="1">
      <c r="A17" s="630"/>
      <c r="B17" s="630"/>
      <c r="C17" s="556"/>
      <c r="D17" s="486">
        <v>3</v>
      </c>
      <c r="E17" s="832" t="s">
        <v>2001</v>
      </c>
      <c r="F17" s="123"/>
      <c r="G17" s="638" t="s">
        <v>2002</v>
      </c>
      <c r="H17" s="973"/>
      <c r="J17" s="625">
        <v>46</v>
      </c>
    </row>
    <row r="18" spans="1:10" ht="48.2" customHeight="1">
      <c r="A18" s="974">
        <v>1</v>
      </c>
      <c r="B18" s="630"/>
      <c r="C18" s="641"/>
      <c r="D18" s="486" t="s">
        <v>90</v>
      </c>
      <c r="E18" s="832" t="s">
        <v>2003</v>
      </c>
      <c r="F18" s="123"/>
      <c r="G18" s="638" t="s">
        <v>2002</v>
      </c>
      <c r="H18" s="973"/>
      <c r="J18" s="625">
        <v>46</v>
      </c>
    </row>
    <row r="19" spans="1:10" ht="23.25" customHeight="1">
      <c r="A19" s="630"/>
      <c r="B19" s="630"/>
      <c r="C19" s="556"/>
      <c r="D19" s="486" t="s">
        <v>115</v>
      </c>
      <c r="E19" s="832" t="s">
        <v>2004</v>
      </c>
      <c r="F19" s="583" t="s">
        <v>317</v>
      </c>
      <c r="G19" s="1404" t="s">
        <v>2005</v>
      </c>
      <c r="H19" s="636"/>
      <c r="J19" s="625">
        <v>22</v>
      </c>
    </row>
    <row r="20" spans="1:10" ht="5.25" hidden="1" customHeight="1">
      <c r="A20" s="630"/>
      <c r="B20" s="630"/>
      <c r="C20" s="975"/>
      <c r="D20" s="976" t="s">
        <v>1293</v>
      </c>
      <c r="E20" s="650"/>
      <c r="F20" s="584"/>
      <c r="G20" s="1405"/>
      <c r="J20" s="977">
        <v>0</v>
      </c>
    </row>
    <row r="21" spans="1:10" ht="15.75" customHeight="1">
      <c r="A21" s="630"/>
      <c r="B21" s="630"/>
      <c r="C21" s="556"/>
      <c r="D21" s="645"/>
      <c r="E21" s="44" t="s">
        <v>350</v>
      </c>
      <c r="F21" s="647"/>
      <c r="G21" s="1406"/>
      <c r="H21" s="973"/>
      <c r="J21" s="625">
        <v>15</v>
      </c>
    </row>
    <row r="22" spans="1:10" ht="26.25" customHeight="1">
      <c r="A22" s="630"/>
      <c r="B22" s="630"/>
      <c r="C22" s="630"/>
      <c r="D22" s="486" t="s">
        <v>91</v>
      </c>
      <c r="E22" s="638" t="s">
        <v>2006</v>
      </c>
      <c r="F22" s="123"/>
      <c r="G22" s="638" t="s">
        <v>2007</v>
      </c>
      <c r="H22" s="978"/>
      <c r="J22" s="626">
        <v>25</v>
      </c>
    </row>
    <row r="23" spans="1:10" ht="19.899999999999999" customHeight="1">
      <c r="A23" s="630"/>
      <c r="B23" s="630"/>
      <c r="C23" s="630"/>
      <c r="D23" s="486" t="s">
        <v>92</v>
      </c>
      <c r="E23" s="832" t="s">
        <v>2008</v>
      </c>
      <c r="F23" s="106"/>
      <c r="G23" s="638" t="s">
        <v>2009</v>
      </c>
      <c r="H23" s="978"/>
      <c r="J23" s="626">
        <v>19</v>
      </c>
    </row>
    <row r="24" spans="1:10" ht="144" hidden="1" customHeight="1">
      <c r="A24" s="630"/>
      <c r="B24" s="630"/>
      <c r="C24" s="630"/>
      <c r="D24" s="486" t="s">
        <v>116</v>
      </c>
      <c r="E24" s="97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487"/>
      <c r="G24" s="98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978"/>
      <c r="J24" s="626">
        <v>0</v>
      </c>
    </row>
    <row r="25" spans="1:10" ht="11.25" hidden="1" customHeight="1">
      <c r="A25" s="626" t="s">
        <v>81</v>
      </c>
      <c r="B25" s="626">
        <v>0</v>
      </c>
      <c r="C25" s="625">
        <v>3</v>
      </c>
      <c r="D25" s="666">
        <v>6</v>
      </c>
      <c r="E25" s="625">
        <v>52</v>
      </c>
      <c r="F25" s="625">
        <v>48</v>
      </c>
      <c r="G25" s="625">
        <v>93</v>
      </c>
      <c r="H25" s="625">
        <v>8</v>
      </c>
      <c r="I25" s="625">
        <v>64</v>
      </c>
      <c r="J25" s="625">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2" width="9.140625" style="1029" hidden="1"/>
    <col min="3" max="3" width="3.7109375" style="1029" hidden="1" customWidth="1"/>
    <col min="4" max="4" width="3" style="1029" customWidth="1"/>
    <col min="5" max="5" width="6" style="1029" customWidth="1"/>
    <col min="6" max="6" width="46" style="1029" customWidth="1"/>
    <col min="7" max="8" width="16" style="1029" customWidth="1"/>
    <col min="9" max="9" width="35" style="1029" customWidth="1"/>
    <col min="10" max="10" width="89" style="1029" customWidth="1"/>
    <col min="11" max="11" width="3" style="1029" customWidth="1"/>
    <col min="12" max="14" width="8" style="1029" customWidth="1"/>
    <col min="15" max="15" width="25" style="1029" customWidth="1"/>
    <col min="16" max="16" width="14" style="1029" customWidth="1"/>
    <col min="17" max="254" width="8" style="1029" customWidth="1"/>
    <col min="255" max="255" width="9.140625" style="1029" hidden="1"/>
  </cols>
  <sheetData>
    <row r="1" spans="2:255" ht="22.5" hidden="1" customHeight="1">
      <c r="F1" s="538" t="s">
        <v>2010</v>
      </c>
      <c r="G1" s="538" t="s">
        <v>47</v>
      </c>
      <c r="H1" s="538" t="s">
        <v>49</v>
      </c>
      <c r="IU1" s="538" t="s">
        <v>14</v>
      </c>
    </row>
    <row r="2" spans="2:255" ht="22.5" hidden="1" customHeight="1">
      <c r="B2" s="555">
        <v>1</v>
      </c>
      <c r="D2" s="731" t="s">
        <v>103</v>
      </c>
      <c r="E2" s="583"/>
      <c r="F2" s="107"/>
      <c r="G2" s="107"/>
      <c r="H2" s="107"/>
      <c r="I2" s="488"/>
      <c r="J2" s="981"/>
      <c r="N2" s="582" t="str">
        <f t="array" ref="N2">IF(ISERROR(MATCH(MID(O2,1,250),MID(note_ter,1,250),0)),"n","y")</f>
        <v>n</v>
      </c>
      <c r="P2" s="582" t="str">
        <f>G2&amp;"("&amp;J2&amp;")"</f>
        <v>()</v>
      </c>
      <c r="IU2" s="41">
        <v>0</v>
      </c>
    </row>
    <row r="3" spans="2:255" ht="4.1500000000000004" customHeight="1">
      <c r="F3" s="574" t="s">
        <v>82</v>
      </c>
      <c r="G3" s="575" t="s">
        <v>83</v>
      </c>
      <c r="J3" s="576" t="s">
        <v>84</v>
      </c>
      <c r="K3" s="574" t="s">
        <v>82</v>
      </c>
      <c r="IU3" s="577">
        <v>4</v>
      </c>
    </row>
    <row r="4" spans="2:255" ht="14.65" customHeight="1">
      <c r="IU4" s="579">
        <v>14</v>
      </c>
    </row>
    <row r="5" spans="2:255" ht="27.4" customHeight="1">
      <c r="E5" s="105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052"/>
      <c r="G5" s="1052"/>
      <c r="H5" s="1052"/>
      <c r="I5" s="1052"/>
      <c r="J5" s="1052"/>
      <c r="IU5" s="579">
        <v>26</v>
      </c>
    </row>
    <row r="6" spans="2:255" ht="14.65" customHeight="1">
      <c r="IU6" s="579">
        <v>14</v>
      </c>
    </row>
    <row r="7" spans="2:255" ht="14.65" customHeight="1">
      <c r="E7" s="1048" t="s">
        <v>311</v>
      </c>
      <c r="F7" s="1053"/>
      <c r="G7" s="1053"/>
      <c r="H7" s="1053"/>
      <c r="I7" s="1053"/>
      <c r="J7" s="1407" t="s">
        <v>312</v>
      </c>
      <c r="IU7" s="579">
        <v>14</v>
      </c>
    </row>
    <row r="8" spans="2:255" ht="21" customHeight="1">
      <c r="E8" s="489" t="s">
        <v>87</v>
      </c>
      <c r="F8" s="490" t="s">
        <v>2010</v>
      </c>
      <c r="G8" s="490" t="s">
        <v>47</v>
      </c>
      <c r="H8" s="490" t="s">
        <v>49</v>
      </c>
      <c r="I8" s="490" t="s">
        <v>2011</v>
      </c>
      <c r="J8" s="1408"/>
      <c r="IU8" s="579">
        <v>20</v>
      </c>
    </row>
    <row r="9" spans="2:255" ht="23.25" customHeight="1">
      <c r="B9" s="555">
        <v>1</v>
      </c>
      <c r="E9" s="583">
        <v>1</v>
      </c>
      <c r="F9" s="491"/>
      <c r="G9" s="107"/>
      <c r="H9" s="107"/>
      <c r="I9" s="492"/>
      <c r="J9" s="112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N9" s="582" t="str">
        <f t="array" ref="N9">IF(ISERROR(MATCH(MID(O9,1,250),MID(note_ter,1,250),0)),"n","y")</f>
        <v>n</v>
      </c>
      <c r="P9" s="582"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IU9" s="41">
        <v>22</v>
      </c>
    </row>
    <row r="10" spans="2:255" ht="15.75" customHeight="1">
      <c r="E10" s="493"/>
      <c r="F10" s="303" t="s">
        <v>2012</v>
      </c>
      <c r="G10" s="494"/>
      <c r="H10" s="494"/>
      <c r="I10" s="495"/>
      <c r="J10" s="1123"/>
      <c r="IU10" s="41">
        <v>15</v>
      </c>
    </row>
    <row r="11" spans="2:255" ht="21.95" customHeight="1">
      <c r="E11" s="588"/>
      <c r="F11" s="588"/>
      <c r="G11" s="588"/>
      <c r="H11" s="588"/>
      <c r="I11" s="588"/>
      <c r="J11" s="588"/>
      <c r="IU11" s="579">
        <v>21</v>
      </c>
    </row>
    <row r="12" spans="2:255" ht="14.65" customHeight="1">
      <c r="IU12" s="579">
        <v>14</v>
      </c>
    </row>
    <row r="13" spans="2:255" ht="1.1499999999999999" customHeight="1">
      <c r="IU13" s="579">
        <v>1</v>
      </c>
    </row>
    <row r="14" spans="2:255" ht="10.5" customHeight="1">
      <c r="IU14" s="589">
        <v>10</v>
      </c>
    </row>
    <row r="15" spans="2:255" ht="10.5" customHeight="1">
      <c r="IU15" s="589">
        <v>10</v>
      </c>
    </row>
    <row r="16" spans="2:255" ht="14.65" customHeight="1">
      <c r="IU16" s="538">
        <v>14</v>
      </c>
    </row>
    <row r="17" spans="1:255" ht="14.65" customHeight="1">
      <c r="IU17" s="538">
        <v>14</v>
      </c>
    </row>
    <row r="18" spans="1:255" ht="14.65" customHeight="1">
      <c r="IU18" s="538">
        <v>14</v>
      </c>
    </row>
    <row r="19" spans="1:255" ht="14.65" customHeight="1">
      <c r="IU19" s="538">
        <v>14</v>
      </c>
    </row>
    <row r="20" spans="1:255" ht="14.65" customHeight="1">
      <c r="IU20" s="538">
        <v>14</v>
      </c>
    </row>
    <row r="21" spans="1:255" ht="14.65" customHeight="1">
      <c r="IU21" s="538">
        <v>14</v>
      </c>
    </row>
    <row r="22" spans="1:255" ht="14.65" customHeight="1">
      <c r="IU22" s="538">
        <v>14</v>
      </c>
    </row>
    <row r="23" spans="1:255" ht="14.65" customHeight="1">
      <c r="IU23" s="538">
        <v>14</v>
      </c>
    </row>
    <row r="24" spans="1:255" ht="22.5" hidden="1" customHeight="1">
      <c r="A24" s="538" t="s">
        <v>81</v>
      </c>
      <c r="B24" s="555">
        <v>0</v>
      </c>
      <c r="C24" s="538">
        <v>0</v>
      </c>
      <c r="D24" s="590">
        <v>3</v>
      </c>
      <c r="E24" s="538">
        <v>6</v>
      </c>
      <c r="F24" s="538">
        <v>46</v>
      </c>
      <c r="G24" s="538">
        <v>16</v>
      </c>
      <c r="H24" s="538">
        <v>16</v>
      </c>
      <c r="I24" s="538">
        <v>35</v>
      </c>
      <c r="J24" s="538">
        <v>89</v>
      </c>
      <c r="K24" s="582">
        <v>3</v>
      </c>
      <c r="L24" s="582">
        <v>8</v>
      </c>
      <c r="M24" s="582">
        <v>8</v>
      </c>
      <c r="N24" s="582">
        <v>8</v>
      </c>
      <c r="O24" s="582">
        <v>25</v>
      </c>
      <c r="P24" s="582">
        <v>14</v>
      </c>
      <c r="Q24" s="591">
        <v>8</v>
      </c>
      <c r="R24" s="591">
        <v>8</v>
      </c>
      <c r="S24" s="591">
        <v>8</v>
      </c>
      <c r="T24" s="591">
        <v>8</v>
      </c>
      <c r="U24" s="538">
        <v>8</v>
      </c>
      <c r="V24" s="538">
        <v>8</v>
      </c>
      <c r="W24" s="538">
        <v>8</v>
      </c>
      <c r="X24" s="538">
        <v>8</v>
      </c>
      <c r="Y24" s="538">
        <v>8</v>
      </c>
      <c r="Z24" s="538">
        <v>8</v>
      </c>
      <c r="AA24" s="538">
        <v>8</v>
      </c>
      <c r="AB24" s="538">
        <v>8</v>
      </c>
      <c r="AC24" s="538">
        <v>8</v>
      </c>
      <c r="AD24" s="538">
        <v>8</v>
      </c>
      <c r="AE24" s="538">
        <v>8</v>
      </c>
      <c r="AF24" s="538">
        <v>8</v>
      </c>
      <c r="AG24" s="538">
        <v>8</v>
      </c>
      <c r="AH24" s="538">
        <v>8</v>
      </c>
      <c r="AI24" s="538">
        <v>8</v>
      </c>
      <c r="AJ24" s="538">
        <v>8</v>
      </c>
      <c r="AK24" s="538">
        <v>8</v>
      </c>
      <c r="AL24" s="538">
        <v>8</v>
      </c>
      <c r="AM24" s="538">
        <v>8</v>
      </c>
      <c r="AN24" s="538">
        <v>8</v>
      </c>
      <c r="AO24" s="538">
        <v>8</v>
      </c>
      <c r="AP24" s="538">
        <v>8</v>
      </c>
      <c r="AQ24" s="538">
        <v>8</v>
      </c>
      <c r="AR24" s="538">
        <v>8</v>
      </c>
      <c r="AS24" s="538">
        <v>8</v>
      </c>
      <c r="AT24" s="538">
        <v>8</v>
      </c>
      <c r="AU24" s="538">
        <v>8</v>
      </c>
      <c r="AV24" s="538">
        <v>8</v>
      </c>
      <c r="AW24" s="538">
        <v>8</v>
      </c>
      <c r="AX24" s="538">
        <v>8</v>
      </c>
      <c r="AY24" s="538">
        <v>8</v>
      </c>
      <c r="AZ24" s="538">
        <v>8</v>
      </c>
      <c r="BA24" s="538">
        <v>8</v>
      </c>
      <c r="BB24" s="538">
        <v>8</v>
      </c>
      <c r="BC24" s="538">
        <v>8</v>
      </c>
      <c r="BD24" s="538">
        <v>8</v>
      </c>
      <c r="BE24" s="538">
        <v>8</v>
      </c>
      <c r="BF24" s="538">
        <v>8</v>
      </c>
      <c r="BG24" s="538">
        <v>8</v>
      </c>
      <c r="BH24" s="538">
        <v>8</v>
      </c>
      <c r="BI24" s="538">
        <v>8</v>
      </c>
      <c r="BJ24" s="538">
        <v>8</v>
      </c>
      <c r="BK24" s="538">
        <v>8</v>
      </c>
      <c r="BL24" s="538">
        <v>8</v>
      </c>
      <c r="BM24" s="538">
        <v>8</v>
      </c>
      <c r="BN24" s="538">
        <v>8</v>
      </c>
      <c r="BO24" s="538">
        <v>8</v>
      </c>
      <c r="BP24" s="538">
        <v>8</v>
      </c>
      <c r="BQ24" s="538">
        <v>8</v>
      </c>
      <c r="BR24" s="538">
        <v>8</v>
      </c>
      <c r="BS24" s="538">
        <v>8</v>
      </c>
      <c r="BT24" s="538">
        <v>8</v>
      </c>
      <c r="BU24" s="538">
        <v>8</v>
      </c>
      <c r="BV24" s="538">
        <v>8</v>
      </c>
      <c r="BW24" s="538">
        <v>8</v>
      </c>
      <c r="BX24" s="538">
        <v>8</v>
      </c>
      <c r="BY24" s="538">
        <v>8</v>
      </c>
      <c r="BZ24" s="538">
        <v>8</v>
      </c>
      <c r="CA24" s="538">
        <v>8</v>
      </c>
      <c r="CB24" s="538">
        <v>8</v>
      </c>
      <c r="CC24" s="538">
        <v>8</v>
      </c>
      <c r="CD24" s="538">
        <v>8</v>
      </c>
      <c r="CE24" s="538">
        <v>8</v>
      </c>
      <c r="CF24" s="538">
        <v>8</v>
      </c>
      <c r="CG24" s="538">
        <v>8</v>
      </c>
      <c r="CH24" s="538">
        <v>8</v>
      </c>
      <c r="CI24" s="538">
        <v>8</v>
      </c>
      <c r="CJ24" s="538">
        <v>8</v>
      </c>
      <c r="CK24" s="538">
        <v>8</v>
      </c>
      <c r="CL24" s="538">
        <v>8</v>
      </c>
      <c r="CM24" s="538">
        <v>8</v>
      </c>
      <c r="CN24" s="538">
        <v>8</v>
      </c>
      <c r="CO24" s="538">
        <v>8</v>
      </c>
      <c r="CP24" s="538">
        <v>8</v>
      </c>
      <c r="CQ24" s="538">
        <v>8</v>
      </c>
      <c r="CR24" s="538">
        <v>8</v>
      </c>
      <c r="CS24" s="538">
        <v>8</v>
      </c>
      <c r="CT24" s="538">
        <v>8</v>
      </c>
      <c r="CU24" s="538">
        <v>8</v>
      </c>
      <c r="CV24" s="538">
        <v>8</v>
      </c>
      <c r="CW24" s="538">
        <v>8</v>
      </c>
      <c r="CX24" s="538">
        <v>8</v>
      </c>
      <c r="CY24" s="538">
        <v>8</v>
      </c>
      <c r="CZ24" s="538">
        <v>8</v>
      </c>
      <c r="DA24" s="538">
        <v>8</v>
      </c>
      <c r="DB24" s="538">
        <v>8</v>
      </c>
      <c r="DC24" s="538">
        <v>8</v>
      </c>
      <c r="DD24" s="538">
        <v>8</v>
      </c>
      <c r="DE24" s="538">
        <v>8</v>
      </c>
      <c r="DF24" s="538">
        <v>8</v>
      </c>
      <c r="DG24" s="538">
        <v>8</v>
      </c>
      <c r="DH24" s="538">
        <v>8</v>
      </c>
      <c r="DI24" s="538">
        <v>8</v>
      </c>
      <c r="DJ24" s="538">
        <v>8</v>
      </c>
      <c r="DK24" s="538">
        <v>8</v>
      </c>
      <c r="DL24" s="538">
        <v>8</v>
      </c>
      <c r="DM24" s="538">
        <v>8</v>
      </c>
      <c r="DN24" s="538">
        <v>8</v>
      </c>
      <c r="DO24" s="538">
        <v>8</v>
      </c>
      <c r="DP24" s="538">
        <v>8</v>
      </c>
      <c r="DQ24" s="538">
        <v>8</v>
      </c>
      <c r="DR24" s="538">
        <v>8</v>
      </c>
      <c r="DS24" s="538">
        <v>8</v>
      </c>
      <c r="DT24" s="538">
        <v>8</v>
      </c>
      <c r="DU24" s="538">
        <v>8</v>
      </c>
      <c r="DV24" s="538">
        <v>8</v>
      </c>
      <c r="DW24" s="538">
        <v>8</v>
      </c>
      <c r="DX24" s="538">
        <v>8</v>
      </c>
      <c r="DY24" s="538">
        <v>8</v>
      </c>
      <c r="DZ24" s="538">
        <v>8</v>
      </c>
      <c r="EA24" s="538">
        <v>8</v>
      </c>
      <c r="EB24" s="538">
        <v>8</v>
      </c>
      <c r="EC24" s="538">
        <v>8</v>
      </c>
      <c r="ED24" s="538">
        <v>8</v>
      </c>
      <c r="EE24" s="538">
        <v>8</v>
      </c>
      <c r="EF24" s="538">
        <v>8</v>
      </c>
      <c r="EG24" s="538">
        <v>8</v>
      </c>
      <c r="EH24" s="538">
        <v>8</v>
      </c>
      <c r="EI24" s="538">
        <v>8</v>
      </c>
      <c r="EJ24" s="538">
        <v>8</v>
      </c>
      <c r="EK24" s="538">
        <v>8</v>
      </c>
      <c r="EL24" s="538">
        <v>8</v>
      </c>
      <c r="EM24" s="538">
        <v>8</v>
      </c>
      <c r="EN24" s="538">
        <v>8</v>
      </c>
      <c r="EO24" s="538">
        <v>8</v>
      </c>
      <c r="EP24" s="538">
        <v>8</v>
      </c>
      <c r="EQ24" s="538">
        <v>8</v>
      </c>
      <c r="ER24" s="538">
        <v>8</v>
      </c>
      <c r="ES24" s="538">
        <v>8</v>
      </c>
      <c r="ET24" s="538">
        <v>8</v>
      </c>
      <c r="EU24" s="538">
        <v>8</v>
      </c>
      <c r="EV24" s="538">
        <v>8</v>
      </c>
      <c r="EW24" s="538">
        <v>8</v>
      </c>
      <c r="EX24" s="538">
        <v>8</v>
      </c>
      <c r="EY24" s="538">
        <v>8</v>
      </c>
      <c r="EZ24" s="538">
        <v>8</v>
      </c>
      <c r="FA24" s="538">
        <v>8</v>
      </c>
      <c r="FB24" s="538">
        <v>8</v>
      </c>
      <c r="FC24" s="538">
        <v>8</v>
      </c>
      <c r="FD24" s="538">
        <v>8</v>
      </c>
      <c r="FE24" s="538">
        <v>8</v>
      </c>
      <c r="FF24" s="538">
        <v>8</v>
      </c>
      <c r="FG24" s="538">
        <v>8</v>
      </c>
      <c r="FH24" s="538">
        <v>8</v>
      </c>
      <c r="FI24" s="538">
        <v>8</v>
      </c>
      <c r="FJ24" s="538">
        <v>8</v>
      </c>
      <c r="FK24" s="538">
        <v>8</v>
      </c>
      <c r="FL24" s="538">
        <v>8</v>
      </c>
      <c r="FM24" s="538">
        <v>8</v>
      </c>
      <c r="FN24" s="538">
        <v>8</v>
      </c>
      <c r="FO24" s="538">
        <v>8</v>
      </c>
      <c r="FP24" s="538">
        <v>8</v>
      </c>
      <c r="FQ24" s="538">
        <v>8</v>
      </c>
      <c r="FR24" s="538">
        <v>8</v>
      </c>
      <c r="FS24" s="538">
        <v>8</v>
      </c>
      <c r="FT24" s="538">
        <v>8</v>
      </c>
      <c r="FU24" s="538">
        <v>8</v>
      </c>
      <c r="FV24" s="538">
        <v>8</v>
      </c>
      <c r="FW24" s="538">
        <v>8</v>
      </c>
      <c r="FX24" s="538">
        <v>8</v>
      </c>
      <c r="FY24" s="538">
        <v>8</v>
      </c>
      <c r="FZ24" s="538">
        <v>8</v>
      </c>
      <c r="GA24" s="538">
        <v>8</v>
      </c>
      <c r="GB24" s="538">
        <v>8</v>
      </c>
      <c r="GC24" s="538">
        <v>8</v>
      </c>
      <c r="GD24" s="538">
        <v>8</v>
      </c>
      <c r="GE24" s="538">
        <v>8</v>
      </c>
      <c r="GF24" s="538">
        <v>8</v>
      </c>
      <c r="GG24" s="538">
        <v>8</v>
      </c>
      <c r="GH24" s="538">
        <v>8</v>
      </c>
      <c r="GI24" s="538">
        <v>8</v>
      </c>
      <c r="GJ24" s="538">
        <v>8</v>
      </c>
      <c r="GK24" s="538">
        <v>8</v>
      </c>
      <c r="GL24" s="538">
        <v>8</v>
      </c>
      <c r="GM24" s="538">
        <v>8</v>
      </c>
      <c r="GN24" s="538">
        <v>8</v>
      </c>
      <c r="GO24" s="538">
        <v>8</v>
      </c>
      <c r="GP24" s="538">
        <v>8</v>
      </c>
      <c r="GQ24" s="538">
        <v>8</v>
      </c>
      <c r="GR24" s="538">
        <v>8</v>
      </c>
      <c r="GS24" s="538">
        <v>8</v>
      </c>
      <c r="GT24" s="538">
        <v>8</v>
      </c>
      <c r="GU24" s="538">
        <v>8</v>
      </c>
      <c r="GV24" s="538">
        <v>8</v>
      </c>
      <c r="GW24" s="538">
        <v>8</v>
      </c>
      <c r="GX24" s="538">
        <v>8</v>
      </c>
      <c r="GY24" s="538">
        <v>8</v>
      </c>
      <c r="GZ24" s="538">
        <v>8</v>
      </c>
      <c r="HA24" s="538">
        <v>8</v>
      </c>
      <c r="HB24" s="538">
        <v>8</v>
      </c>
      <c r="HC24" s="538">
        <v>8</v>
      </c>
      <c r="HD24" s="538">
        <v>8</v>
      </c>
      <c r="HE24" s="538">
        <v>8</v>
      </c>
      <c r="HF24" s="538">
        <v>8</v>
      </c>
      <c r="HG24" s="538">
        <v>8</v>
      </c>
      <c r="HH24" s="538">
        <v>8</v>
      </c>
      <c r="HI24" s="538">
        <v>8</v>
      </c>
      <c r="HJ24" s="538">
        <v>8</v>
      </c>
      <c r="HK24" s="538">
        <v>8</v>
      </c>
      <c r="HL24" s="538">
        <v>8</v>
      </c>
      <c r="HM24" s="538">
        <v>8</v>
      </c>
      <c r="HN24" s="538">
        <v>8</v>
      </c>
      <c r="HO24" s="538">
        <v>8</v>
      </c>
      <c r="HP24" s="538">
        <v>8</v>
      </c>
      <c r="HQ24" s="538">
        <v>8</v>
      </c>
      <c r="HR24" s="538">
        <v>8</v>
      </c>
      <c r="HS24" s="538">
        <v>8</v>
      </c>
      <c r="HT24" s="538">
        <v>8</v>
      </c>
      <c r="HU24" s="538">
        <v>8</v>
      </c>
      <c r="HV24" s="538">
        <v>8</v>
      </c>
      <c r="HW24" s="538">
        <v>8</v>
      </c>
      <c r="HX24" s="538">
        <v>8</v>
      </c>
      <c r="HY24" s="538">
        <v>8</v>
      </c>
      <c r="HZ24" s="538">
        <v>8</v>
      </c>
      <c r="IA24" s="538">
        <v>8</v>
      </c>
      <c r="IB24" s="538">
        <v>8</v>
      </c>
      <c r="IC24" s="538">
        <v>8</v>
      </c>
      <c r="ID24" s="538">
        <v>8</v>
      </c>
      <c r="IE24" s="538">
        <v>8</v>
      </c>
      <c r="IF24" s="538">
        <v>8</v>
      </c>
      <c r="IG24" s="538">
        <v>8</v>
      </c>
      <c r="IH24" s="538">
        <v>8</v>
      </c>
      <c r="II24" s="538">
        <v>8</v>
      </c>
      <c r="IJ24" s="538">
        <v>8</v>
      </c>
      <c r="IK24" s="538">
        <v>8</v>
      </c>
      <c r="IL24" s="538">
        <v>8</v>
      </c>
      <c r="IM24" s="538">
        <v>8</v>
      </c>
      <c r="IN24" s="538">
        <v>8</v>
      </c>
      <c r="IO24" s="538">
        <v>8</v>
      </c>
      <c r="IP24" s="538">
        <v>8</v>
      </c>
      <c r="IQ24" s="538">
        <v>8</v>
      </c>
      <c r="IR24" s="538">
        <v>8</v>
      </c>
      <c r="IS24" s="538">
        <v>8</v>
      </c>
      <c r="IT24" s="538">
        <v>8</v>
      </c>
      <c r="IU24" s="538">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2" width="9.140625" style="1029" hidden="1"/>
    <col min="3" max="3" width="3.7109375" style="1029" hidden="1" customWidth="1"/>
    <col min="4" max="4" width="3" style="1029" customWidth="1"/>
    <col min="5" max="5" width="6" style="1029" customWidth="1"/>
    <col min="6" max="6" width="27" style="1029" customWidth="1"/>
    <col min="7" max="7" width="16" style="1029" customWidth="1"/>
    <col min="8" max="8" width="12" style="1029" customWidth="1"/>
    <col min="9" max="9" width="32" style="1029" customWidth="1"/>
    <col min="10" max="11" width="41" style="1029" customWidth="1"/>
    <col min="12" max="12" width="89" style="1029" customWidth="1"/>
    <col min="13" max="13" width="3" style="1029" customWidth="1"/>
    <col min="14" max="16" width="8" style="1029" customWidth="1"/>
    <col min="17" max="17" width="25" style="1029" customWidth="1"/>
    <col min="18" max="18" width="14" style="1029" customWidth="1"/>
    <col min="19" max="256" width="8" style="1029" customWidth="1"/>
    <col min="257" max="257" width="9.140625" style="1029" hidden="1"/>
  </cols>
  <sheetData>
    <row r="1" spans="1:257" ht="22.5" hidden="1" customHeight="1">
      <c r="IW1" s="538" t="s">
        <v>14</v>
      </c>
    </row>
    <row r="2" spans="1:257" ht="22.5" hidden="1" customHeight="1">
      <c r="B2" s="555">
        <v>1</v>
      </c>
      <c r="D2" s="731" t="s">
        <v>103</v>
      </c>
      <c r="E2" s="543"/>
      <c r="F2" s="828" t="str">
        <f>IF(ROIV_INFO_NAME="","",ROIV_INFO_NAME)</f>
        <v>АО "НИЖЕГОРОДСКИЙ ВОДОКАНАЛ"</v>
      </c>
      <c r="G2" s="496" t="s">
        <v>22</v>
      </c>
      <c r="H2" s="497"/>
      <c r="I2" s="492"/>
      <c r="J2" s="307"/>
      <c r="K2" s="307"/>
      <c r="M2" s="982" t="e">
        <f ca="1">MERGEVALUE(F2)</f>
        <v>#NAME?</v>
      </c>
      <c r="P2" s="582" t="str">
        <f t="array" ref="P2">IF(ISERROR(MATCH(MID(Q2,1,250),MID(note_ter,1,250),0)),"n","y")</f>
        <v>n</v>
      </c>
      <c r="R2" s="582" t="str">
        <f>G2&amp;"("&amp;L2&amp;")"</f>
        <v>()</v>
      </c>
      <c r="IW2" s="41">
        <v>0</v>
      </c>
    </row>
    <row r="3" spans="1:257" ht="5.25" hidden="1" customHeight="1">
      <c r="F3" s="574" t="s">
        <v>82</v>
      </c>
      <c r="G3" s="498" t="s">
        <v>83</v>
      </c>
      <c r="L3" s="576" t="s">
        <v>84</v>
      </c>
      <c r="M3" s="574" t="s">
        <v>82</v>
      </c>
      <c r="IW3" s="577">
        <v>0</v>
      </c>
    </row>
    <row r="4" spans="1:257" ht="14.65" customHeight="1">
      <c r="IW4" s="579">
        <v>14</v>
      </c>
    </row>
    <row r="5" spans="1:257" ht="27.4" customHeight="1">
      <c r="E5" s="105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052"/>
      <c r="G5" s="1052"/>
      <c r="H5" s="1052"/>
      <c r="I5" s="1052"/>
      <c r="J5" s="1052"/>
      <c r="K5" s="1052"/>
      <c r="IW5" s="579">
        <v>26</v>
      </c>
    </row>
    <row r="6" spans="1:257" ht="14.65" customHeight="1">
      <c r="IW6" s="579">
        <v>14</v>
      </c>
    </row>
    <row r="7" spans="1:257" ht="14.65" customHeight="1">
      <c r="E7" s="1048" t="s">
        <v>311</v>
      </c>
      <c r="F7" s="1053"/>
      <c r="G7" s="1053"/>
      <c r="H7" s="1053"/>
      <c r="I7" s="1053"/>
      <c r="J7" s="1053"/>
      <c r="K7" s="1053"/>
      <c r="L7" s="1407" t="s">
        <v>312</v>
      </c>
      <c r="IW7" s="579">
        <v>14</v>
      </c>
    </row>
    <row r="8" spans="1:257" ht="67.150000000000006" customHeight="1">
      <c r="E8" s="1411" t="s">
        <v>87</v>
      </c>
      <c r="F8" s="141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1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14"/>
      <c r="I8" s="1415"/>
      <c r="J8" s="141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1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09"/>
      <c r="IW8" s="579">
        <v>64</v>
      </c>
    </row>
    <row r="9" spans="1:257" ht="29.25" customHeight="1">
      <c r="E9" s="1412"/>
      <c r="F9" s="1412"/>
      <c r="G9" s="499" t="s">
        <v>2013</v>
      </c>
      <c r="H9" s="499" t="s">
        <v>2014</v>
      </c>
      <c r="I9" s="499" t="s">
        <v>2015</v>
      </c>
      <c r="J9" s="1412"/>
      <c r="K9" s="1412"/>
      <c r="L9" s="1408"/>
      <c r="IW9" s="579">
        <v>28</v>
      </c>
    </row>
    <row r="10" spans="1:257" ht="23.25" customHeight="1">
      <c r="A10" s="1031"/>
      <c r="B10" s="555">
        <v>1</v>
      </c>
      <c r="D10" s="585"/>
      <c r="E10" s="586">
        <v>1</v>
      </c>
      <c r="F10" s="983" t="str">
        <f>IF(ROIV_INFO_NAME="","",ROIV_INFO_NAME)</f>
        <v>АО "НИЖЕГОРОДСКИЙ ВОДОКАНАЛ"</v>
      </c>
      <c r="G10" s="8" t="s">
        <v>22</v>
      </c>
      <c r="H10" s="497"/>
      <c r="I10" s="500"/>
      <c r="J10" s="307"/>
      <c r="K10" s="307"/>
      <c r="L10" s="137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982" t="e">
        <f ca="1">MERGEVALUE(F10)</f>
        <v>#NAME?</v>
      </c>
      <c r="P10" s="582" t="str">
        <f t="array" ref="P10">IF(ISERROR(MATCH(MID(Q10,1,250),MID(note_ter,1,250),0)),"n","y")</f>
        <v>n</v>
      </c>
      <c r="R10" s="582"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IW10" s="41">
        <v>22</v>
      </c>
    </row>
    <row r="11" spans="1:257" ht="15.75" customHeight="1">
      <c r="A11" s="1031"/>
      <c r="E11" s="42"/>
      <c r="F11" s="49" t="s">
        <v>2016</v>
      </c>
      <c r="G11" s="45"/>
      <c r="H11" s="45"/>
      <c r="I11" s="45"/>
      <c r="J11" s="45"/>
      <c r="K11" s="46"/>
      <c r="L11" s="1410"/>
      <c r="IW11" s="41">
        <v>15</v>
      </c>
    </row>
    <row r="12" spans="1:257" ht="21.95" customHeight="1">
      <c r="E12" s="588"/>
      <c r="F12" s="588"/>
      <c r="G12" s="588"/>
      <c r="H12" s="588"/>
      <c r="I12" s="588"/>
      <c r="J12" s="588"/>
      <c r="K12" s="588"/>
      <c r="L12" s="588"/>
      <c r="IW12" s="579">
        <v>21</v>
      </c>
    </row>
    <row r="13" spans="1:257" ht="14.65" customHeight="1">
      <c r="IW13" s="579">
        <v>14</v>
      </c>
    </row>
    <row r="14" spans="1:257" ht="1.1499999999999999" customHeight="1">
      <c r="IW14" s="579">
        <v>1</v>
      </c>
    </row>
    <row r="15" spans="1:257" ht="22.5" hidden="1" customHeight="1">
      <c r="A15" s="538" t="s">
        <v>81</v>
      </c>
      <c r="B15" s="555">
        <v>0</v>
      </c>
      <c r="C15" s="538">
        <v>0</v>
      </c>
      <c r="D15" s="590">
        <v>3</v>
      </c>
      <c r="E15" s="538">
        <v>6</v>
      </c>
      <c r="F15" s="538">
        <v>27</v>
      </c>
      <c r="G15" s="538">
        <v>16</v>
      </c>
      <c r="H15" s="538">
        <v>12</v>
      </c>
      <c r="I15" s="538">
        <v>32</v>
      </c>
      <c r="J15" s="538">
        <v>41</v>
      </c>
      <c r="K15" s="538">
        <v>41</v>
      </c>
      <c r="L15" s="538">
        <v>89</v>
      </c>
      <c r="M15" s="582">
        <v>3</v>
      </c>
      <c r="N15" s="582">
        <v>8</v>
      </c>
      <c r="O15" s="582">
        <v>8</v>
      </c>
      <c r="P15" s="582">
        <v>8</v>
      </c>
      <c r="Q15" s="582">
        <v>25</v>
      </c>
      <c r="R15" s="582">
        <v>14</v>
      </c>
      <c r="S15" s="591">
        <v>8</v>
      </c>
      <c r="T15" s="591">
        <v>8</v>
      </c>
      <c r="U15" s="591">
        <v>8</v>
      </c>
      <c r="V15" s="591">
        <v>8</v>
      </c>
      <c r="W15" s="538">
        <v>8</v>
      </c>
      <c r="X15" s="538">
        <v>8</v>
      </c>
      <c r="Y15" s="538">
        <v>8</v>
      </c>
      <c r="Z15" s="538">
        <v>8</v>
      </c>
      <c r="AA15" s="538">
        <v>8</v>
      </c>
      <c r="AB15" s="538">
        <v>8</v>
      </c>
      <c r="AC15" s="538">
        <v>8</v>
      </c>
      <c r="AD15" s="538">
        <v>8</v>
      </c>
      <c r="AE15" s="538">
        <v>8</v>
      </c>
      <c r="AF15" s="538">
        <v>8</v>
      </c>
      <c r="AG15" s="538">
        <v>8</v>
      </c>
      <c r="AH15" s="538">
        <v>8</v>
      </c>
      <c r="AI15" s="538">
        <v>8</v>
      </c>
      <c r="AJ15" s="538">
        <v>8</v>
      </c>
      <c r="AK15" s="538">
        <v>8</v>
      </c>
      <c r="AL15" s="538">
        <v>8</v>
      </c>
      <c r="AM15" s="538">
        <v>8</v>
      </c>
      <c r="AN15" s="538">
        <v>8</v>
      </c>
      <c r="AO15" s="538">
        <v>8</v>
      </c>
      <c r="AP15" s="538">
        <v>8</v>
      </c>
      <c r="AQ15" s="538">
        <v>8</v>
      </c>
      <c r="AR15" s="538">
        <v>8</v>
      </c>
      <c r="AS15" s="538">
        <v>8</v>
      </c>
      <c r="AT15" s="538">
        <v>8</v>
      </c>
      <c r="AU15" s="538">
        <v>8</v>
      </c>
      <c r="AV15" s="538">
        <v>8</v>
      </c>
      <c r="AW15" s="538">
        <v>8</v>
      </c>
      <c r="AX15" s="538">
        <v>8</v>
      </c>
      <c r="AY15" s="538">
        <v>8</v>
      </c>
      <c r="AZ15" s="538">
        <v>8</v>
      </c>
      <c r="BA15" s="538">
        <v>8</v>
      </c>
      <c r="BB15" s="538">
        <v>8</v>
      </c>
      <c r="BC15" s="538">
        <v>8</v>
      </c>
      <c r="BD15" s="538">
        <v>8</v>
      </c>
      <c r="BE15" s="538">
        <v>8</v>
      </c>
      <c r="BF15" s="538">
        <v>8</v>
      </c>
      <c r="BG15" s="538">
        <v>8</v>
      </c>
      <c r="BH15" s="538">
        <v>8</v>
      </c>
      <c r="BI15" s="538">
        <v>8</v>
      </c>
      <c r="BJ15" s="538">
        <v>8</v>
      </c>
      <c r="BK15" s="538">
        <v>8</v>
      </c>
      <c r="BL15" s="538">
        <v>8</v>
      </c>
      <c r="BM15" s="538">
        <v>8</v>
      </c>
      <c r="BN15" s="538">
        <v>8</v>
      </c>
      <c r="BO15" s="538">
        <v>8</v>
      </c>
      <c r="BP15" s="538">
        <v>8</v>
      </c>
      <c r="BQ15" s="538">
        <v>8</v>
      </c>
      <c r="BR15" s="538">
        <v>8</v>
      </c>
      <c r="BS15" s="538">
        <v>8</v>
      </c>
      <c r="BT15" s="538">
        <v>8</v>
      </c>
      <c r="BU15" s="538">
        <v>8</v>
      </c>
      <c r="BV15" s="538">
        <v>8</v>
      </c>
      <c r="BW15" s="538">
        <v>8</v>
      </c>
      <c r="BX15" s="538">
        <v>8</v>
      </c>
      <c r="BY15" s="538">
        <v>8</v>
      </c>
      <c r="BZ15" s="538">
        <v>8</v>
      </c>
      <c r="CA15" s="538">
        <v>8</v>
      </c>
      <c r="CB15" s="538">
        <v>8</v>
      </c>
      <c r="CC15" s="538">
        <v>8</v>
      </c>
      <c r="CD15" s="538">
        <v>8</v>
      </c>
      <c r="CE15" s="538">
        <v>8</v>
      </c>
      <c r="CF15" s="538">
        <v>8</v>
      </c>
      <c r="CG15" s="538">
        <v>8</v>
      </c>
      <c r="CH15" s="538">
        <v>8</v>
      </c>
      <c r="CI15" s="538">
        <v>8</v>
      </c>
      <c r="CJ15" s="538">
        <v>8</v>
      </c>
      <c r="CK15" s="538">
        <v>8</v>
      </c>
      <c r="CL15" s="538">
        <v>8</v>
      </c>
      <c r="CM15" s="538">
        <v>8</v>
      </c>
      <c r="CN15" s="538">
        <v>8</v>
      </c>
      <c r="CO15" s="538">
        <v>8</v>
      </c>
      <c r="CP15" s="538">
        <v>8</v>
      </c>
      <c r="CQ15" s="538">
        <v>8</v>
      </c>
      <c r="CR15" s="538">
        <v>8</v>
      </c>
      <c r="CS15" s="538">
        <v>8</v>
      </c>
      <c r="CT15" s="538">
        <v>8</v>
      </c>
      <c r="CU15" s="538">
        <v>8</v>
      </c>
      <c r="CV15" s="538">
        <v>8</v>
      </c>
      <c r="CW15" s="538">
        <v>8</v>
      </c>
      <c r="CX15" s="538">
        <v>8</v>
      </c>
      <c r="CY15" s="538">
        <v>8</v>
      </c>
      <c r="CZ15" s="538">
        <v>8</v>
      </c>
      <c r="DA15" s="538">
        <v>8</v>
      </c>
      <c r="DB15" s="538">
        <v>8</v>
      </c>
      <c r="DC15" s="538">
        <v>8</v>
      </c>
      <c r="DD15" s="538">
        <v>8</v>
      </c>
      <c r="DE15" s="538">
        <v>8</v>
      </c>
      <c r="DF15" s="538">
        <v>8</v>
      </c>
      <c r="DG15" s="538">
        <v>8</v>
      </c>
      <c r="DH15" s="538">
        <v>8</v>
      </c>
      <c r="DI15" s="538">
        <v>8</v>
      </c>
      <c r="DJ15" s="538">
        <v>8</v>
      </c>
      <c r="DK15" s="538">
        <v>8</v>
      </c>
      <c r="DL15" s="538">
        <v>8</v>
      </c>
      <c r="DM15" s="538">
        <v>8</v>
      </c>
      <c r="DN15" s="538">
        <v>8</v>
      </c>
      <c r="DO15" s="538">
        <v>8</v>
      </c>
      <c r="DP15" s="538">
        <v>8</v>
      </c>
      <c r="DQ15" s="538">
        <v>8</v>
      </c>
      <c r="DR15" s="538">
        <v>8</v>
      </c>
      <c r="DS15" s="538">
        <v>8</v>
      </c>
      <c r="DT15" s="538">
        <v>8</v>
      </c>
      <c r="DU15" s="538">
        <v>8</v>
      </c>
      <c r="DV15" s="538">
        <v>8</v>
      </c>
      <c r="DW15" s="538">
        <v>8</v>
      </c>
      <c r="DX15" s="538">
        <v>8</v>
      </c>
      <c r="DY15" s="538">
        <v>8</v>
      </c>
      <c r="DZ15" s="538">
        <v>8</v>
      </c>
      <c r="EA15" s="538">
        <v>8</v>
      </c>
      <c r="EB15" s="538">
        <v>8</v>
      </c>
      <c r="EC15" s="538">
        <v>8</v>
      </c>
      <c r="ED15" s="538">
        <v>8</v>
      </c>
      <c r="EE15" s="538">
        <v>8</v>
      </c>
      <c r="EF15" s="538">
        <v>8</v>
      </c>
      <c r="EG15" s="538">
        <v>8</v>
      </c>
      <c r="EH15" s="538">
        <v>8</v>
      </c>
      <c r="EI15" s="538">
        <v>8</v>
      </c>
      <c r="EJ15" s="538">
        <v>8</v>
      </c>
      <c r="EK15" s="538">
        <v>8</v>
      </c>
      <c r="EL15" s="538">
        <v>8</v>
      </c>
      <c r="EM15" s="538">
        <v>8</v>
      </c>
      <c r="EN15" s="538">
        <v>8</v>
      </c>
      <c r="EO15" s="538">
        <v>8</v>
      </c>
      <c r="EP15" s="538">
        <v>8</v>
      </c>
      <c r="EQ15" s="538">
        <v>8</v>
      </c>
      <c r="ER15" s="538">
        <v>8</v>
      </c>
      <c r="ES15" s="538">
        <v>8</v>
      </c>
      <c r="ET15" s="538">
        <v>8</v>
      </c>
      <c r="EU15" s="538">
        <v>8</v>
      </c>
      <c r="EV15" s="538">
        <v>8</v>
      </c>
      <c r="EW15" s="538">
        <v>8</v>
      </c>
      <c r="EX15" s="538">
        <v>8</v>
      </c>
      <c r="EY15" s="538">
        <v>8</v>
      </c>
      <c r="EZ15" s="538">
        <v>8</v>
      </c>
      <c r="FA15" s="538">
        <v>8</v>
      </c>
      <c r="FB15" s="538">
        <v>8</v>
      </c>
      <c r="FC15" s="538">
        <v>8</v>
      </c>
      <c r="FD15" s="538">
        <v>8</v>
      </c>
      <c r="FE15" s="538">
        <v>8</v>
      </c>
      <c r="FF15" s="538">
        <v>8</v>
      </c>
      <c r="FG15" s="538">
        <v>8</v>
      </c>
      <c r="FH15" s="538">
        <v>8</v>
      </c>
      <c r="FI15" s="538">
        <v>8</v>
      </c>
      <c r="FJ15" s="538">
        <v>8</v>
      </c>
      <c r="FK15" s="538">
        <v>8</v>
      </c>
      <c r="FL15" s="538">
        <v>8</v>
      </c>
      <c r="FM15" s="538">
        <v>8</v>
      </c>
      <c r="FN15" s="538">
        <v>8</v>
      </c>
      <c r="FO15" s="538">
        <v>8</v>
      </c>
      <c r="FP15" s="538">
        <v>8</v>
      </c>
      <c r="FQ15" s="538">
        <v>8</v>
      </c>
      <c r="FR15" s="538">
        <v>8</v>
      </c>
      <c r="FS15" s="538">
        <v>8</v>
      </c>
      <c r="FT15" s="538">
        <v>8</v>
      </c>
      <c r="FU15" s="538">
        <v>8</v>
      </c>
      <c r="FV15" s="538">
        <v>8</v>
      </c>
      <c r="FW15" s="538">
        <v>8</v>
      </c>
      <c r="FX15" s="538">
        <v>8</v>
      </c>
      <c r="FY15" s="538">
        <v>8</v>
      </c>
      <c r="FZ15" s="538">
        <v>8</v>
      </c>
      <c r="GA15" s="538">
        <v>8</v>
      </c>
      <c r="GB15" s="538">
        <v>8</v>
      </c>
      <c r="GC15" s="538">
        <v>8</v>
      </c>
      <c r="GD15" s="538">
        <v>8</v>
      </c>
      <c r="GE15" s="538">
        <v>8</v>
      </c>
      <c r="GF15" s="538">
        <v>8</v>
      </c>
      <c r="GG15" s="538">
        <v>8</v>
      </c>
      <c r="GH15" s="538">
        <v>8</v>
      </c>
      <c r="GI15" s="538">
        <v>8</v>
      </c>
      <c r="GJ15" s="538">
        <v>8</v>
      </c>
      <c r="GK15" s="538">
        <v>8</v>
      </c>
      <c r="GL15" s="538">
        <v>8</v>
      </c>
      <c r="GM15" s="538">
        <v>8</v>
      </c>
      <c r="GN15" s="538">
        <v>8</v>
      </c>
      <c r="GO15" s="538">
        <v>8</v>
      </c>
      <c r="GP15" s="538">
        <v>8</v>
      </c>
      <c r="GQ15" s="538">
        <v>8</v>
      </c>
      <c r="GR15" s="538">
        <v>8</v>
      </c>
      <c r="GS15" s="538">
        <v>8</v>
      </c>
      <c r="GT15" s="538">
        <v>8</v>
      </c>
      <c r="GU15" s="538">
        <v>8</v>
      </c>
      <c r="GV15" s="538">
        <v>8</v>
      </c>
      <c r="GW15" s="538">
        <v>8</v>
      </c>
      <c r="GX15" s="538">
        <v>8</v>
      </c>
      <c r="GY15" s="538">
        <v>8</v>
      </c>
      <c r="GZ15" s="538">
        <v>8</v>
      </c>
      <c r="HA15" s="538">
        <v>8</v>
      </c>
      <c r="HB15" s="538">
        <v>8</v>
      </c>
      <c r="HC15" s="538">
        <v>8</v>
      </c>
      <c r="HD15" s="538">
        <v>8</v>
      </c>
      <c r="HE15" s="538">
        <v>8</v>
      </c>
      <c r="HF15" s="538">
        <v>8</v>
      </c>
      <c r="HG15" s="538">
        <v>8</v>
      </c>
      <c r="HH15" s="538">
        <v>8</v>
      </c>
      <c r="HI15" s="538">
        <v>8</v>
      </c>
      <c r="HJ15" s="538">
        <v>8</v>
      </c>
      <c r="HK15" s="538">
        <v>8</v>
      </c>
      <c r="HL15" s="538">
        <v>8</v>
      </c>
      <c r="HM15" s="538">
        <v>8</v>
      </c>
      <c r="HN15" s="538">
        <v>8</v>
      </c>
      <c r="HO15" s="538">
        <v>8</v>
      </c>
      <c r="HP15" s="538">
        <v>8</v>
      </c>
      <c r="HQ15" s="538">
        <v>8</v>
      </c>
      <c r="HR15" s="538">
        <v>8</v>
      </c>
      <c r="HS15" s="538">
        <v>8</v>
      </c>
      <c r="HT15" s="538">
        <v>8</v>
      </c>
      <c r="HU15" s="538">
        <v>8</v>
      </c>
      <c r="HV15" s="538">
        <v>8</v>
      </c>
      <c r="HW15" s="538">
        <v>8</v>
      </c>
      <c r="HX15" s="538">
        <v>8</v>
      </c>
      <c r="HY15" s="538">
        <v>8</v>
      </c>
      <c r="HZ15" s="538">
        <v>8</v>
      </c>
      <c r="IA15" s="538">
        <v>8</v>
      </c>
      <c r="IB15" s="538">
        <v>8</v>
      </c>
      <c r="IC15" s="538">
        <v>8</v>
      </c>
      <c r="ID15" s="538">
        <v>8</v>
      </c>
      <c r="IE15" s="538">
        <v>8</v>
      </c>
      <c r="IF15" s="538">
        <v>8</v>
      </c>
      <c r="IG15" s="538">
        <v>8</v>
      </c>
      <c r="IH15" s="538">
        <v>8</v>
      </c>
      <c r="II15" s="538">
        <v>8</v>
      </c>
      <c r="IJ15" s="538">
        <v>8</v>
      </c>
      <c r="IK15" s="538">
        <v>8</v>
      </c>
      <c r="IL15" s="538">
        <v>8</v>
      </c>
      <c r="IM15" s="538">
        <v>8</v>
      </c>
      <c r="IN15" s="538">
        <v>8</v>
      </c>
      <c r="IO15" s="538">
        <v>8</v>
      </c>
      <c r="IP15" s="538">
        <v>8</v>
      </c>
      <c r="IQ15" s="538">
        <v>8</v>
      </c>
      <c r="IR15" s="538">
        <v>8</v>
      </c>
      <c r="IS15" s="538">
        <v>8</v>
      </c>
      <c r="IT15" s="538">
        <v>8</v>
      </c>
      <c r="IU15" s="538">
        <v>8</v>
      </c>
      <c r="IV15" s="538">
        <v>8</v>
      </c>
      <c r="IW15" s="538">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2" width="9.140625" style="1029" hidden="1"/>
    <col min="3" max="3" width="3.7109375" style="1029" hidden="1" customWidth="1"/>
    <col min="4" max="4" width="3" style="1029" customWidth="1"/>
    <col min="5" max="5" width="6" style="1029" customWidth="1"/>
    <col min="6" max="6" width="27" style="1029" customWidth="1"/>
    <col min="7" max="7" width="16" style="1029" customWidth="1"/>
    <col min="8" max="8" width="12" style="1029" customWidth="1"/>
    <col min="9" max="9" width="32" style="1029" customWidth="1"/>
    <col min="10" max="11" width="41" style="1029" customWidth="1"/>
    <col min="12" max="12" width="89" style="1029" customWidth="1"/>
    <col min="13" max="13" width="3" style="1029" customWidth="1"/>
    <col min="14" max="16" width="8" style="1029" customWidth="1"/>
    <col min="17" max="17" width="25" style="1029" customWidth="1"/>
    <col min="18" max="18" width="14" style="1029" customWidth="1"/>
    <col min="19" max="256" width="8" style="1029" customWidth="1"/>
    <col min="257" max="257" width="9.140625" style="1029" hidden="1"/>
  </cols>
  <sheetData>
    <row r="1" spans="1:257" ht="22.5" hidden="1" customHeight="1">
      <c r="IW1" s="538" t="s">
        <v>14</v>
      </c>
    </row>
    <row r="2" spans="1:257" ht="22.5" hidden="1" customHeight="1">
      <c r="B2" s="555">
        <v>1</v>
      </c>
      <c r="D2" s="731" t="s">
        <v>103</v>
      </c>
      <c r="E2" s="583"/>
      <c r="F2" s="828" t="str">
        <f>IF(ROIV_INFO_NAME="","",ROIV_INFO_NAME)</f>
        <v>АО "НИЖЕГОРОДСКИЙ ВОДОКАНАЛ"</v>
      </c>
      <c r="G2" s="8" t="s">
        <v>22</v>
      </c>
      <c r="H2" s="497"/>
      <c r="I2" s="492"/>
      <c r="J2" s="307"/>
      <c r="K2" s="307"/>
      <c r="M2" s="982" t="e">
        <f ca="1">MERGEVALUE(F2)</f>
        <v>#NAME?</v>
      </c>
      <c r="P2" s="582" t="str">
        <f t="array" ref="P2">IF(ISERROR(MATCH(MID(Q2,1,250),MID(note_ter,1,250),0)),"n","y")</f>
        <v>n</v>
      </c>
      <c r="R2" s="582" t="str">
        <f>G2&amp;"("&amp;L2&amp;")"</f>
        <v>()</v>
      </c>
      <c r="IW2" s="41">
        <v>0</v>
      </c>
    </row>
    <row r="3" spans="1:257" ht="5.25" hidden="1" customHeight="1">
      <c r="F3" s="574" t="s">
        <v>82</v>
      </c>
      <c r="G3" s="498" t="s">
        <v>83</v>
      </c>
      <c r="L3" s="576" t="s">
        <v>84</v>
      </c>
      <c r="M3" s="574" t="s">
        <v>82</v>
      </c>
      <c r="IW3" s="577">
        <v>0</v>
      </c>
    </row>
    <row r="4" spans="1:257" ht="14.65" customHeight="1">
      <c r="IW4" s="579">
        <v>14</v>
      </c>
    </row>
    <row r="5" spans="1:257" ht="27.4" customHeight="1">
      <c r="E5" s="105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052"/>
      <c r="G5" s="1052"/>
      <c r="H5" s="1052"/>
      <c r="I5" s="1052"/>
      <c r="J5" s="1052"/>
      <c r="K5" s="1052"/>
      <c r="IW5" s="579">
        <v>26</v>
      </c>
    </row>
    <row r="6" spans="1:257" ht="14.65" customHeight="1">
      <c r="IW6" s="579">
        <v>14</v>
      </c>
    </row>
    <row r="7" spans="1:257" ht="14.65" customHeight="1">
      <c r="E7" s="1048" t="s">
        <v>311</v>
      </c>
      <c r="F7" s="1053"/>
      <c r="G7" s="1053"/>
      <c r="H7" s="1053"/>
      <c r="I7" s="1053"/>
      <c r="J7" s="1053"/>
      <c r="K7" s="1053"/>
      <c r="L7" s="1407" t="s">
        <v>312</v>
      </c>
      <c r="IW7" s="579">
        <v>14</v>
      </c>
    </row>
    <row r="8" spans="1:257" ht="67.150000000000006" customHeight="1">
      <c r="E8" s="1411" t="s">
        <v>87</v>
      </c>
      <c r="F8" s="1411" t="s">
        <v>2017</v>
      </c>
      <c r="G8" s="1413" t="s">
        <v>2018</v>
      </c>
      <c r="H8" s="1414"/>
      <c r="I8" s="1415"/>
      <c r="J8" s="1411" t="s">
        <v>2019</v>
      </c>
      <c r="K8" s="141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09"/>
      <c r="IW8" s="579">
        <v>64</v>
      </c>
    </row>
    <row r="9" spans="1:257" ht="29.25" customHeight="1">
      <c r="E9" s="1412"/>
      <c r="F9" s="1412"/>
      <c r="G9" s="499" t="s">
        <v>2013</v>
      </c>
      <c r="H9" s="499" t="s">
        <v>2014</v>
      </c>
      <c r="I9" s="499" t="s">
        <v>2015</v>
      </c>
      <c r="J9" s="1412"/>
      <c r="K9" s="1412"/>
      <c r="L9" s="1408"/>
      <c r="IW9" s="579">
        <v>28</v>
      </c>
    </row>
    <row r="10" spans="1:257" ht="1.1499999999999999" customHeight="1">
      <c r="A10" s="1031"/>
      <c r="B10" s="555">
        <v>1</v>
      </c>
      <c r="D10" s="585"/>
      <c r="E10" s="587">
        <v>0</v>
      </c>
      <c r="F10" s="671" t="str">
        <f>IF(ROIV_INFO_NAME="","",ROIV_INFO_NAME)</f>
        <v>АО "НИЖЕГОРОДСКИЙ ВОДОКАНАЛ"</v>
      </c>
      <c r="G10" s="15" t="s">
        <v>22</v>
      </c>
      <c r="H10" s="501"/>
      <c r="I10" s="501"/>
      <c r="J10" s="438"/>
      <c r="K10" s="438"/>
      <c r="L10" s="137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982" t="e">
        <f ca="1">MERGEVALUE(F10)</f>
        <v>#NAME?</v>
      </c>
      <c r="P10" s="582" t="str">
        <f t="array" ref="P10">IF(ISERROR(MATCH(MID(Q10,1,250),MID(note_ter,1,250),0)),"n","y")</f>
        <v>n</v>
      </c>
      <c r="R10" s="58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IW10" s="41">
        <v>1</v>
      </c>
    </row>
    <row r="11" spans="1:257" ht="15.75" customHeight="1">
      <c r="A11" s="1031"/>
      <c r="E11" s="42"/>
      <c r="F11" s="49" t="s">
        <v>2016</v>
      </c>
      <c r="G11" s="45"/>
      <c r="H11" s="45"/>
      <c r="I11" s="45"/>
      <c r="J11" s="45"/>
      <c r="K11" s="46"/>
      <c r="L11" s="1410"/>
      <c r="IW11" s="41">
        <v>15</v>
      </c>
    </row>
    <row r="12" spans="1:257" ht="21.95" customHeight="1">
      <c r="E12" s="588"/>
      <c r="F12" s="588"/>
      <c r="G12" s="588"/>
      <c r="H12" s="588"/>
      <c r="I12" s="588"/>
      <c r="J12" s="588"/>
      <c r="K12" s="588"/>
      <c r="L12" s="588"/>
      <c r="IW12" s="579">
        <v>21</v>
      </c>
    </row>
    <row r="13" spans="1:257" ht="14.65" customHeight="1">
      <c r="IW13" s="579">
        <v>14</v>
      </c>
    </row>
    <row r="14" spans="1:257" ht="1.1499999999999999" customHeight="1">
      <c r="IW14" s="579">
        <v>1</v>
      </c>
    </row>
    <row r="15" spans="1:257" ht="22.5" hidden="1" customHeight="1">
      <c r="A15" s="538" t="s">
        <v>81</v>
      </c>
      <c r="B15" s="555">
        <v>0</v>
      </c>
      <c r="C15" s="538">
        <v>0</v>
      </c>
      <c r="D15" s="590">
        <v>3</v>
      </c>
      <c r="E15" s="538">
        <v>6</v>
      </c>
      <c r="F15" s="538">
        <v>27</v>
      </c>
      <c r="G15" s="538">
        <v>16</v>
      </c>
      <c r="H15" s="538">
        <v>12</v>
      </c>
      <c r="I15" s="538">
        <v>32</v>
      </c>
      <c r="J15" s="538">
        <v>41</v>
      </c>
      <c r="K15" s="538">
        <v>41</v>
      </c>
      <c r="L15" s="538">
        <v>89</v>
      </c>
      <c r="M15" s="582">
        <v>3</v>
      </c>
      <c r="N15" s="582">
        <v>8</v>
      </c>
      <c r="O15" s="582">
        <v>8</v>
      </c>
      <c r="P15" s="582">
        <v>8</v>
      </c>
      <c r="Q15" s="582">
        <v>25</v>
      </c>
      <c r="R15" s="582">
        <v>14</v>
      </c>
      <c r="S15" s="591">
        <v>8</v>
      </c>
      <c r="T15" s="591">
        <v>8</v>
      </c>
      <c r="U15" s="591">
        <v>8</v>
      </c>
      <c r="V15" s="591">
        <v>8</v>
      </c>
      <c r="W15" s="538">
        <v>8</v>
      </c>
      <c r="X15" s="538">
        <v>8</v>
      </c>
      <c r="Y15" s="538">
        <v>8</v>
      </c>
      <c r="Z15" s="538">
        <v>8</v>
      </c>
      <c r="AA15" s="538">
        <v>8</v>
      </c>
      <c r="AB15" s="538">
        <v>8</v>
      </c>
      <c r="AC15" s="538">
        <v>8</v>
      </c>
      <c r="AD15" s="538">
        <v>8</v>
      </c>
      <c r="AE15" s="538">
        <v>8</v>
      </c>
      <c r="AF15" s="538">
        <v>8</v>
      </c>
      <c r="AG15" s="538">
        <v>8</v>
      </c>
      <c r="AH15" s="538">
        <v>8</v>
      </c>
      <c r="AI15" s="538">
        <v>8</v>
      </c>
      <c r="AJ15" s="538">
        <v>8</v>
      </c>
      <c r="AK15" s="538">
        <v>8</v>
      </c>
      <c r="AL15" s="538">
        <v>8</v>
      </c>
      <c r="AM15" s="538">
        <v>8</v>
      </c>
      <c r="AN15" s="538">
        <v>8</v>
      </c>
      <c r="AO15" s="538">
        <v>8</v>
      </c>
      <c r="AP15" s="538">
        <v>8</v>
      </c>
      <c r="AQ15" s="538">
        <v>8</v>
      </c>
      <c r="AR15" s="538">
        <v>8</v>
      </c>
      <c r="AS15" s="538">
        <v>8</v>
      </c>
      <c r="AT15" s="538">
        <v>8</v>
      </c>
      <c r="AU15" s="538">
        <v>8</v>
      </c>
      <c r="AV15" s="538">
        <v>8</v>
      </c>
      <c r="AW15" s="538">
        <v>8</v>
      </c>
      <c r="AX15" s="538">
        <v>8</v>
      </c>
      <c r="AY15" s="538">
        <v>8</v>
      </c>
      <c r="AZ15" s="538">
        <v>8</v>
      </c>
      <c r="BA15" s="538">
        <v>8</v>
      </c>
      <c r="BB15" s="538">
        <v>8</v>
      </c>
      <c r="BC15" s="538">
        <v>8</v>
      </c>
      <c r="BD15" s="538">
        <v>8</v>
      </c>
      <c r="BE15" s="538">
        <v>8</v>
      </c>
      <c r="BF15" s="538">
        <v>8</v>
      </c>
      <c r="BG15" s="538">
        <v>8</v>
      </c>
      <c r="BH15" s="538">
        <v>8</v>
      </c>
      <c r="BI15" s="538">
        <v>8</v>
      </c>
      <c r="BJ15" s="538">
        <v>8</v>
      </c>
      <c r="BK15" s="538">
        <v>8</v>
      </c>
      <c r="BL15" s="538">
        <v>8</v>
      </c>
      <c r="BM15" s="538">
        <v>8</v>
      </c>
      <c r="BN15" s="538">
        <v>8</v>
      </c>
      <c r="BO15" s="538">
        <v>8</v>
      </c>
      <c r="BP15" s="538">
        <v>8</v>
      </c>
      <c r="BQ15" s="538">
        <v>8</v>
      </c>
      <c r="BR15" s="538">
        <v>8</v>
      </c>
      <c r="BS15" s="538">
        <v>8</v>
      </c>
      <c r="BT15" s="538">
        <v>8</v>
      </c>
      <c r="BU15" s="538">
        <v>8</v>
      </c>
      <c r="BV15" s="538">
        <v>8</v>
      </c>
      <c r="BW15" s="538">
        <v>8</v>
      </c>
      <c r="BX15" s="538">
        <v>8</v>
      </c>
      <c r="BY15" s="538">
        <v>8</v>
      </c>
      <c r="BZ15" s="538">
        <v>8</v>
      </c>
      <c r="CA15" s="538">
        <v>8</v>
      </c>
      <c r="CB15" s="538">
        <v>8</v>
      </c>
      <c r="CC15" s="538">
        <v>8</v>
      </c>
      <c r="CD15" s="538">
        <v>8</v>
      </c>
      <c r="CE15" s="538">
        <v>8</v>
      </c>
      <c r="CF15" s="538">
        <v>8</v>
      </c>
      <c r="CG15" s="538">
        <v>8</v>
      </c>
      <c r="CH15" s="538">
        <v>8</v>
      </c>
      <c r="CI15" s="538">
        <v>8</v>
      </c>
      <c r="CJ15" s="538">
        <v>8</v>
      </c>
      <c r="CK15" s="538">
        <v>8</v>
      </c>
      <c r="CL15" s="538">
        <v>8</v>
      </c>
      <c r="CM15" s="538">
        <v>8</v>
      </c>
      <c r="CN15" s="538">
        <v>8</v>
      </c>
      <c r="CO15" s="538">
        <v>8</v>
      </c>
      <c r="CP15" s="538">
        <v>8</v>
      </c>
      <c r="CQ15" s="538">
        <v>8</v>
      </c>
      <c r="CR15" s="538">
        <v>8</v>
      </c>
      <c r="CS15" s="538">
        <v>8</v>
      </c>
      <c r="CT15" s="538">
        <v>8</v>
      </c>
      <c r="CU15" s="538">
        <v>8</v>
      </c>
      <c r="CV15" s="538">
        <v>8</v>
      </c>
      <c r="CW15" s="538">
        <v>8</v>
      </c>
      <c r="CX15" s="538">
        <v>8</v>
      </c>
      <c r="CY15" s="538">
        <v>8</v>
      </c>
      <c r="CZ15" s="538">
        <v>8</v>
      </c>
      <c r="DA15" s="538">
        <v>8</v>
      </c>
      <c r="DB15" s="538">
        <v>8</v>
      </c>
      <c r="DC15" s="538">
        <v>8</v>
      </c>
      <c r="DD15" s="538">
        <v>8</v>
      </c>
      <c r="DE15" s="538">
        <v>8</v>
      </c>
      <c r="DF15" s="538">
        <v>8</v>
      </c>
      <c r="DG15" s="538">
        <v>8</v>
      </c>
      <c r="DH15" s="538">
        <v>8</v>
      </c>
      <c r="DI15" s="538">
        <v>8</v>
      </c>
      <c r="DJ15" s="538">
        <v>8</v>
      </c>
      <c r="DK15" s="538">
        <v>8</v>
      </c>
      <c r="DL15" s="538">
        <v>8</v>
      </c>
      <c r="DM15" s="538">
        <v>8</v>
      </c>
      <c r="DN15" s="538">
        <v>8</v>
      </c>
      <c r="DO15" s="538">
        <v>8</v>
      </c>
      <c r="DP15" s="538">
        <v>8</v>
      </c>
      <c r="DQ15" s="538">
        <v>8</v>
      </c>
      <c r="DR15" s="538">
        <v>8</v>
      </c>
      <c r="DS15" s="538">
        <v>8</v>
      </c>
      <c r="DT15" s="538">
        <v>8</v>
      </c>
      <c r="DU15" s="538">
        <v>8</v>
      </c>
      <c r="DV15" s="538">
        <v>8</v>
      </c>
      <c r="DW15" s="538">
        <v>8</v>
      </c>
      <c r="DX15" s="538">
        <v>8</v>
      </c>
      <c r="DY15" s="538">
        <v>8</v>
      </c>
      <c r="DZ15" s="538">
        <v>8</v>
      </c>
      <c r="EA15" s="538">
        <v>8</v>
      </c>
      <c r="EB15" s="538">
        <v>8</v>
      </c>
      <c r="EC15" s="538">
        <v>8</v>
      </c>
      <c r="ED15" s="538">
        <v>8</v>
      </c>
      <c r="EE15" s="538">
        <v>8</v>
      </c>
      <c r="EF15" s="538">
        <v>8</v>
      </c>
      <c r="EG15" s="538">
        <v>8</v>
      </c>
      <c r="EH15" s="538">
        <v>8</v>
      </c>
      <c r="EI15" s="538">
        <v>8</v>
      </c>
      <c r="EJ15" s="538">
        <v>8</v>
      </c>
      <c r="EK15" s="538">
        <v>8</v>
      </c>
      <c r="EL15" s="538">
        <v>8</v>
      </c>
      <c r="EM15" s="538">
        <v>8</v>
      </c>
      <c r="EN15" s="538">
        <v>8</v>
      </c>
      <c r="EO15" s="538">
        <v>8</v>
      </c>
      <c r="EP15" s="538">
        <v>8</v>
      </c>
      <c r="EQ15" s="538">
        <v>8</v>
      </c>
      <c r="ER15" s="538">
        <v>8</v>
      </c>
      <c r="ES15" s="538">
        <v>8</v>
      </c>
      <c r="ET15" s="538">
        <v>8</v>
      </c>
      <c r="EU15" s="538">
        <v>8</v>
      </c>
      <c r="EV15" s="538">
        <v>8</v>
      </c>
      <c r="EW15" s="538">
        <v>8</v>
      </c>
      <c r="EX15" s="538">
        <v>8</v>
      </c>
      <c r="EY15" s="538">
        <v>8</v>
      </c>
      <c r="EZ15" s="538">
        <v>8</v>
      </c>
      <c r="FA15" s="538">
        <v>8</v>
      </c>
      <c r="FB15" s="538">
        <v>8</v>
      </c>
      <c r="FC15" s="538">
        <v>8</v>
      </c>
      <c r="FD15" s="538">
        <v>8</v>
      </c>
      <c r="FE15" s="538">
        <v>8</v>
      </c>
      <c r="FF15" s="538">
        <v>8</v>
      </c>
      <c r="FG15" s="538">
        <v>8</v>
      </c>
      <c r="FH15" s="538">
        <v>8</v>
      </c>
      <c r="FI15" s="538">
        <v>8</v>
      </c>
      <c r="FJ15" s="538">
        <v>8</v>
      </c>
      <c r="FK15" s="538">
        <v>8</v>
      </c>
      <c r="FL15" s="538">
        <v>8</v>
      </c>
      <c r="FM15" s="538">
        <v>8</v>
      </c>
      <c r="FN15" s="538">
        <v>8</v>
      </c>
      <c r="FO15" s="538">
        <v>8</v>
      </c>
      <c r="FP15" s="538">
        <v>8</v>
      </c>
      <c r="FQ15" s="538">
        <v>8</v>
      </c>
      <c r="FR15" s="538">
        <v>8</v>
      </c>
      <c r="FS15" s="538">
        <v>8</v>
      </c>
      <c r="FT15" s="538">
        <v>8</v>
      </c>
      <c r="FU15" s="538">
        <v>8</v>
      </c>
      <c r="FV15" s="538">
        <v>8</v>
      </c>
      <c r="FW15" s="538">
        <v>8</v>
      </c>
      <c r="FX15" s="538">
        <v>8</v>
      </c>
      <c r="FY15" s="538">
        <v>8</v>
      </c>
      <c r="FZ15" s="538">
        <v>8</v>
      </c>
      <c r="GA15" s="538">
        <v>8</v>
      </c>
      <c r="GB15" s="538">
        <v>8</v>
      </c>
      <c r="GC15" s="538">
        <v>8</v>
      </c>
      <c r="GD15" s="538">
        <v>8</v>
      </c>
      <c r="GE15" s="538">
        <v>8</v>
      </c>
      <c r="GF15" s="538">
        <v>8</v>
      </c>
      <c r="GG15" s="538">
        <v>8</v>
      </c>
      <c r="GH15" s="538">
        <v>8</v>
      </c>
      <c r="GI15" s="538">
        <v>8</v>
      </c>
      <c r="GJ15" s="538">
        <v>8</v>
      </c>
      <c r="GK15" s="538">
        <v>8</v>
      </c>
      <c r="GL15" s="538">
        <v>8</v>
      </c>
      <c r="GM15" s="538">
        <v>8</v>
      </c>
      <c r="GN15" s="538">
        <v>8</v>
      </c>
      <c r="GO15" s="538">
        <v>8</v>
      </c>
      <c r="GP15" s="538">
        <v>8</v>
      </c>
      <c r="GQ15" s="538">
        <v>8</v>
      </c>
      <c r="GR15" s="538">
        <v>8</v>
      </c>
      <c r="GS15" s="538">
        <v>8</v>
      </c>
      <c r="GT15" s="538">
        <v>8</v>
      </c>
      <c r="GU15" s="538">
        <v>8</v>
      </c>
      <c r="GV15" s="538">
        <v>8</v>
      </c>
      <c r="GW15" s="538">
        <v>8</v>
      </c>
      <c r="GX15" s="538">
        <v>8</v>
      </c>
      <c r="GY15" s="538">
        <v>8</v>
      </c>
      <c r="GZ15" s="538">
        <v>8</v>
      </c>
      <c r="HA15" s="538">
        <v>8</v>
      </c>
      <c r="HB15" s="538">
        <v>8</v>
      </c>
      <c r="HC15" s="538">
        <v>8</v>
      </c>
      <c r="HD15" s="538">
        <v>8</v>
      </c>
      <c r="HE15" s="538">
        <v>8</v>
      </c>
      <c r="HF15" s="538">
        <v>8</v>
      </c>
      <c r="HG15" s="538">
        <v>8</v>
      </c>
      <c r="HH15" s="538">
        <v>8</v>
      </c>
      <c r="HI15" s="538">
        <v>8</v>
      </c>
      <c r="HJ15" s="538">
        <v>8</v>
      </c>
      <c r="HK15" s="538">
        <v>8</v>
      </c>
      <c r="HL15" s="538">
        <v>8</v>
      </c>
      <c r="HM15" s="538">
        <v>8</v>
      </c>
      <c r="HN15" s="538">
        <v>8</v>
      </c>
      <c r="HO15" s="538">
        <v>8</v>
      </c>
      <c r="HP15" s="538">
        <v>8</v>
      </c>
      <c r="HQ15" s="538">
        <v>8</v>
      </c>
      <c r="HR15" s="538">
        <v>8</v>
      </c>
      <c r="HS15" s="538">
        <v>8</v>
      </c>
      <c r="HT15" s="538">
        <v>8</v>
      </c>
      <c r="HU15" s="538">
        <v>8</v>
      </c>
      <c r="HV15" s="538">
        <v>8</v>
      </c>
      <c r="HW15" s="538">
        <v>8</v>
      </c>
      <c r="HX15" s="538">
        <v>8</v>
      </c>
      <c r="HY15" s="538">
        <v>8</v>
      </c>
      <c r="HZ15" s="538">
        <v>8</v>
      </c>
      <c r="IA15" s="538">
        <v>8</v>
      </c>
      <c r="IB15" s="538">
        <v>8</v>
      </c>
      <c r="IC15" s="538">
        <v>8</v>
      </c>
      <c r="ID15" s="538">
        <v>8</v>
      </c>
      <c r="IE15" s="538">
        <v>8</v>
      </c>
      <c r="IF15" s="538">
        <v>8</v>
      </c>
      <c r="IG15" s="538">
        <v>8</v>
      </c>
      <c r="IH15" s="538">
        <v>8</v>
      </c>
      <c r="II15" s="538">
        <v>8</v>
      </c>
      <c r="IJ15" s="538">
        <v>8</v>
      </c>
      <c r="IK15" s="538">
        <v>8</v>
      </c>
      <c r="IL15" s="538">
        <v>8</v>
      </c>
      <c r="IM15" s="538">
        <v>8</v>
      </c>
      <c r="IN15" s="538">
        <v>8</v>
      </c>
      <c r="IO15" s="538">
        <v>8</v>
      </c>
      <c r="IP15" s="538">
        <v>8</v>
      </c>
      <c r="IQ15" s="538">
        <v>8</v>
      </c>
      <c r="IR15" s="538">
        <v>8</v>
      </c>
      <c r="IS15" s="538">
        <v>8</v>
      </c>
      <c r="IT15" s="538">
        <v>8</v>
      </c>
      <c r="IU15" s="538">
        <v>8</v>
      </c>
      <c r="IV15" s="538">
        <v>8</v>
      </c>
      <c r="IW15" s="53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2" width="9.140625" style="1029" hidden="1"/>
    <col min="3" max="3" width="3.7109375" style="1029" hidden="1" customWidth="1"/>
    <col min="4" max="4" width="3" style="1029" customWidth="1"/>
    <col min="5" max="5" width="6" style="1029" customWidth="1"/>
    <col min="6" max="6" width="27" style="1029" customWidth="1"/>
    <col min="7" max="7" width="29" style="1029" customWidth="1"/>
    <col min="8" max="8" width="25" style="1029" customWidth="1"/>
    <col min="9" max="9" width="5" style="1029" customWidth="1"/>
    <col min="10" max="10" width="6" style="1029" customWidth="1"/>
    <col min="11" max="11" width="41" style="1029" customWidth="1"/>
    <col min="12" max="12" width="42" style="1029" customWidth="1"/>
    <col min="13" max="13" width="41" style="1029" customWidth="1"/>
    <col min="14" max="14" width="89" style="1029" customWidth="1"/>
    <col min="15" max="15" width="3" style="1029" customWidth="1"/>
    <col min="16" max="16" width="8" style="1029" customWidth="1"/>
    <col min="17" max="17" width="9.140625" style="1029" hidden="1"/>
  </cols>
  <sheetData>
    <row r="1" spans="1:17" ht="22.5" hidden="1" customHeight="1">
      <c r="Q1" s="538" t="s">
        <v>14</v>
      </c>
    </row>
    <row r="2" spans="1:17" ht="22.5" hidden="1" customHeight="1">
      <c r="B2" s="555">
        <v>1</v>
      </c>
      <c r="D2" s="731" t="s">
        <v>103</v>
      </c>
      <c r="E2" s="1066">
        <v>1</v>
      </c>
      <c r="F2" s="1228" t="str">
        <f>IF(region_name="","",region_name)</f>
        <v>Нижегородская область</v>
      </c>
      <c r="G2" s="1416"/>
      <c r="H2" s="1417"/>
      <c r="I2" s="638"/>
      <c r="J2" s="543">
        <v>1</v>
      </c>
      <c r="K2" s="123"/>
      <c r="L2" s="123"/>
      <c r="M2" s="123"/>
      <c r="N2" s="644"/>
      <c r="Q2" s="41">
        <v>0</v>
      </c>
    </row>
    <row r="3" spans="1:17" ht="22.5" hidden="1" customHeight="1">
      <c r="E3" s="1066"/>
      <c r="F3" s="1228"/>
      <c r="G3" s="1416"/>
      <c r="H3" s="1341"/>
      <c r="I3" s="42"/>
      <c r="J3" s="303"/>
      <c r="K3" s="303" t="s">
        <v>2020</v>
      </c>
      <c r="L3" s="502"/>
      <c r="M3" s="503"/>
      <c r="N3" s="984"/>
      <c r="Q3" s="41">
        <v>0</v>
      </c>
    </row>
    <row r="4" spans="1:17" ht="5.25" hidden="1" customHeight="1">
      <c r="F4" s="574" t="s">
        <v>82</v>
      </c>
      <c r="G4" s="575" t="s">
        <v>83</v>
      </c>
      <c r="J4" s="985"/>
      <c r="O4" s="574" t="s">
        <v>82</v>
      </c>
      <c r="Q4" s="577">
        <v>0</v>
      </c>
    </row>
    <row r="5" spans="1:17" ht="22.5" hidden="1" customHeight="1">
      <c r="B5" s="555">
        <v>1</v>
      </c>
      <c r="E5" s="984"/>
      <c r="F5" s="984"/>
      <c r="G5" s="984"/>
      <c r="H5" s="986"/>
      <c r="I5" s="752" t="s">
        <v>103</v>
      </c>
      <c r="J5" s="580">
        <v>1</v>
      </c>
      <c r="K5" s="123"/>
      <c r="L5" s="123"/>
      <c r="M5" s="123"/>
      <c r="N5" s="644"/>
      <c r="Q5" s="41">
        <v>0</v>
      </c>
    </row>
    <row r="6" spans="1:17" ht="14.65" customHeight="1">
      <c r="Q6" s="579">
        <v>14</v>
      </c>
    </row>
    <row r="7" spans="1:17" ht="27.4" customHeight="1">
      <c r="E7" s="142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22"/>
      <c r="G7" s="1422"/>
      <c r="H7" s="1422"/>
      <c r="I7" s="1422"/>
      <c r="J7" s="1422"/>
      <c r="K7" s="1422"/>
      <c r="L7" s="1422"/>
      <c r="M7" s="1422"/>
      <c r="Q7" s="579">
        <v>26</v>
      </c>
    </row>
    <row r="8" spans="1:17" ht="14.65" customHeight="1">
      <c r="Q8" s="579">
        <v>14</v>
      </c>
    </row>
    <row r="9" spans="1:17" ht="14.25" hidden="1" customHeight="1">
      <c r="E9" s="504"/>
      <c r="F9" s="504"/>
      <c r="G9" s="504"/>
      <c r="H9" s="504"/>
      <c r="I9" s="1425"/>
      <c r="J9" s="1425"/>
      <c r="K9" s="1425"/>
      <c r="L9" s="504"/>
      <c r="M9" s="505"/>
      <c r="Q9" s="987">
        <v>0</v>
      </c>
    </row>
    <row r="10" spans="1:17" ht="14.65" customHeight="1">
      <c r="E10" s="1066" t="s">
        <v>311</v>
      </c>
      <c r="F10" s="1066"/>
      <c r="G10" s="1066"/>
      <c r="H10" s="1066"/>
      <c r="I10" s="1066"/>
      <c r="J10" s="1066"/>
      <c r="K10" s="1066"/>
      <c r="L10" s="1066"/>
      <c r="M10" s="1048"/>
      <c r="N10" s="1411" t="s">
        <v>312</v>
      </c>
      <c r="Q10" s="579">
        <v>14</v>
      </c>
    </row>
    <row r="11" spans="1:17" ht="44.25" customHeight="1">
      <c r="E11" s="1424" t="s">
        <v>87</v>
      </c>
      <c r="F11" s="1424" t="s">
        <v>315</v>
      </c>
      <c r="G11" s="1424" t="s">
        <v>2021</v>
      </c>
      <c r="H11" s="1424"/>
      <c r="I11" s="1424" t="s">
        <v>2022</v>
      </c>
      <c r="J11" s="1424"/>
      <c r="K11" s="1424"/>
      <c r="L11" s="1424" t="s">
        <v>2023</v>
      </c>
      <c r="M11" s="1413" t="s">
        <v>2024</v>
      </c>
      <c r="N11" s="1423"/>
      <c r="Q11" s="579">
        <v>42</v>
      </c>
    </row>
    <row r="12" spans="1:17" ht="29.25" customHeight="1">
      <c r="E12" s="1411"/>
      <c r="F12" s="1424"/>
      <c r="G12" s="30" t="s">
        <v>2025</v>
      </c>
      <c r="H12" s="30" t="s">
        <v>319</v>
      </c>
      <c r="I12" s="1424"/>
      <c r="J12" s="1424"/>
      <c r="K12" s="1424"/>
      <c r="L12" s="1424"/>
      <c r="M12" s="1413"/>
      <c r="N12" s="1412"/>
      <c r="Q12" s="579">
        <v>28</v>
      </c>
    </row>
    <row r="13" spans="1:17" ht="23.25" customHeight="1">
      <c r="A13" s="1051">
        <v>26379339</v>
      </c>
      <c r="B13" s="555">
        <v>1</v>
      </c>
      <c r="E13" s="1066">
        <v>1</v>
      </c>
      <c r="F13" s="1418" t="str">
        <f>IF(region_name="","",region_name)</f>
        <v>Нижегородская область</v>
      </c>
      <c r="G13" s="1419"/>
      <c r="H13" s="1426"/>
      <c r="I13" s="638"/>
      <c r="J13" s="586">
        <v>1</v>
      </c>
      <c r="K13" s="506"/>
      <c r="L13" s="507"/>
      <c r="M13" s="507"/>
      <c r="N13" s="1420" t="s">
        <v>2026</v>
      </c>
      <c r="Q13" s="41">
        <v>22</v>
      </c>
    </row>
    <row r="14" spans="1:17" ht="23.25" customHeight="1">
      <c r="A14" s="1031"/>
      <c r="E14" s="1066"/>
      <c r="F14" s="1418"/>
      <c r="G14" s="1419"/>
      <c r="H14" s="1427"/>
      <c r="I14" s="42"/>
      <c r="J14" s="303"/>
      <c r="K14" s="303" t="s">
        <v>2020</v>
      </c>
      <c r="L14" s="502"/>
      <c r="M14" s="502"/>
      <c r="N14" s="1421"/>
      <c r="Q14" s="41">
        <v>22</v>
      </c>
    </row>
    <row r="15" spans="1:17" ht="23.25" customHeight="1">
      <c r="A15" s="1031"/>
      <c r="E15" s="42"/>
      <c r="F15" s="303" t="s">
        <v>2012</v>
      </c>
      <c r="G15" s="494"/>
      <c r="H15" s="494"/>
      <c r="I15" s="45"/>
      <c r="J15" s="45"/>
      <c r="K15" s="45"/>
      <c r="L15" s="45"/>
      <c r="M15" s="45"/>
      <c r="N15" s="1421"/>
      <c r="Q15" s="41">
        <v>22</v>
      </c>
    </row>
    <row r="16" spans="1:17" ht="21.95" customHeight="1">
      <c r="E16" s="588"/>
      <c r="F16" s="588"/>
      <c r="G16" s="588"/>
      <c r="H16" s="588"/>
      <c r="I16" s="588"/>
      <c r="J16" s="588"/>
      <c r="K16" s="588"/>
      <c r="L16" s="588"/>
      <c r="Q16" s="579">
        <v>21</v>
      </c>
    </row>
    <row r="17" spans="1:17" ht="14.65" customHeight="1">
      <c r="Q17" s="579">
        <v>14</v>
      </c>
    </row>
    <row r="18" spans="1:17" ht="1.1499999999999999" customHeight="1">
      <c r="Q18" s="579">
        <v>1</v>
      </c>
    </row>
    <row r="19" spans="1:17" ht="22.5" hidden="1" customHeight="1">
      <c r="A19" s="538" t="s">
        <v>81</v>
      </c>
      <c r="B19" s="555">
        <v>0</v>
      </c>
      <c r="C19" s="538">
        <v>0</v>
      </c>
      <c r="D19" s="590">
        <v>3</v>
      </c>
      <c r="E19" s="538">
        <v>6</v>
      </c>
      <c r="F19" s="538">
        <v>27</v>
      </c>
      <c r="G19" s="538">
        <v>29</v>
      </c>
      <c r="H19" s="538">
        <v>25</v>
      </c>
      <c r="I19" s="538">
        <v>5</v>
      </c>
      <c r="J19" s="538">
        <v>6</v>
      </c>
      <c r="K19" s="538">
        <v>41</v>
      </c>
      <c r="L19" s="538">
        <v>42</v>
      </c>
      <c r="M19" s="538">
        <v>41</v>
      </c>
      <c r="N19" s="538">
        <v>89</v>
      </c>
      <c r="O19" s="582">
        <v>3</v>
      </c>
      <c r="P19" s="582">
        <v>8</v>
      </c>
      <c r="Q19" s="538">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1029" hidden="1"/>
    <col min="3" max="3" width="3" style="1029" customWidth="1"/>
    <col min="4" max="4" width="6" style="1029" customWidth="1"/>
    <col min="5" max="5" width="22" style="1029" customWidth="1"/>
    <col min="6" max="6" width="15" style="1029" customWidth="1"/>
    <col min="7" max="7" width="14" style="1029" customWidth="1"/>
    <col min="8" max="8" width="47" style="1029" customWidth="1"/>
    <col min="9" max="9" width="115" style="1029" customWidth="1"/>
    <col min="10" max="10" width="3" style="1029" customWidth="1"/>
    <col min="11" max="12" width="8" style="1029" customWidth="1"/>
    <col min="13" max="13" width="9.140625" style="1029" hidden="1"/>
  </cols>
  <sheetData>
    <row r="1" spans="1:13" ht="14.25" hidden="1" customHeight="1">
      <c r="M1" s="79" t="s">
        <v>14</v>
      </c>
    </row>
    <row r="2" spans="1:13" ht="14.25" hidden="1" customHeight="1">
      <c r="M2" s="79">
        <v>0</v>
      </c>
    </row>
    <row r="3" spans="1:13" ht="14.25" hidden="1" customHeight="1">
      <c r="M3" s="79">
        <v>0</v>
      </c>
    </row>
    <row r="4" spans="1:13" ht="3" customHeight="1">
      <c r="M4" s="79">
        <v>3</v>
      </c>
    </row>
    <row r="5" spans="1:13" ht="31.5" customHeight="1">
      <c r="C5" s="653"/>
      <c r="D5" s="1052" t="s">
        <v>2027</v>
      </c>
      <c r="E5" s="1052"/>
      <c r="F5" s="1052"/>
      <c r="G5" s="1052"/>
      <c r="H5" s="1052"/>
      <c r="M5" s="538">
        <v>30</v>
      </c>
    </row>
    <row r="6" spans="1:13" ht="3" hidden="1" customHeight="1">
      <c r="D6" s="624"/>
      <c r="E6" s="624"/>
      <c r="F6" s="624"/>
      <c r="G6" s="624"/>
      <c r="H6" s="624"/>
      <c r="I6" s="624"/>
      <c r="M6" s="79">
        <v>0</v>
      </c>
    </row>
    <row r="7" spans="1:13" ht="14.65" customHeight="1">
      <c r="D7" s="966"/>
      <c r="E7" s="966"/>
      <c r="F7" s="966"/>
      <c r="G7" s="966"/>
      <c r="H7" s="629"/>
      <c r="I7" s="966"/>
      <c r="J7" s="967"/>
      <c r="M7" s="89">
        <v>14</v>
      </c>
    </row>
    <row r="8" spans="1:13" ht="14.65" customHeight="1">
      <c r="D8" s="1154" t="s">
        <v>311</v>
      </c>
      <c r="E8" s="1154"/>
      <c r="F8" s="1154"/>
      <c r="G8" s="1154"/>
      <c r="H8" s="1154"/>
      <c r="I8" s="1154" t="s">
        <v>312</v>
      </c>
      <c r="M8" s="79">
        <v>14</v>
      </c>
    </row>
    <row r="9" spans="1:13" ht="29.25" customHeight="1">
      <c r="D9" s="1154" t="s">
        <v>87</v>
      </c>
      <c r="E9" s="1154" t="s">
        <v>2028</v>
      </c>
      <c r="F9" s="1154"/>
      <c r="G9" s="1154"/>
      <c r="H9" s="1154"/>
      <c r="I9" s="1154"/>
      <c r="M9" s="79">
        <v>28</v>
      </c>
    </row>
    <row r="10" spans="1:13" ht="24" customHeight="1">
      <c r="D10" s="1154"/>
      <c r="E10" s="632" t="s">
        <v>2029</v>
      </c>
      <c r="F10" s="632" t="s">
        <v>2030</v>
      </c>
      <c r="G10" s="632" t="s">
        <v>2031</v>
      </c>
      <c r="H10" s="632" t="s">
        <v>401</v>
      </c>
      <c r="I10" s="1154"/>
      <c r="M10" s="79">
        <v>23</v>
      </c>
    </row>
    <row r="11" spans="1:13" ht="12" hidden="1" customHeight="1">
      <c r="D11" s="109" t="s">
        <v>114</v>
      </c>
      <c r="E11" s="109" t="s">
        <v>90</v>
      </c>
      <c r="F11" s="109" t="s">
        <v>115</v>
      </c>
      <c r="G11" s="109" t="s">
        <v>91</v>
      </c>
      <c r="H11" s="109" t="s">
        <v>92</v>
      </c>
      <c r="I11" s="109" t="s">
        <v>116</v>
      </c>
      <c r="M11" s="79">
        <v>0</v>
      </c>
    </row>
    <row r="12" spans="1:13" ht="26.25" customHeight="1">
      <c r="A12" s="202" t="s">
        <v>89</v>
      </c>
      <c r="B12" t="s">
        <v>22</v>
      </c>
      <c r="D12" s="55" t="s">
        <v>114</v>
      </c>
      <c r="E12" s="123"/>
      <c r="F12" s="123"/>
      <c r="G12" s="203" t="s">
        <v>22</v>
      </c>
      <c r="H12" s="133"/>
      <c r="I12" s="1121" t="s">
        <v>2032</v>
      </c>
      <c r="M12" s="79">
        <v>25</v>
      </c>
    </row>
    <row r="13" spans="1:13" ht="15.75" customHeight="1">
      <c r="D13" s="760"/>
      <c r="E13" s="49" t="s">
        <v>479</v>
      </c>
      <c r="F13" s="297"/>
      <c r="G13" s="297"/>
      <c r="H13" s="295"/>
      <c r="I13" s="1123"/>
      <c r="M13" s="79">
        <v>15</v>
      </c>
    </row>
    <row r="14" spans="1:13" ht="3" customHeight="1">
      <c r="M14" s="79">
        <v>3</v>
      </c>
    </row>
    <row r="15" spans="1:13" ht="29.25" customHeight="1">
      <c r="E15" s="1428" t="s">
        <v>2033</v>
      </c>
      <c r="F15" s="1031"/>
      <c r="G15" s="1031"/>
      <c r="H15" s="1031"/>
      <c r="M15" s="79">
        <v>28</v>
      </c>
    </row>
    <row r="16" spans="1:13" ht="14.25" hidden="1" customHeight="1">
      <c r="A16" s="89" t="s">
        <v>81</v>
      </c>
      <c r="B16" s="79">
        <v>0</v>
      </c>
      <c r="C16" s="484">
        <v>3</v>
      </c>
      <c r="D16" s="79">
        <v>6</v>
      </c>
      <c r="E16" s="79">
        <v>22</v>
      </c>
      <c r="F16" s="79">
        <v>15</v>
      </c>
      <c r="G16" s="79">
        <v>14</v>
      </c>
      <c r="H16" s="79">
        <v>47</v>
      </c>
      <c r="I16" s="79">
        <v>115</v>
      </c>
      <c r="J16" s="79">
        <v>3</v>
      </c>
      <c r="K16" s="79">
        <v>8</v>
      </c>
      <c r="L16" s="79">
        <v>8</v>
      </c>
      <c r="M16" s="7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1029" hidden="1"/>
    <col min="3" max="3" width="3" style="1029" customWidth="1"/>
    <col min="4" max="4" width="6" style="1029" customWidth="1"/>
    <col min="5" max="5" width="94" style="1029" customWidth="1"/>
    <col min="6" max="9" width="8" style="1029" customWidth="1"/>
    <col min="10" max="10" width="9.140625" style="1029" hidden="1"/>
  </cols>
  <sheetData>
    <row r="1" spans="1:10" ht="14.25" hidden="1" customHeight="1">
      <c r="J1" s="968" t="s">
        <v>14</v>
      </c>
    </row>
    <row r="2" spans="1:10" ht="14.25" hidden="1" customHeight="1">
      <c r="J2" s="968">
        <v>0</v>
      </c>
    </row>
    <row r="3" spans="1:10" ht="14.25" hidden="1" customHeight="1">
      <c r="J3" s="968">
        <v>0</v>
      </c>
    </row>
    <row r="4" spans="1:10" ht="14.25" hidden="1" customHeight="1">
      <c r="J4" s="968">
        <v>0</v>
      </c>
    </row>
    <row r="5" spans="1:10" ht="14.25" hidden="1" customHeight="1">
      <c r="J5" s="968">
        <v>0</v>
      </c>
    </row>
    <row r="6" spans="1:10" ht="3" customHeight="1">
      <c r="C6" s="969"/>
      <c r="D6" s="624"/>
      <c r="E6" s="624"/>
      <c r="J6" s="968">
        <v>3</v>
      </c>
    </row>
    <row r="7" spans="1:10" ht="23.25" customHeight="1">
      <c r="C7" s="969"/>
      <c r="D7" s="1429" t="s">
        <v>2034</v>
      </c>
      <c r="E7" s="1430"/>
      <c r="J7" s="968">
        <v>22</v>
      </c>
    </row>
    <row r="8" spans="1:10" ht="3" customHeight="1">
      <c r="C8" s="969"/>
      <c r="D8" s="624"/>
      <c r="E8" s="624"/>
      <c r="J8" s="968">
        <v>3</v>
      </c>
    </row>
    <row r="9" spans="1:10" ht="16.899999999999999" customHeight="1">
      <c r="C9" s="969"/>
      <c r="D9" s="632" t="s">
        <v>87</v>
      </c>
      <c r="E9" s="583" t="s">
        <v>2035</v>
      </c>
      <c r="J9" s="968">
        <v>16</v>
      </c>
    </row>
    <row r="10" spans="1:10" ht="1.1499999999999999" customHeight="1">
      <c r="C10" s="969"/>
      <c r="D10" s="109"/>
      <c r="E10" s="109"/>
      <c r="J10" s="968">
        <v>1</v>
      </c>
    </row>
    <row r="11" spans="1:10" ht="11.25" hidden="1" customHeight="1">
      <c r="C11" s="969"/>
      <c r="D11" s="970">
        <v>0</v>
      </c>
      <c r="E11" s="289"/>
      <c r="J11" s="968">
        <v>0</v>
      </c>
    </row>
    <row r="12" spans="1:10" ht="15.75" customHeight="1">
      <c r="C12" s="653"/>
      <c r="D12" s="745">
        <v>1</v>
      </c>
      <c r="E12" s="123"/>
      <c r="J12" s="968">
        <v>15</v>
      </c>
    </row>
    <row r="13" spans="1:10" ht="12.75" customHeight="1">
      <c r="C13" s="969"/>
      <c r="D13" s="119"/>
      <c r="E13" s="485" t="s">
        <v>2036</v>
      </c>
      <c r="J13" s="968">
        <v>12</v>
      </c>
    </row>
    <row r="14" spans="1:10" ht="3" customHeight="1">
      <c r="J14" s="968">
        <v>3</v>
      </c>
    </row>
    <row r="15" spans="1:10" ht="23.25" customHeight="1">
      <c r="D15" s="1428" t="s">
        <v>2037</v>
      </c>
      <c r="E15" s="1031"/>
      <c r="J15" s="968">
        <v>22</v>
      </c>
    </row>
    <row r="16" spans="1:10" ht="14.25" hidden="1" customHeight="1">
      <c r="A16" s="968" t="s">
        <v>81</v>
      </c>
      <c r="B16" s="968">
        <v>0</v>
      </c>
      <c r="C16" s="971">
        <v>3</v>
      </c>
      <c r="D16" s="968">
        <v>6</v>
      </c>
      <c r="E16" s="968">
        <v>94</v>
      </c>
      <c r="F16" s="968">
        <v>8</v>
      </c>
      <c r="G16" s="968">
        <v>8</v>
      </c>
      <c r="H16" s="968">
        <v>8</v>
      </c>
      <c r="I16" s="968">
        <v>8</v>
      </c>
      <c r="J16" s="96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9"/>
  <sheetViews>
    <sheetView showGridLines="0" tabSelected="1" topLeftCell="E6" zoomScale="90" workbookViewId="0">
      <selection activeCell="E17" sqref="E17"/>
    </sheetView>
  </sheetViews>
  <sheetFormatPr defaultColWidth="9.140625" defaultRowHeight="14.25" customHeight="1"/>
  <cols>
    <col min="1" max="2" width="9.140625" style="1029" hidden="1"/>
    <col min="3" max="3" width="3" style="1029" customWidth="1"/>
    <col min="4" max="4" width="6" style="1029" customWidth="1"/>
    <col min="5" max="5" width="249.42578125" style="1029" customWidth="1"/>
    <col min="6" max="12" width="8" style="1029" customWidth="1"/>
    <col min="13" max="13" width="9.140625" style="1029" hidden="1"/>
  </cols>
  <sheetData>
    <row r="1" spans="1:13" ht="14.25" hidden="1" customHeight="1">
      <c r="M1" s="968" t="s">
        <v>14</v>
      </c>
    </row>
    <row r="2" spans="1:13" ht="14.25" hidden="1" customHeight="1">
      <c r="M2" s="968">
        <v>0</v>
      </c>
    </row>
    <row r="3" spans="1:13" ht="14.25" hidden="1" customHeight="1">
      <c r="M3" s="968">
        <v>0</v>
      </c>
    </row>
    <row r="4" spans="1:13" ht="14.25" hidden="1" customHeight="1">
      <c r="M4" s="968">
        <v>0</v>
      </c>
    </row>
    <row r="5" spans="1:13" ht="14.25" hidden="1" customHeight="1">
      <c r="M5" s="968">
        <v>0</v>
      </c>
    </row>
    <row r="6" spans="1:13" ht="3" customHeight="1">
      <c r="C6" s="969"/>
      <c r="D6" s="624"/>
      <c r="E6" s="624"/>
      <c r="M6" s="968">
        <v>3</v>
      </c>
    </row>
    <row r="7" spans="1:13" ht="23.25" customHeight="1">
      <c r="C7" s="969"/>
      <c r="D7" s="1052" t="s">
        <v>2038</v>
      </c>
      <c r="E7" s="1052"/>
      <c r="M7" s="968">
        <v>22</v>
      </c>
    </row>
    <row r="8" spans="1:13" ht="3" customHeight="1">
      <c r="C8" s="969"/>
      <c r="D8" s="624"/>
      <c r="E8" s="624"/>
      <c r="M8" s="968">
        <v>3</v>
      </c>
    </row>
    <row r="9" spans="1:13" ht="16.899999999999999" customHeight="1">
      <c r="C9" s="969"/>
      <c r="D9" s="632" t="s">
        <v>87</v>
      </c>
      <c r="E9" s="602" t="s">
        <v>298</v>
      </c>
      <c r="M9" s="968">
        <v>16</v>
      </c>
    </row>
    <row r="10" spans="1:13" ht="12.75" customHeight="1">
      <c r="C10" s="969"/>
      <c r="D10" s="109" t="s">
        <v>114</v>
      </c>
      <c r="E10" s="109" t="s">
        <v>102</v>
      </c>
      <c r="M10" s="968">
        <v>12</v>
      </c>
    </row>
    <row r="11" spans="1:13" ht="15" hidden="1" customHeight="1">
      <c r="C11" s="969"/>
      <c r="D11" s="745">
        <v>0</v>
      </c>
      <c r="E11" s="127"/>
      <c r="M11" s="968">
        <v>0</v>
      </c>
    </row>
    <row r="12" spans="1:13" ht="36" customHeight="1">
      <c r="A12"/>
      <c r="B12"/>
      <c r="C12" s="746" t="s">
        <v>103</v>
      </c>
      <c r="D12" s="745" t="s">
        <v>114</v>
      </c>
      <c r="E12" s="106" t="s">
        <v>2039</v>
      </c>
      <c r="F12"/>
      <c r="G12"/>
      <c r="H12"/>
      <c r="I12"/>
      <c r="J12"/>
      <c r="K12"/>
      <c r="L12"/>
      <c r="M12"/>
    </row>
    <row r="13" spans="1:13" ht="30.75" customHeight="1">
      <c r="A13"/>
      <c r="B13"/>
      <c r="C13" s="746" t="s">
        <v>103</v>
      </c>
      <c r="D13" s="745" t="s">
        <v>102</v>
      </c>
      <c r="E13" s="106" t="s">
        <v>2040</v>
      </c>
      <c r="F13"/>
      <c r="G13"/>
      <c r="H13"/>
      <c r="I13"/>
      <c r="J13"/>
      <c r="K13"/>
      <c r="L13"/>
      <c r="M13"/>
    </row>
    <row r="14" spans="1:13" ht="42" customHeight="1">
      <c r="A14"/>
      <c r="B14"/>
      <c r="C14" s="746" t="s">
        <v>103</v>
      </c>
      <c r="D14" s="745" t="s">
        <v>89</v>
      </c>
      <c r="E14" s="106" t="s">
        <v>2041</v>
      </c>
      <c r="F14"/>
      <c r="G14"/>
      <c r="H14"/>
      <c r="I14"/>
      <c r="J14"/>
      <c r="K14"/>
      <c r="L14"/>
      <c r="M14"/>
    </row>
    <row r="15" spans="1:13" ht="39" customHeight="1">
      <c r="A15"/>
      <c r="B15"/>
      <c r="C15" s="746" t="s">
        <v>103</v>
      </c>
      <c r="D15" s="745" t="s">
        <v>90</v>
      </c>
      <c r="E15" s="106" t="s">
        <v>2042</v>
      </c>
      <c r="F15"/>
      <c r="G15"/>
      <c r="H15"/>
      <c r="I15"/>
      <c r="J15"/>
      <c r="K15"/>
      <c r="L15"/>
      <c r="M15"/>
    </row>
    <row r="16" spans="1:13" ht="40.5" customHeight="1">
      <c r="A16"/>
      <c r="B16"/>
      <c r="C16" s="746" t="s">
        <v>103</v>
      </c>
      <c r="D16" s="745" t="s">
        <v>115</v>
      </c>
      <c r="E16" s="106" t="s">
        <v>5860</v>
      </c>
      <c r="F16"/>
      <c r="G16"/>
      <c r="H16"/>
      <c r="I16"/>
      <c r="J16"/>
      <c r="K16"/>
      <c r="L16"/>
      <c r="M16"/>
    </row>
    <row r="17" spans="1:13" ht="38.25" customHeight="1">
      <c r="A17"/>
      <c r="B17"/>
      <c r="C17" s="746" t="s">
        <v>103</v>
      </c>
      <c r="D17" s="745" t="s">
        <v>91</v>
      </c>
      <c r="E17" s="106" t="s">
        <v>2043</v>
      </c>
      <c r="F17"/>
      <c r="G17"/>
      <c r="H17"/>
      <c r="I17"/>
      <c r="J17"/>
      <c r="K17"/>
      <c r="L17"/>
      <c r="M17"/>
    </row>
    <row r="18" spans="1:13" ht="14.65" customHeight="1">
      <c r="C18" s="969"/>
      <c r="D18" s="760"/>
      <c r="E18" s="485" t="s">
        <v>2036</v>
      </c>
      <c r="M18" s="968">
        <v>14</v>
      </c>
    </row>
    <row r="19" spans="1:13" ht="14.25" hidden="1" customHeight="1">
      <c r="A19" s="968" t="s">
        <v>81</v>
      </c>
      <c r="B19" s="968">
        <v>0</v>
      </c>
      <c r="C19" s="971">
        <v>3</v>
      </c>
      <c r="D19" s="968">
        <v>6</v>
      </c>
      <c r="E19" s="968">
        <v>94</v>
      </c>
      <c r="F19" s="968">
        <v>8</v>
      </c>
      <c r="G19" s="968">
        <v>8</v>
      </c>
      <c r="H19" s="968">
        <v>8</v>
      </c>
      <c r="I19" s="968">
        <v>8</v>
      </c>
      <c r="J19" s="968">
        <v>8</v>
      </c>
      <c r="K19" s="968">
        <v>8</v>
      </c>
      <c r="L19" s="968">
        <v>8</v>
      </c>
      <c r="M19" s="968">
        <v>14</v>
      </c>
    </row>
  </sheetData>
  <sheetProtection formatColumns="0" formatRows="0" insertRows="0" deleteColumns="0" deleteRows="0" sort="0" autoFilter="0"/>
  <mergeCells count="1">
    <mergeCell ref="D7:E7"/>
  </mergeCells>
  <dataValidations count="7">
    <dataValidation type="textLength" operator="lessThanOrEqual" allowBlank="1" showInputMessage="1" showErrorMessage="1" errorTitle="Ошибка" error="Допускается ввод не более 900 символов!" sqref="E17">
      <formula1>900</formula1>
    </dataValidation>
    <dataValidation type="textLength" operator="lessThanOrEqual" allowBlank="1" showInputMessage="1" showErrorMessage="1" errorTitle="Ошибка" error="Допускается ввод не более 900 символов!" sqref="E16">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029" hidden="1"/>
    <col min="3" max="4" width="3" style="1029" customWidth="1"/>
    <col min="5" max="6" width="15" style="1029" customWidth="1"/>
    <col min="7" max="7" width="11.5703125" style="1029" customWidth="1"/>
    <col min="8" max="9" width="3" style="1029" customWidth="1"/>
    <col min="10" max="10" width="12" style="1029" customWidth="1"/>
    <col min="11" max="11" width="0.28515625" style="1029" customWidth="1"/>
    <col min="12" max="13" width="10" style="1029" customWidth="1"/>
    <col min="14" max="15" width="3" style="1029" customWidth="1"/>
    <col min="16" max="16" width="19" style="1029" customWidth="1"/>
    <col min="17" max="17" width="0.28515625" style="1029" customWidth="1"/>
    <col min="18" max="19" width="10" style="1029" customWidth="1"/>
    <col min="20" max="21" width="3" style="1029" customWidth="1"/>
    <col min="22" max="22" width="25" style="1029" customWidth="1"/>
    <col min="23" max="23" width="0.28515625" style="1029" customWidth="1"/>
    <col min="24" max="25" width="10" style="1029" customWidth="1"/>
    <col min="26" max="27" width="3" style="1029" customWidth="1"/>
    <col min="28" max="28" width="16" style="1029" customWidth="1"/>
    <col min="29" max="29" width="0.28515625" style="1029" customWidth="1"/>
    <col min="30" max="31" width="10" style="1029" customWidth="1"/>
    <col min="32" max="33" width="3" style="1029" customWidth="1"/>
    <col min="34" max="34" width="8" style="1029" customWidth="1"/>
    <col min="35" max="35" width="21" style="1029" customWidth="1"/>
    <col min="36" max="64" width="8" style="1029" customWidth="1"/>
    <col min="65" max="65" width="9.140625" style="1029" hidden="1"/>
  </cols>
  <sheetData>
    <row r="1" spans="4:65" ht="11.25" hidden="1" customHeight="1">
      <c r="BM1" s="73" t="s">
        <v>14</v>
      </c>
    </row>
    <row r="2" spans="4:65" ht="11.25" hidden="1" customHeight="1">
      <c r="L2" s="74" t="s">
        <v>290</v>
      </c>
      <c r="M2" s="74" t="s">
        <v>291</v>
      </c>
      <c r="R2" s="74" t="s">
        <v>292</v>
      </c>
      <c r="S2" s="74" t="s">
        <v>291</v>
      </c>
      <c r="X2" s="74" t="s">
        <v>290</v>
      </c>
      <c r="Y2" s="74" t="s">
        <v>291</v>
      </c>
      <c r="AD2" s="74" t="s">
        <v>290</v>
      </c>
      <c r="AE2" s="74" t="s">
        <v>291</v>
      </c>
      <c r="BM2" s="74">
        <v>0</v>
      </c>
    </row>
    <row r="3" spans="4:65" ht="11.45" customHeight="1">
      <c r="BM3" s="75">
        <v>11</v>
      </c>
    </row>
    <row r="4" spans="4:65" ht="34.5" customHeight="1">
      <c r="D4" s="1140" t="s">
        <v>293</v>
      </c>
      <c r="E4" s="1140"/>
      <c r="F4" s="1140"/>
      <c r="G4" s="1140"/>
      <c r="H4" s="1140"/>
      <c r="I4" s="1140"/>
      <c r="J4" s="1140"/>
      <c r="BM4" s="579">
        <v>33</v>
      </c>
    </row>
    <row r="5" spans="4:65" ht="14.65" customHeight="1">
      <c r="D5" s="1127" t="str">
        <f>IF(org=0,"Не определено",org)</f>
        <v>АО "НИЖЕГОРОДСКИЙ ВОДОКАНАЛ"</v>
      </c>
      <c r="E5" s="1127"/>
      <c r="F5" s="1127"/>
      <c r="G5" s="1127"/>
      <c r="H5" s="1127"/>
      <c r="I5" s="1127"/>
      <c r="J5" s="1127"/>
      <c r="BM5" s="579">
        <v>14</v>
      </c>
    </row>
    <row r="6" spans="4:65" ht="14.65" customHeight="1">
      <c r="BM6" s="579">
        <v>14</v>
      </c>
    </row>
    <row r="7" spans="4:65" ht="1.1499999999999999" customHeight="1">
      <c r="BM7" s="73">
        <v>1</v>
      </c>
    </row>
    <row r="8" spans="4:65" ht="33.75" customHeight="1">
      <c r="D8" s="1066" t="s">
        <v>87</v>
      </c>
      <c r="E8" s="1066" t="s">
        <v>110</v>
      </c>
      <c r="F8" s="1141" t="s">
        <v>135</v>
      </c>
      <c r="G8" s="1142"/>
      <c r="H8" s="1141" t="s">
        <v>87</v>
      </c>
      <c r="I8" s="1142"/>
      <c r="J8" s="1066" t="s">
        <v>136</v>
      </c>
      <c r="K8" s="616"/>
      <c r="L8" s="1126" t="s">
        <v>294</v>
      </c>
      <c r="M8" s="1126"/>
      <c r="N8" s="1126"/>
      <c r="O8" s="1126"/>
      <c r="P8" s="1126"/>
      <c r="Q8" s="614"/>
      <c r="R8" s="1048" t="s">
        <v>295</v>
      </c>
      <c r="S8" s="1053"/>
      <c r="T8" s="1053"/>
      <c r="U8" s="1053"/>
      <c r="V8" s="1053"/>
      <c r="W8" s="614"/>
      <c r="X8" s="1066" t="s">
        <v>296</v>
      </c>
      <c r="Y8" s="1066"/>
      <c r="Z8" s="1066"/>
      <c r="AA8" s="1066"/>
      <c r="AB8" s="1066"/>
      <c r="AC8" s="617"/>
      <c r="AD8" s="1066" t="s">
        <v>297</v>
      </c>
      <c r="AE8" s="1066"/>
      <c r="AF8" s="1066"/>
      <c r="AG8" s="1066"/>
      <c r="AH8" s="1048"/>
      <c r="AI8" s="1066" t="s">
        <v>298</v>
      </c>
      <c r="BM8" s="41">
        <v>32</v>
      </c>
    </row>
    <row r="9" spans="4:65" ht="23.25" customHeight="1">
      <c r="D9" s="1066"/>
      <c r="E9" s="1066"/>
      <c r="F9" s="1126" t="s">
        <v>88</v>
      </c>
      <c r="G9" s="1126" t="s">
        <v>141</v>
      </c>
      <c r="H9" s="1143"/>
      <c r="I9" s="1144"/>
      <c r="J9" s="1048"/>
      <c r="K9" s="618"/>
      <c r="L9" s="1066" t="s">
        <v>299</v>
      </c>
      <c r="M9" s="1048"/>
      <c r="N9" s="1141" t="s">
        <v>87</v>
      </c>
      <c r="O9" s="1142"/>
      <c r="P9" s="1066" t="s">
        <v>142</v>
      </c>
      <c r="Q9" s="616"/>
      <c r="R9" s="1066" t="s">
        <v>299</v>
      </c>
      <c r="S9" s="1048"/>
      <c r="T9" s="1141" t="s">
        <v>87</v>
      </c>
      <c r="U9" s="1142"/>
      <c r="V9" s="1066" t="s">
        <v>142</v>
      </c>
      <c r="W9" s="616"/>
      <c r="X9" s="1066" t="s">
        <v>299</v>
      </c>
      <c r="Y9" s="1048"/>
      <c r="Z9" s="1141" t="s">
        <v>87</v>
      </c>
      <c r="AA9" s="1142"/>
      <c r="AB9" s="1066" t="s">
        <v>300</v>
      </c>
      <c r="AC9" s="616"/>
      <c r="AD9" s="1066" t="s">
        <v>299</v>
      </c>
      <c r="AE9" s="1048"/>
      <c r="AF9" s="1141" t="s">
        <v>87</v>
      </c>
      <c r="AG9" s="1142"/>
      <c r="AH9" s="1048" t="s">
        <v>300</v>
      </c>
      <c r="AI9" s="1066"/>
      <c r="BM9" s="41">
        <v>22</v>
      </c>
    </row>
    <row r="10" spans="4:65" ht="24" customHeight="1">
      <c r="D10" s="1126"/>
      <c r="E10" s="1126"/>
      <c r="F10" s="1145"/>
      <c r="G10" s="1145"/>
      <c r="H10" s="1146"/>
      <c r="I10" s="1147"/>
      <c r="J10" s="1141"/>
      <c r="K10" s="618"/>
      <c r="L10" s="617" t="s">
        <v>301</v>
      </c>
      <c r="M10" s="614" t="s">
        <v>302</v>
      </c>
      <c r="N10" s="1143"/>
      <c r="O10" s="1144"/>
      <c r="P10" s="1126"/>
      <c r="Q10" s="616"/>
      <c r="R10" s="617" t="s">
        <v>301</v>
      </c>
      <c r="S10" s="614" t="s">
        <v>302</v>
      </c>
      <c r="T10" s="1143"/>
      <c r="U10" s="1144"/>
      <c r="V10" s="1126"/>
      <c r="W10" s="616"/>
      <c r="X10" s="617" t="s">
        <v>301</v>
      </c>
      <c r="Y10" s="614" t="s">
        <v>302</v>
      </c>
      <c r="Z10" s="1143"/>
      <c r="AA10" s="1144"/>
      <c r="AB10" s="1126"/>
      <c r="AC10" s="616"/>
      <c r="AD10" s="617" t="s">
        <v>301</v>
      </c>
      <c r="AE10" s="614" t="s">
        <v>302</v>
      </c>
      <c r="AF10" s="1143"/>
      <c r="AG10" s="1144"/>
      <c r="AH10" s="1141"/>
      <c r="AI10" s="1126"/>
      <c r="AK10" s="79" t="s">
        <v>303</v>
      </c>
      <c r="AL10" s="79" t="s">
        <v>143</v>
      </c>
      <c r="BM10" s="41">
        <v>23</v>
      </c>
    </row>
    <row r="11" spans="4:65" ht="15" customHeight="1">
      <c r="D11" s="1132" t="s">
        <v>114</v>
      </c>
      <c r="E11" s="1129" t="s">
        <v>304</v>
      </c>
      <c r="F11" s="1129" t="s">
        <v>305</v>
      </c>
      <c r="G11" s="1134" t="s">
        <v>19</v>
      </c>
      <c r="H11" s="81"/>
      <c r="I11" s="1131"/>
      <c r="J11" s="1106"/>
      <c r="K11" s="67"/>
      <c r="L11" s="1095"/>
      <c r="M11" s="1095"/>
      <c r="N11" s="82"/>
      <c r="O11" s="1095"/>
      <c r="P11" s="1106"/>
      <c r="Q11" s="67"/>
      <c r="R11" s="1095"/>
      <c r="S11" s="1095"/>
      <c r="T11" s="83"/>
      <c r="U11" s="1095"/>
      <c r="V11" s="1106"/>
      <c r="W11" s="68"/>
      <c r="X11" s="1095"/>
      <c r="Y11" s="1095"/>
      <c r="Z11" s="82"/>
      <c r="AA11" s="1095"/>
      <c r="AB11" s="1106"/>
      <c r="AC11" s="620"/>
      <c r="AD11" s="1095"/>
      <c r="AE11" s="1095"/>
      <c r="AF11" s="68"/>
      <c r="AG11" s="68"/>
      <c r="AH11" s="82"/>
      <c r="AI11" s="70"/>
      <c r="BM11" s="41">
        <v>14</v>
      </c>
    </row>
    <row r="12" spans="4:65" ht="14.65" customHeight="1">
      <c r="D12" s="1132"/>
      <c r="E12" s="1129"/>
      <c r="F12" s="1129"/>
      <c r="G12" s="1135"/>
      <c r="H12" s="85"/>
      <c r="I12" s="1031"/>
      <c r="J12" s="1031"/>
      <c r="L12" s="1031"/>
      <c r="M12" s="1031"/>
      <c r="O12" s="1031"/>
      <c r="P12" s="1031"/>
      <c r="R12" s="1031"/>
      <c r="S12" s="1031"/>
      <c r="U12" s="1031"/>
      <c r="V12" s="1031"/>
      <c r="X12" s="1031"/>
      <c r="Y12" s="1031"/>
      <c r="AA12" s="1031"/>
      <c r="AB12" s="1031"/>
      <c r="AD12" s="1031"/>
      <c r="AE12" s="1031"/>
      <c r="AH12" s="1031"/>
      <c r="AI12" s="1128"/>
      <c r="BM12" s="41">
        <v>14</v>
      </c>
    </row>
    <row r="13" spans="4:65" ht="14.65" customHeight="1">
      <c r="D13" s="1132"/>
      <c r="E13" s="1129"/>
      <c r="F13" s="1129"/>
      <c r="G13" s="1135"/>
      <c r="H13" s="85"/>
      <c r="I13" s="1031"/>
      <c r="J13" s="1031"/>
      <c r="L13" s="1031"/>
      <c r="M13" s="1031"/>
      <c r="O13" s="1031"/>
      <c r="P13" s="1031"/>
      <c r="R13" s="1031"/>
      <c r="S13" s="1031"/>
      <c r="U13" s="1031"/>
      <c r="V13" s="1031"/>
      <c r="X13" s="1031"/>
      <c r="Y13" s="1031"/>
      <c r="AB13" s="1031"/>
      <c r="AC13" s="1031"/>
      <c r="AD13" s="1031"/>
      <c r="AE13" s="1031"/>
      <c r="AF13" s="1031"/>
      <c r="AG13" s="1031"/>
      <c r="AH13" s="1031"/>
      <c r="AI13" s="1128"/>
      <c r="BM13" s="41">
        <v>14</v>
      </c>
    </row>
    <row r="14" spans="4:65" ht="14.65" customHeight="1">
      <c r="D14" s="1132"/>
      <c r="E14" s="1129"/>
      <c r="F14" s="1129"/>
      <c r="G14" s="1135"/>
      <c r="H14" s="85"/>
      <c r="I14" s="1031"/>
      <c r="J14" s="1031"/>
      <c r="L14" s="1031"/>
      <c r="M14" s="1031"/>
      <c r="O14" s="1031"/>
      <c r="P14" s="1031"/>
      <c r="R14" s="1031"/>
      <c r="S14" s="1031"/>
      <c r="V14" s="1031"/>
      <c r="W14" s="1031"/>
      <c r="X14" s="1031"/>
      <c r="Y14" s="1031"/>
      <c r="Z14" s="1031"/>
      <c r="AA14" s="1031"/>
      <c r="AB14" s="1031"/>
      <c r="AC14" s="1031"/>
      <c r="AD14" s="1031"/>
      <c r="AE14" s="1031"/>
      <c r="AF14" s="1031"/>
      <c r="AG14" s="1031"/>
      <c r="AH14" s="1031"/>
      <c r="AI14" s="1128"/>
      <c r="BM14" s="41">
        <v>14</v>
      </c>
    </row>
    <row r="15" spans="4:65" ht="11.45" customHeight="1">
      <c r="D15" s="1132"/>
      <c r="E15" s="1129"/>
      <c r="F15" s="1129"/>
      <c r="G15" s="1135"/>
      <c r="H15" s="621"/>
      <c r="I15" s="1031"/>
      <c r="J15" s="1031"/>
      <c r="L15" s="1031"/>
      <c r="M15" s="1031"/>
      <c r="P15" s="1031"/>
      <c r="Q15" s="1031"/>
      <c r="R15" s="1031"/>
      <c r="S15" s="1031"/>
      <c r="T15" s="1031"/>
      <c r="U15" s="1031"/>
      <c r="V15" s="1031"/>
      <c r="W15" s="1031"/>
      <c r="X15" s="1031"/>
      <c r="Y15" s="1031"/>
      <c r="Z15" s="1031"/>
      <c r="AA15" s="1031"/>
      <c r="AB15" s="1031"/>
      <c r="AC15" s="1031"/>
      <c r="AD15" s="1031"/>
      <c r="AE15" s="1031"/>
      <c r="AF15" s="1031"/>
      <c r="AG15" s="1031"/>
      <c r="AH15" s="1031"/>
      <c r="AI15" s="1128"/>
      <c r="BM15" s="41">
        <v>11</v>
      </c>
    </row>
    <row r="16" spans="4:65" ht="11.45" customHeight="1">
      <c r="D16" s="1138"/>
      <c r="E16" s="1139"/>
      <c r="F16" s="1130"/>
      <c r="G16" s="1072"/>
      <c r="H16" s="87"/>
      <c r="I16" s="88"/>
      <c r="J16" s="1136"/>
      <c r="K16" s="1136"/>
      <c r="L16" s="1136"/>
      <c r="M16" s="1136"/>
      <c r="N16" s="1136"/>
      <c r="O16" s="1136"/>
      <c r="P16" s="1136"/>
      <c r="Q16" s="1136"/>
      <c r="R16" s="1136"/>
      <c r="S16" s="1136"/>
      <c r="T16" s="1136"/>
      <c r="U16" s="1136"/>
      <c r="V16" s="1136"/>
      <c r="W16" s="1136"/>
      <c r="X16" s="1136"/>
      <c r="Y16" s="1136"/>
      <c r="Z16" s="1136"/>
      <c r="AA16" s="1136"/>
      <c r="AB16" s="1136"/>
      <c r="AC16" s="1136"/>
      <c r="AD16" s="1136"/>
      <c r="AE16" s="1136"/>
      <c r="AF16" s="1136"/>
      <c r="AG16" s="1136"/>
      <c r="AH16" s="1136"/>
      <c r="AI16" s="1137"/>
      <c r="BM16" s="75">
        <v>11</v>
      </c>
    </row>
    <row r="17" spans="4:65" ht="15" customHeight="1">
      <c r="D17" s="1132" t="s">
        <v>102</v>
      </c>
      <c r="E17" s="1129" t="s">
        <v>304</v>
      </c>
      <c r="F17" s="1129" t="s">
        <v>306</v>
      </c>
      <c r="G17" s="1134" t="s">
        <v>19</v>
      </c>
      <c r="H17" s="81"/>
      <c r="I17" s="1131"/>
      <c r="J17" s="1106"/>
      <c r="K17" s="67"/>
      <c r="L17" s="1095"/>
      <c r="M17" s="1095"/>
      <c r="N17" s="82"/>
      <c r="O17" s="1095"/>
      <c r="P17" s="1106"/>
      <c r="Q17" s="67"/>
      <c r="R17" s="1095"/>
      <c r="S17" s="1095"/>
      <c r="T17" s="83"/>
      <c r="U17" s="1095"/>
      <c r="V17" s="1106"/>
      <c r="W17" s="68"/>
      <c r="X17" s="1095"/>
      <c r="Y17" s="1095"/>
      <c r="Z17" s="82"/>
      <c r="AA17" s="1095"/>
      <c r="AB17" s="1106"/>
      <c r="AC17" s="620"/>
      <c r="AD17" s="1095"/>
      <c r="AE17" s="1095"/>
      <c r="AF17" s="68"/>
      <c r="AG17" s="68"/>
      <c r="AH17" s="82"/>
      <c r="AI17" s="70"/>
      <c r="BM17" s="41">
        <v>14</v>
      </c>
    </row>
    <row r="18" spans="4:65" ht="14.65" customHeight="1">
      <c r="D18" s="1132"/>
      <c r="E18" s="1129"/>
      <c r="F18" s="1129"/>
      <c r="G18" s="1135"/>
      <c r="H18" s="85"/>
      <c r="I18" s="1031"/>
      <c r="J18" s="1031"/>
      <c r="L18" s="1031"/>
      <c r="M18" s="1031"/>
      <c r="O18" s="1031"/>
      <c r="P18" s="1031"/>
      <c r="R18" s="1031"/>
      <c r="S18" s="1031"/>
      <c r="U18" s="1031"/>
      <c r="V18" s="1031"/>
      <c r="X18" s="1031"/>
      <c r="Y18" s="1031"/>
      <c r="AA18" s="1031"/>
      <c r="AB18" s="1031"/>
      <c r="AD18" s="1031"/>
      <c r="AE18" s="1031"/>
      <c r="AH18" s="1031"/>
      <c r="AI18" s="1128"/>
      <c r="BM18" s="41">
        <v>14</v>
      </c>
    </row>
    <row r="19" spans="4:65" ht="14.65" customHeight="1">
      <c r="D19" s="1132"/>
      <c r="E19" s="1129"/>
      <c r="F19" s="1129"/>
      <c r="G19" s="1135"/>
      <c r="H19" s="85"/>
      <c r="I19" s="1031"/>
      <c r="J19" s="1031"/>
      <c r="L19" s="1031"/>
      <c r="M19" s="1031"/>
      <c r="O19" s="1031"/>
      <c r="P19" s="1031"/>
      <c r="R19" s="1031"/>
      <c r="S19" s="1031"/>
      <c r="U19" s="1031"/>
      <c r="V19" s="1031"/>
      <c r="X19" s="1031"/>
      <c r="Y19" s="1031"/>
      <c r="AB19" s="1031"/>
      <c r="AC19" s="1031"/>
      <c r="AD19" s="1031"/>
      <c r="AE19" s="1031"/>
      <c r="AF19" s="1031"/>
      <c r="AG19" s="1031"/>
      <c r="AH19" s="1031"/>
      <c r="AI19" s="1128"/>
      <c r="BM19" s="41">
        <v>14</v>
      </c>
    </row>
    <row r="20" spans="4:65" ht="14.65" customHeight="1">
      <c r="D20" s="1132"/>
      <c r="E20" s="1129"/>
      <c r="F20" s="1129"/>
      <c r="G20" s="1135"/>
      <c r="H20" s="85"/>
      <c r="I20" s="1031"/>
      <c r="J20" s="1031"/>
      <c r="L20" s="1031"/>
      <c r="M20" s="1031"/>
      <c r="O20" s="1031"/>
      <c r="P20" s="1031"/>
      <c r="R20" s="1031"/>
      <c r="S20" s="1031"/>
      <c r="V20" s="1031"/>
      <c r="W20" s="1031"/>
      <c r="X20" s="1031"/>
      <c r="Y20" s="1031"/>
      <c r="Z20" s="1031"/>
      <c r="AA20" s="1031"/>
      <c r="AB20" s="1031"/>
      <c r="AC20" s="1031"/>
      <c r="AD20" s="1031"/>
      <c r="AE20" s="1031"/>
      <c r="AF20" s="1031"/>
      <c r="AG20" s="1031"/>
      <c r="AH20" s="1031"/>
      <c r="AI20" s="1128"/>
      <c r="BM20" s="41">
        <v>14</v>
      </c>
    </row>
    <row r="21" spans="4:65" ht="11.45" customHeight="1">
      <c r="D21" s="1132"/>
      <c r="E21" s="1129"/>
      <c r="F21" s="1129"/>
      <c r="G21" s="1135"/>
      <c r="H21" s="621"/>
      <c r="I21" s="1031"/>
      <c r="J21" s="1031"/>
      <c r="L21" s="1031"/>
      <c r="M21" s="1031"/>
      <c r="P21" s="1031"/>
      <c r="Q21" s="1031"/>
      <c r="R21" s="1031"/>
      <c r="S21" s="1031"/>
      <c r="T21" s="1031"/>
      <c r="U21" s="1031"/>
      <c r="V21" s="1031"/>
      <c r="W21" s="1031"/>
      <c r="X21" s="1031"/>
      <c r="Y21" s="1031"/>
      <c r="Z21" s="1031"/>
      <c r="AA21" s="1031"/>
      <c r="AB21" s="1031"/>
      <c r="AC21" s="1031"/>
      <c r="AD21" s="1031"/>
      <c r="AE21" s="1031"/>
      <c r="AF21" s="1031"/>
      <c r="AG21" s="1031"/>
      <c r="AH21" s="1031"/>
      <c r="AI21" s="1128"/>
      <c r="BM21" s="41">
        <v>11</v>
      </c>
    </row>
    <row r="22" spans="4:65" ht="11.45" customHeight="1">
      <c r="D22" s="1138"/>
      <c r="E22" s="1139"/>
      <c r="F22" s="1130"/>
      <c r="G22" s="1072"/>
      <c r="H22" s="87"/>
      <c r="I22" s="88"/>
      <c r="J22" s="1136"/>
      <c r="K22" s="1136"/>
      <c r="L22" s="1136"/>
      <c r="M22" s="1136"/>
      <c r="N22" s="1136"/>
      <c r="O22" s="1136"/>
      <c r="P22" s="1136"/>
      <c r="Q22" s="1136"/>
      <c r="R22" s="1136"/>
      <c r="S22" s="1136"/>
      <c r="T22" s="1136"/>
      <c r="U22" s="1136"/>
      <c r="V22" s="1136"/>
      <c r="W22" s="1136"/>
      <c r="X22" s="1136"/>
      <c r="Y22" s="1136"/>
      <c r="Z22" s="1136"/>
      <c r="AA22" s="1136"/>
      <c r="AB22" s="1136"/>
      <c r="AC22" s="1136"/>
      <c r="AD22" s="1136"/>
      <c r="AE22" s="1136"/>
      <c r="AF22" s="1136"/>
      <c r="AG22" s="1136"/>
      <c r="AH22" s="1136"/>
      <c r="AI22" s="1137"/>
      <c r="BM22" s="75">
        <v>11</v>
      </c>
    </row>
    <row r="23" spans="4:65" ht="15" customHeight="1">
      <c r="D23" s="1132" t="s">
        <v>89</v>
      </c>
      <c r="E23" s="1129" t="s">
        <v>304</v>
      </c>
      <c r="F23" s="1129" t="s">
        <v>307</v>
      </c>
      <c r="G23" s="1134" t="s">
        <v>19</v>
      </c>
      <c r="H23" s="81"/>
      <c r="I23" s="1131"/>
      <c r="J23" s="1106"/>
      <c r="K23" s="67"/>
      <c r="L23" s="1095"/>
      <c r="M23" s="1095"/>
      <c r="N23" s="82"/>
      <c r="O23" s="1095"/>
      <c r="P23" s="1106"/>
      <c r="Q23" s="67"/>
      <c r="R23" s="1095"/>
      <c r="S23" s="1095"/>
      <c r="T23" s="83"/>
      <c r="U23" s="1095"/>
      <c r="V23" s="1106"/>
      <c r="W23" s="68"/>
      <c r="X23" s="1095"/>
      <c r="Y23" s="1095"/>
      <c r="Z23" s="82"/>
      <c r="AA23" s="1095"/>
      <c r="AB23" s="1106"/>
      <c r="AC23" s="620"/>
      <c r="AD23" s="1095"/>
      <c r="AE23" s="1095"/>
      <c r="AF23" s="68"/>
      <c r="AG23" s="68"/>
      <c r="AH23" s="82"/>
      <c r="AI23" s="70"/>
      <c r="AK23" s="89" t="s">
        <v>97</v>
      </c>
      <c r="BM23" s="41">
        <v>14</v>
      </c>
    </row>
    <row r="24" spans="4:65" ht="14.65" customHeight="1">
      <c r="D24" s="1132"/>
      <c r="E24" s="1129"/>
      <c r="F24" s="1129"/>
      <c r="G24" s="1135"/>
      <c r="H24" s="85"/>
      <c r="I24" s="1031"/>
      <c r="J24" s="1031"/>
      <c r="L24" s="1031"/>
      <c r="M24" s="1031"/>
      <c r="O24" s="1031"/>
      <c r="P24" s="1031"/>
      <c r="R24" s="1031"/>
      <c r="S24" s="1031"/>
      <c r="U24" s="1031"/>
      <c r="V24" s="1031"/>
      <c r="X24" s="1031"/>
      <c r="Y24" s="1031"/>
      <c r="AA24" s="1031"/>
      <c r="AB24" s="1031"/>
      <c r="AD24" s="1031"/>
      <c r="AE24" s="1031"/>
      <c r="AH24" s="1031"/>
      <c r="AI24" s="1128"/>
      <c r="BM24" s="41">
        <v>14</v>
      </c>
    </row>
    <row r="25" spans="4:65" ht="14.65" customHeight="1">
      <c r="D25" s="1132"/>
      <c r="E25" s="1129"/>
      <c r="F25" s="1129"/>
      <c r="G25" s="1135"/>
      <c r="H25" s="85"/>
      <c r="I25" s="1031"/>
      <c r="J25" s="1031"/>
      <c r="L25" s="1031"/>
      <c r="M25" s="1031"/>
      <c r="O25" s="1031"/>
      <c r="P25" s="1031"/>
      <c r="R25" s="1031"/>
      <c r="S25" s="1031"/>
      <c r="U25" s="1031"/>
      <c r="V25" s="1031"/>
      <c r="X25" s="1031"/>
      <c r="Y25" s="1031"/>
      <c r="AB25" s="1031"/>
      <c r="AC25" s="1031"/>
      <c r="AD25" s="1031"/>
      <c r="AE25" s="1031"/>
      <c r="AF25" s="1031"/>
      <c r="AG25" s="1031"/>
      <c r="AH25" s="1031"/>
      <c r="AI25" s="1128"/>
      <c r="BM25" s="41">
        <v>14</v>
      </c>
    </row>
    <row r="26" spans="4:65" ht="14.65" customHeight="1">
      <c r="D26" s="1132"/>
      <c r="E26" s="1129"/>
      <c r="F26" s="1129"/>
      <c r="G26" s="1135"/>
      <c r="H26" s="85"/>
      <c r="I26" s="1031"/>
      <c r="J26" s="1031"/>
      <c r="L26" s="1031"/>
      <c r="M26" s="1031"/>
      <c r="O26" s="1031"/>
      <c r="P26" s="1031"/>
      <c r="R26" s="1031"/>
      <c r="S26" s="1031"/>
      <c r="V26" s="1031"/>
      <c r="W26" s="1031"/>
      <c r="X26" s="1031"/>
      <c r="Y26" s="1031"/>
      <c r="Z26" s="1031"/>
      <c r="AA26" s="1031"/>
      <c r="AB26" s="1031"/>
      <c r="AC26" s="1031"/>
      <c r="AD26" s="1031"/>
      <c r="AE26" s="1031"/>
      <c r="AF26" s="1031"/>
      <c r="AG26" s="1031"/>
      <c r="AH26" s="1031"/>
      <c r="AI26" s="1128"/>
      <c r="BM26" s="41">
        <v>14</v>
      </c>
    </row>
    <row r="27" spans="4:65" ht="11.45" customHeight="1">
      <c r="D27" s="1132"/>
      <c r="E27" s="1129"/>
      <c r="F27" s="1129"/>
      <c r="G27" s="1135"/>
      <c r="H27" s="621"/>
      <c r="I27" s="1031"/>
      <c r="J27" s="1031"/>
      <c r="L27" s="1031"/>
      <c r="M27" s="1031"/>
      <c r="P27" s="1031"/>
      <c r="Q27" s="1031"/>
      <c r="R27" s="1031"/>
      <c r="S27" s="1031"/>
      <c r="T27" s="1031"/>
      <c r="U27" s="1031"/>
      <c r="V27" s="1031"/>
      <c r="W27" s="1031"/>
      <c r="X27" s="1031"/>
      <c r="Y27" s="1031"/>
      <c r="Z27" s="1031"/>
      <c r="AA27" s="1031"/>
      <c r="AB27" s="1031"/>
      <c r="AC27" s="1031"/>
      <c r="AD27" s="1031"/>
      <c r="AE27" s="1031"/>
      <c r="AF27" s="1031"/>
      <c r="AG27" s="1031"/>
      <c r="AH27" s="1031"/>
      <c r="AI27" s="1128"/>
      <c r="BM27" s="41">
        <v>11</v>
      </c>
    </row>
    <row r="28" spans="4:65" ht="11.45" customHeight="1">
      <c r="D28" s="1138"/>
      <c r="E28" s="1139"/>
      <c r="F28" s="1130"/>
      <c r="G28" s="1072"/>
      <c r="H28" s="87"/>
      <c r="I28" s="88"/>
      <c r="J28" s="1136"/>
      <c r="K28" s="1136"/>
      <c r="L28" s="1136"/>
      <c r="M28" s="1136"/>
      <c r="N28" s="1136"/>
      <c r="O28" s="1136"/>
      <c r="P28" s="1136"/>
      <c r="Q28" s="1136"/>
      <c r="R28" s="1136"/>
      <c r="S28" s="1136"/>
      <c r="T28" s="1136"/>
      <c r="U28" s="1136"/>
      <c r="V28" s="1136"/>
      <c r="W28" s="1136"/>
      <c r="X28" s="1136"/>
      <c r="Y28" s="1136"/>
      <c r="Z28" s="1136"/>
      <c r="AA28" s="1136"/>
      <c r="AB28" s="1136"/>
      <c r="AC28" s="1136"/>
      <c r="AD28" s="1136"/>
      <c r="AE28" s="1136"/>
      <c r="AF28" s="1136"/>
      <c r="AG28" s="1136"/>
      <c r="AH28" s="1136"/>
      <c r="AI28" s="1137"/>
      <c r="BM28" s="75">
        <v>11</v>
      </c>
    </row>
    <row r="29" spans="4:65" ht="15" customHeight="1">
      <c r="D29" s="1132" t="s">
        <v>90</v>
      </c>
      <c r="E29" s="1129" t="s">
        <v>304</v>
      </c>
      <c r="F29" s="1129" t="s">
        <v>308</v>
      </c>
      <c r="G29" s="1134" t="s">
        <v>19</v>
      </c>
      <c r="H29" s="81"/>
      <c r="I29" s="1131"/>
      <c r="J29" s="1106"/>
      <c r="K29" s="67"/>
      <c r="L29" s="1095"/>
      <c r="M29" s="1095"/>
      <c r="N29" s="82"/>
      <c r="O29" s="1095"/>
      <c r="P29" s="1106"/>
      <c r="Q29" s="67"/>
      <c r="R29" s="1095"/>
      <c r="S29" s="1095"/>
      <c r="T29" s="83"/>
      <c r="U29" s="1095"/>
      <c r="V29" s="1106"/>
      <c r="W29" s="68"/>
      <c r="X29" s="1095"/>
      <c r="Y29" s="1095"/>
      <c r="Z29" s="82"/>
      <c r="AA29" s="1095"/>
      <c r="AB29" s="1106"/>
      <c r="AC29" s="620"/>
      <c r="AD29" s="1095"/>
      <c r="AE29" s="1095"/>
      <c r="AF29" s="68"/>
      <c r="AG29" s="68"/>
      <c r="AH29" s="82"/>
      <c r="AI29" s="70"/>
      <c r="BM29" s="41">
        <v>14</v>
      </c>
    </row>
    <row r="30" spans="4:65" ht="14.65" customHeight="1">
      <c r="D30" s="1132"/>
      <c r="E30" s="1129"/>
      <c r="F30" s="1129"/>
      <c r="G30" s="1135"/>
      <c r="H30" s="85"/>
      <c r="I30" s="1031"/>
      <c r="J30" s="1031"/>
      <c r="L30" s="1031"/>
      <c r="M30" s="1031"/>
      <c r="O30" s="1031"/>
      <c r="P30" s="1031"/>
      <c r="R30" s="1031"/>
      <c r="S30" s="1031"/>
      <c r="U30" s="1031"/>
      <c r="V30" s="1031"/>
      <c r="X30" s="1031"/>
      <c r="Y30" s="1031"/>
      <c r="AA30" s="1031"/>
      <c r="AB30" s="1031"/>
      <c r="AD30" s="1031"/>
      <c r="AE30" s="1031"/>
      <c r="AH30" s="1031"/>
      <c r="AI30" s="1128"/>
      <c r="BM30" s="41">
        <v>14</v>
      </c>
    </row>
    <row r="31" spans="4:65" ht="14.65" customHeight="1">
      <c r="D31" s="1132"/>
      <c r="E31" s="1129"/>
      <c r="F31" s="1129"/>
      <c r="G31" s="1135"/>
      <c r="H31" s="85"/>
      <c r="I31" s="1031"/>
      <c r="J31" s="1031"/>
      <c r="L31" s="1031"/>
      <c r="M31" s="1031"/>
      <c r="O31" s="1031"/>
      <c r="P31" s="1031"/>
      <c r="R31" s="1031"/>
      <c r="S31" s="1031"/>
      <c r="U31" s="1031"/>
      <c r="V31" s="1031"/>
      <c r="X31" s="1031"/>
      <c r="Y31" s="1031"/>
      <c r="AB31" s="1031"/>
      <c r="AC31" s="1031"/>
      <c r="AD31" s="1031"/>
      <c r="AE31" s="1031"/>
      <c r="AF31" s="1031"/>
      <c r="AG31" s="1031"/>
      <c r="AH31" s="1031"/>
      <c r="AI31" s="1128"/>
      <c r="BM31" s="41">
        <v>14</v>
      </c>
    </row>
    <row r="32" spans="4:65" ht="14.65" customHeight="1">
      <c r="D32" s="1132"/>
      <c r="E32" s="1129"/>
      <c r="F32" s="1129"/>
      <c r="G32" s="1135"/>
      <c r="H32" s="85"/>
      <c r="I32" s="1031"/>
      <c r="J32" s="1031"/>
      <c r="L32" s="1031"/>
      <c r="M32" s="1031"/>
      <c r="O32" s="1031"/>
      <c r="P32" s="1031"/>
      <c r="R32" s="1031"/>
      <c r="S32" s="1031"/>
      <c r="V32" s="1031"/>
      <c r="W32" s="1031"/>
      <c r="X32" s="1031"/>
      <c r="Y32" s="1031"/>
      <c r="Z32" s="1031"/>
      <c r="AA32" s="1031"/>
      <c r="AB32" s="1031"/>
      <c r="AC32" s="1031"/>
      <c r="AD32" s="1031"/>
      <c r="AE32" s="1031"/>
      <c r="AF32" s="1031"/>
      <c r="AG32" s="1031"/>
      <c r="AH32" s="1031"/>
      <c r="AI32" s="1128"/>
      <c r="BM32" s="41">
        <v>14</v>
      </c>
    </row>
    <row r="33" spans="4:65" ht="11.45" customHeight="1">
      <c r="D33" s="1132"/>
      <c r="E33" s="1129"/>
      <c r="F33" s="1129"/>
      <c r="G33" s="1135"/>
      <c r="H33" s="621"/>
      <c r="I33" s="1031"/>
      <c r="J33" s="1031"/>
      <c r="L33" s="1031"/>
      <c r="M33" s="1031"/>
      <c r="P33" s="1031"/>
      <c r="Q33" s="1031"/>
      <c r="R33" s="1031"/>
      <c r="S33" s="1031"/>
      <c r="T33" s="1031"/>
      <c r="U33" s="1031"/>
      <c r="V33" s="1031"/>
      <c r="W33" s="1031"/>
      <c r="X33" s="1031"/>
      <c r="Y33" s="1031"/>
      <c r="Z33" s="1031"/>
      <c r="AA33" s="1031"/>
      <c r="AB33" s="1031"/>
      <c r="AC33" s="1031"/>
      <c r="AD33" s="1031"/>
      <c r="AE33" s="1031"/>
      <c r="AF33" s="1031"/>
      <c r="AG33" s="1031"/>
      <c r="AH33" s="1031"/>
      <c r="AI33" s="1128"/>
      <c r="BM33" s="41">
        <v>11</v>
      </c>
    </row>
    <row r="34" spans="4:65" ht="11.45" customHeight="1">
      <c r="D34" s="1138"/>
      <c r="E34" s="1139"/>
      <c r="F34" s="1130"/>
      <c r="G34" s="1072"/>
      <c r="H34" s="87"/>
      <c r="I34" s="88"/>
      <c r="J34" s="1136"/>
      <c r="K34" s="1136"/>
      <c r="L34" s="1136"/>
      <c r="M34" s="1136"/>
      <c r="N34" s="1136"/>
      <c r="O34" s="1136"/>
      <c r="P34" s="1136"/>
      <c r="Q34" s="1136"/>
      <c r="R34" s="1136"/>
      <c r="S34" s="1136"/>
      <c r="T34" s="1136"/>
      <c r="U34" s="1136"/>
      <c r="V34" s="1136"/>
      <c r="W34" s="1136"/>
      <c r="X34" s="1136"/>
      <c r="Y34" s="1136"/>
      <c r="Z34" s="1136"/>
      <c r="AA34" s="1136"/>
      <c r="AB34" s="1136"/>
      <c r="AC34" s="1136"/>
      <c r="AD34" s="1136"/>
      <c r="AE34" s="1136"/>
      <c r="AF34" s="1136"/>
      <c r="AG34" s="1136"/>
      <c r="AH34" s="1136"/>
      <c r="AI34" s="1137"/>
      <c r="BM34" s="75">
        <v>11</v>
      </c>
    </row>
    <row r="35" spans="4:65" ht="15" customHeight="1">
      <c r="D35" s="1132" t="s">
        <v>115</v>
      </c>
      <c r="E35" s="1129" t="s">
        <v>304</v>
      </c>
      <c r="F35" s="1129" t="s">
        <v>309</v>
      </c>
      <c r="G35" s="1134" t="s">
        <v>19</v>
      </c>
      <c r="H35" s="81"/>
      <c r="I35" s="1131"/>
      <c r="J35" s="1106"/>
      <c r="K35" s="67"/>
      <c r="L35" s="1095"/>
      <c r="M35" s="1095"/>
      <c r="N35" s="82"/>
      <c r="O35" s="1095"/>
      <c r="P35" s="1106"/>
      <c r="Q35" s="67"/>
      <c r="R35" s="1095"/>
      <c r="S35" s="1095"/>
      <c r="T35" s="83"/>
      <c r="U35" s="1095"/>
      <c r="V35" s="1106"/>
      <c r="W35" s="68"/>
      <c r="X35" s="1095"/>
      <c r="Y35" s="1095"/>
      <c r="Z35" s="82"/>
      <c r="AA35" s="1095"/>
      <c r="AB35" s="1106"/>
      <c r="AC35" s="620"/>
      <c r="AD35" s="1095"/>
      <c r="AE35" s="1095"/>
      <c r="AF35" s="68"/>
      <c r="AG35" s="68"/>
      <c r="AH35" s="82"/>
      <c r="AI35" s="70"/>
      <c r="BM35" s="41">
        <v>14</v>
      </c>
    </row>
    <row r="36" spans="4:65" ht="14.65" customHeight="1">
      <c r="D36" s="1132"/>
      <c r="E36" s="1129"/>
      <c r="F36" s="1129"/>
      <c r="G36" s="1135"/>
      <c r="H36" s="85"/>
      <c r="I36" s="1031"/>
      <c r="J36" s="1031"/>
      <c r="L36" s="1031"/>
      <c r="M36" s="1031"/>
      <c r="O36" s="1031"/>
      <c r="P36" s="1031"/>
      <c r="R36" s="1031"/>
      <c r="S36" s="1031"/>
      <c r="U36" s="1031"/>
      <c r="V36" s="1031"/>
      <c r="X36" s="1031"/>
      <c r="Y36" s="1031"/>
      <c r="AA36" s="1031"/>
      <c r="AB36" s="1031"/>
      <c r="AD36" s="1031"/>
      <c r="AE36" s="1031"/>
      <c r="AH36" s="1031"/>
      <c r="AI36" s="1128"/>
      <c r="BM36" s="41">
        <v>14</v>
      </c>
    </row>
    <row r="37" spans="4:65" ht="14.65" customHeight="1">
      <c r="D37" s="1132"/>
      <c r="E37" s="1129"/>
      <c r="F37" s="1129"/>
      <c r="G37" s="1135"/>
      <c r="H37" s="85"/>
      <c r="I37" s="1031"/>
      <c r="J37" s="1031"/>
      <c r="L37" s="1031"/>
      <c r="M37" s="1031"/>
      <c r="O37" s="1031"/>
      <c r="P37" s="1031"/>
      <c r="R37" s="1031"/>
      <c r="S37" s="1031"/>
      <c r="U37" s="1031"/>
      <c r="V37" s="1031"/>
      <c r="X37" s="1031"/>
      <c r="Y37" s="1031"/>
      <c r="AB37" s="1031"/>
      <c r="AC37" s="1031"/>
      <c r="AD37" s="1031"/>
      <c r="AE37" s="1031"/>
      <c r="AF37" s="1031"/>
      <c r="AG37" s="1031"/>
      <c r="AH37" s="1031"/>
      <c r="AI37" s="1128"/>
      <c r="BM37" s="41">
        <v>14</v>
      </c>
    </row>
    <row r="38" spans="4:65" ht="14.65" customHeight="1">
      <c r="D38" s="1132"/>
      <c r="E38" s="1129"/>
      <c r="F38" s="1129"/>
      <c r="G38" s="1135"/>
      <c r="H38" s="85"/>
      <c r="I38" s="1031"/>
      <c r="J38" s="1031"/>
      <c r="L38" s="1031"/>
      <c r="M38" s="1031"/>
      <c r="O38" s="1031"/>
      <c r="P38" s="1031"/>
      <c r="R38" s="1031"/>
      <c r="S38" s="1031"/>
      <c r="V38" s="1031"/>
      <c r="W38" s="1031"/>
      <c r="X38" s="1031"/>
      <c r="Y38" s="1031"/>
      <c r="Z38" s="1031"/>
      <c r="AA38" s="1031"/>
      <c r="AB38" s="1031"/>
      <c r="AC38" s="1031"/>
      <c r="AD38" s="1031"/>
      <c r="AE38" s="1031"/>
      <c r="AF38" s="1031"/>
      <c r="AG38" s="1031"/>
      <c r="AH38" s="1031"/>
      <c r="AI38" s="1128"/>
      <c r="BM38" s="41">
        <v>14</v>
      </c>
    </row>
    <row r="39" spans="4:65" ht="11.45" customHeight="1">
      <c r="D39" s="1132"/>
      <c r="E39" s="1129"/>
      <c r="F39" s="1129"/>
      <c r="G39" s="1135"/>
      <c r="H39" s="621"/>
      <c r="I39" s="1031"/>
      <c r="J39" s="1031"/>
      <c r="L39" s="1031"/>
      <c r="M39" s="1031"/>
      <c r="P39" s="1031"/>
      <c r="Q39" s="1031"/>
      <c r="R39" s="1031"/>
      <c r="S39" s="1031"/>
      <c r="T39" s="1031"/>
      <c r="U39" s="1031"/>
      <c r="V39" s="1031"/>
      <c r="W39" s="1031"/>
      <c r="X39" s="1031"/>
      <c r="Y39" s="1031"/>
      <c r="Z39" s="1031"/>
      <c r="AA39" s="1031"/>
      <c r="AB39" s="1031"/>
      <c r="AC39" s="1031"/>
      <c r="AD39" s="1031"/>
      <c r="AE39" s="1031"/>
      <c r="AF39" s="1031"/>
      <c r="AG39" s="1031"/>
      <c r="AH39" s="1031"/>
      <c r="AI39" s="1128"/>
      <c r="BM39" s="41">
        <v>11</v>
      </c>
    </row>
    <row r="40" spans="4:65" ht="11.45" customHeight="1">
      <c r="D40" s="1132"/>
      <c r="E40" s="1129"/>
      <c r="F40" s="1133"/>
      <c r="G40" s="1072"/>
      <c r="H40" s="87"/>
      <c r="I40" s="88"/>
      <c r="J40" s="1136"/>
      <c r="K40" s="1136"/>
      <c r="L40" s="1136"/>
      <c r="M40" s="1136"/>
      <c r="N40" s="1136"/>
      <c r="O40" s="1136"/>
      <c r="P40" s="1136"/>
      <c r="Q40" s="1136"/>
      <c r="R40" s="1136"/>
      <c r="S40" s="1136"/>
      <c r="T40" s="1136"/>
      <c r="U40" s="1136"/>
      <c r="V40" s="1136"/>
      <c r="W40" s="1136"/>
      <c r="X40" s="1136"/>
      <c r="Y40" s="1136"/>
      <c r="Z40" s="1136"/>
      <c r="AA40" s="1136"/>
      <c r="AB40" s="1136"/>
      <c r="AC40" s="1136"/>
      <c r="AD40" s="1136"/>
      <c r="AE40" s="1136"/>
      <c r="AF40" s="1136"/>
      <c r="AG40" s="1136"/>
      <c r="AH40" s="1136"/>
      <c r="AI40" s="1137"/>
      <c r="BM40" s="75">
        <v>11</v>
      </c>
    </row>
    <row r="41" spans="4:65" ht="11.45" customHeight="1">
      <c r="BM41" s="41">
        <v>11</v>
      </c>
    </row>
    <row r="42" spans="4:65" ht="11.45" customHeight="1">
      <c r="BM42" s="41">
        <v>11</v>
      </c>
    </row>
    <row r="43" spans="4:65" ht="11.45" customHeight="1">
      <c r="BM43" s="41">
        <v>11</v>
      </c>
    </row>
    <row r="44" spans="4:65" ht="11.45" customHeight="1">
      <c r="BM44" s="41">
        <v>11</v>
      </c>
    </row>
    <row r="45" spans="4:65" ht="11.45" customHeight="1">
      <c r="BM45" s="41">
        <v>11</v>
      </c>
    </row>
    <row r="46" spans="4:65" ht="11.45" customHeight="1">
      <c r="BM46" s="41">
        <v>11</v>
      </c>
    </row>
    <row r="47" spans="4:65" ht="11.45" customHeight="1">
      <c r="BM47" s="41">
        <v>11</v>
      </c>
    </row>
    <row r="48" spans="4:65" ht="11.45" customHeight="1">
      <c r="BM48" s="41">
        <v>11</v>
      </c>
    </row>
    <row r="49" spans="1:65" ht="11.45" customHeight="1">
      <c r="BM49" s="41">
        <v>11</v>
      </c>
    </row>
    <row r="50" spans="1:65" ht="11.25" hidden="1" customHeight="1">
      <c r="A50" s="41" t="s">
        <v>81</v>
      </c>
      <c r="B50" s="41">
        <v>0</v>
      </c>
      <c r="C50" s="41">
        <v>3</v>
      </c>
      <c r="D50" s="41">
        <v>3</v>
      </c>
      <c r="E50" s="41">
        <v>15</v>
      </c>
      <c r="F50" s="41">
        <v>15</v>
      </c>
      <c r="G50" s="41">
        <v>11</v>
      </c>
      <c r="H50" s="41">
        <v>3</v>
      </c>
      <c r="I50" s="41">
        <v>3</v>
      </c>
      <c r="J50" s="41">
        <v>12</v>
      </c>
      <c r="K50" s="41">
        <v>0</v>
      </c>
      <c r="L50" s="41">
        <v>10</v>
      </c>
      <c r="M50" s="41">
        <v>10</v>
      </c>
      <c r="N50" s="41">
        <v>3</v>
      </c>
      <c r="O50" s="41">
        <v>3</v>
      </c>
      <c r="P50" s="41">
        <v>19</v>
      </c>
      <c r="Q50" s="41">
        <v>0</v>
      </c>
      <c r="R50" s="41">
        <v>10</v>
      </c>
      <c r="S50" s="41">
        <v>10</v>
      </c>
      <c r="T50" s="41">
        <v>3</v>
      </c>
      <c r="U50" s="41">
        <v>3</v>
      </c>
      <c r="V50" s="41">
        <v>25</v>
      </c>
      <c r="W50" s="41">
        <v>0</v>
      </c>
      <c r="X50" s="41">
        <v>10</v>
      </c>
      <c r="Y50" s="41">
        <v>10</v>
      </c>
      <c r="Z50" s="41">
        <v>3</v>
      </c>
      <c r="AA50" s="41">
        <v>3</v>
      </c>
      <c r="AB50" s="41">
        <v>16</v>
      </c>
      <c r="AC50" s="41">
        <v>0</v>
      </c>
      <c r="AD50" s="41">
        <v>10</v>
      </c>
      <c r="AE50" s="41">
        <v>10</v>
      </c>
      <c r="AF50" s="41">
        <v>3</v>
      </c>
      <c r="AG50" s="41">
        <v>3</v>
      </c>
      <c r="AH50" s="41">
        <v>8</v>
      </c>
      <c r="AI50" s="41">
        <v>21</v>
      </c>
      <c r="AJ50" s="41">
        <v>8</v>
      </c>
      <c r="AK50" s="89">
        <v>8</v>
      </c>
      <c r="AL50" s="41">
        <v>8</v>
      </c>
      <c r="AM50" s="41">
        <v>8</v>
      </c>
      <c r="AN50" s="41">
        <v>8</v>
      </c>
      <c r="AO50" s="41">
        <v>8</v>
      </c>
      <c r="AP50" s="41">
        <v>8</v>
      </c>
      <c r="AQ50" s="41">
        <v>8</v>
      </c>
      <c r="AR50" s="41">
        <v>8</v>
      </c>
      <c r="AS50" s="41">
        <v>8</v>
      </c>
      <c r="AT50" s="41">
        <v>8</v>
      </c>
      <c r="AU50" s="41">
        <v>8</v>
      </c>
      <c r="AV50" s="41">
        <v>8</v>
      </c>
      <c r="AW50" s="41">
        <v>8</v>
      </c>
      <c r="AX50" s="41">
        <v>8</v>
      </c>
      <c r="AY50" s="41">
        <v>8</v>
      </c>
      <c r="AZ50" s="41">
        <v>8</v>
      </c>
      <c r="BA50" s="41">
        <v>8</v>
      </c>
      <c r="BB50" s="41">
        <v>8</v>
      </c>
      <c r="BC50" s="41">
        <v>8</v>
      </c>
      <c r="BD50" s="41">
        <v>8</v>
      </c>
      <c r="BE50" s="41">
        <v>8</v>
      </c>
      <c r="BF50" s="41">
        <v>8</v>
      </c>
      <c r="BG50" s="41">
        <v>8</v>
      </c>
      <c r="BH50" s="41">
        <v>8</v>
      </c>
      <c r="BI50" s="41">
        <v>8</v>
      </c>
      <c r="BJ50" s="41">
        <v>8</v>
      </c>
      <c r="BK50" s="41">
        <v>8</v>
      </c>
      <c r="BL50" s="41">
        <v>8</v>
      </c>
      <c r="BM50" s="41">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029" customWidth="1"/>
    <col min="2" max="2" width="34.5703125" style="1029" customWidth="1"/>
    <col min="3" max="3" width="85" style="1029" customWidth="1"/>
    <col min="4" max="4" width="17" style="1029" customWidth="1"/>
    <col min="5" max="5" width="8" style="1029" customWidth="1"/>
    <col min="6" max="6" width="9.140625" style="1029" hidden="1"/>
  </cols>
  <sheetData>
    <row r="1" spans="1:6" ht="3" customHeight="1">
      <c r="F1" s="41" t="s">
        <v>14</v>
      </c>
    </row>
    <row r="2" spans="1:6" ht="22.5" customHeight="1">
      <c r="B2" s="1431" t="s">
        <v>2044</v>
      </c>
      <c r="C2" s="1431"/>
      <c r="D2" s="1431"/>
      <c r="F2" s="41">
        <v>22</v>
      </c>
    </row>
    <row r="3" spans="1:6" ht="3" customHeight="1">
      <c r="F3" s="41">
        <v>3</v>
      </c>
    </row>
    <row r="4" spans="1:6" ht="23.25" customHeight="1">
      <c r="B4" s="520" t="s">
        <v>2045</v>
      </c>
      <c r="C4" s="520" t="s">
        <v>2046</v>
      </c>
      <c r="D4" s="520" t="s">
        <v>2047</v>
      </c>
      <c r="F4" s="41">
        <v>22</v>
      </c>
    </row>
    <row r="5" spans="1:6" ht="11.25" hidden="1" customHeight="1">
      <c r="A5" s="41" t="s">
        <v>81</v>
      </c>
      <c r="B5" s="41">
        <v>34</v>
      </c>
      <c r="C5" s="41">
        <v>85</v>
      </c>
      <c r="D5" s="41">
        <v>17</v>
      </c>
      <c r="E5" s="41">
        <v>8</v>
      </c>
      <c r="F5" s="41">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FW215"/>
  <sheetViews>
    <sheetView showGridLines="0" zoomScale="85" workbookViewId="0"/>
  </sheetViews>
  <sheetFormatPr defaultColWidth="9.140625" defaultRowHeight="17.100000000000001" customHeight="1"/>
  <cols>
    <col min="1" max="1" width="26.5703125" style="1029" customWidth="1"/>
    <col min="2" max="2" width="10" style="1029" customWidth="1"/>
    <col min="4" max="4" width="11.140625" style="1029" customWidth="1"/>
    <col min="5" max="5" width="16.5703125" style="1029" customWidth="1"/>
    <col min="6" max="6" width="16.28515625" style="1029" customWidth="1"/>
    <col min="7" max="7" width="19.140625" style="1029" customWidth="1"/>
    <col min="8" max="11" width="10" style="1029" customWidth="1"/>
    <col min="12" max="12" width="12.7109375" style="1029" customWidth="1"/>
    <col min="13" max="13" width="61.28515625" style="1029" customWidth="1"/>
    <col min="14" max="14" width="10" style="1029" customWidth="1"/>
    <col min="15" max="17" width="23.7109375" style="1029" customWidth="1"/>
    <col min="18" max="18" width="11.7109375" style="1029" customWidth="1"/>
    <col min="19" max="19" width="8.5703125" style="1029" customWidth="1"/>
    <col min="20" max="20" width="11.7109375" style="1029" customWidth="1"/>
    <col min="21" max="21" width="8.5703125" style="1029" customWidth="1"/>
    <col min="22" max="22" width="4.7109375" style="1029" customWidth="1"/>
    <col min="23" max="23" width="115.7109375" style="1029" customWidth="1"/>
    <col min="24" max="24" width="115.28515625" style="1029" customWidth="1"/>
    <col min="28" max="28" width="115.7109375" style="1029" customWidth="1"/>
    <col min="30" max="90" width="115.7109375" style="1029" customWidth="1"/>
  </cols>
  <sheetData>
    <row r="2" spans="1:15" ht="17.25" customHeight="1">
      <c r="A2" s="193" t="s">
        <v>2048</v>
      </c>
    </row>
    <row r="4" spans="1:15" ht="15" customHeight="1">
      <c r="C4" s="653"/>
      <c r="D4" s="745"/>
      <c r="E4" s="123"/>
    </row>
    <row r="6" spans="1:15" ht="17.25" customHeight="1">
      <c r="A6" s="193" t="s">
        <v>2049</v>
      </c>
    </row>
    <row r="8" spans="1:15" ht="17.25" customHeight="1">
      <c r="C8" s="746"/>
      <c r="D8" s="745"/>
      <c r="E8" s="106"/>
    </row>
    <row r="11" spans="1:15" ht="17.25" customHeight="1">
      <c r="A11" s="193" t="s">
        <v>2050</v>
      </c>
    </row>
    <row r="13" spans="1:15" ht="15" customHeight="1">
      <c r="A13" s="1055">
        <v>1</v>
      </c>
      <c r="C13" s="747" t="s">
        <v>103</v>
      </c>
      <c r="E13" s="583">
        <f>A13</f>
        <v>1</v>
      </c>
      <c r="F13" s="603"/>
      <c r="G13" s="37" t="str">
        <f>"Территория "&amp;E13</f>
        <v>Территория 1</v>
      </c>
      <c r="H13" s="38"/>
      <c r="I13" s="38"/>
    </row>
    <row r="14" spans="1:15" ht="15" customHeight="1">
      <c r="A14" s="1031"/>
      <c r="B14" s="555">
        <v>1</v>
      </c>
      <c r="D14" s="585"/>
      <c r="E14" s="586" t="str">
        <f>A13&amp;"."&amp;B14</f>
        <v>1.1</v>
      </c>
      <c r="F14" s="748">
        <f>$F$20</f>
        <v>0</v>
      </c>
      <c r="G14" s="39"/>
      <c r="H14" s="39"/>
      <c r="I14" s="40"/>
      <c r="M14" s="582" t="str">
        <f t="array" ref="M14">IF(ISERROR(MATCH(MID(N14,1,250),MID(note_ter,1,250),0)),"n","y")</f>
        <v>n</v>
      </c>
      <c r="O14" s="582" t="str">
        <f>H14&amp;"("&amp;I14&amp;")"</f>
        <v>()</v>
      </c>
    </row>
    <row r="15" spans="1:15" ht="15" customHeight="1">
      <c r="A15" s="1031"/>
      <c r="E15" s="42"/>
      <c r="F15" s="43"/>
      <c r="G15" s="44" t="s">
        <v>101</v>
      </c>
      <c r="H15" s="45"/>
      <c r="I15" s="46"/>
    </row>
    <row r="17" spans="1:26" ht="17.25" customHeight="1">
      <c r="A17" s="193" t="s">
        <v>2051</v>
      </c>
    </row>
    <row r="19" spans="1:26" ht="15" customHeight="1">
      <c r="B19" s="555">
        <v>1</v>
      </c>
      <c r="D19" s="585" t="s">
        <v>103</v>
      </c>
      <c r="E19" s="583"/>
      <c r="F19" s="749">
        <f>$F$20</f>
        <v>0</v>
      </c>
      <c r="G19" s="195"/>
      <c r="H19" s="195"/>
      <c r="I19" s="196"/>
      <c r="M19" s="582" t="str">
        <f t="array" ref="M19">IF(ISERROR(MATCH(MID(N19,1,250),MID(note_ter,1,250),0)),"n","y")</f>
        <v>n</v>
      </c>
      <c r="O19" s="582" t="str">
        <f>H19&amp;"("&amp;I19&amp;")"</f>
        <v>()</v>
      </c>
    </row>
    <row r="21" spans="1:26" ht="15" customHeight="1">
      <c r="A21" s="193" t="s">
        <v>2052</v>
      </c>
      <c r="B21" s="193"/>
      <c r="C21" s="193"/>
      <c r="D21" s="193"/>
      <c r="E21" s="193"/>
      <c r="F21" s="193"/>
      <c r="G21" s="193"/>
      <c r="H21" s="193"/>
      <c r="I21" s="193"/>
      <c r="J21" s="193"/>
      <c r="K21" s="193"/>
      <c r="L21" s="193"/>
      <c r="M21" s="193"/>
      <c r="N21" s="193"/>
      <c r="O21" s="193"/>
      <c r="P21" s="193"/>
      <c r="Q21" s="193"/>
      <c r="R21" s="193"/>
      <c r="S21" s="193"/>
      <c r="T21" s="193"/>
      <c r="U21" s="197"/>
      <c r="V21" s="193"/>
      <c r="W21" s="193"/>
    </row>
    <row r="22" spans="1:26" ht="15" customHeight="1"/>
    <row r="23" spans="1:26" ht="15" customHeight="1">
      <c r="C23" s="750" t="s">
        <v>103</v>
      </c>
      <c r="D23" s="1060" t="s">
        <v>114</v>
      </c>
      <c r="E23" s="1061"/>
      <c r="F23" s="1058" t="s">
        <v>19</v>
      </c>
      <c r="G23" s="1064"/>
      <c r="H23" s="1066">
        <v>1</v>
      </c>
      <c r="I23" s="1067" t="str">
        <f>IF(U23="","",INDEX(TERRITORY_MR_LIST,MATCH(U23,TERRITORY_LIST_ID,0)))</f>
        <v/>
      </c>
      <c r="J23" s="1058" t="s">
        <v>19</v>
      </c>
      <c r="K23" s="751"/>
      <c r="L23" s="55" t="s">
        <v>114</v>
      </c>
      <c r="M23" s="58"/>
      <c r="Y23" s="598" t="s">
        <v>124</v>
      </c>
      <c r="Z23" s="598">
        <v>1705000</v>
      </c>
    </row>
    <row r="24" spans="1:26" ht="15" customHeight="1">
      <c r="D24" s="1060"/>
      <c r="E24" s="1062"/>
      <c r="F24" s="1058"/>
      <c r="G24" s="1065"/>
      <c r="H24" s="1066"/>
      <c r="I24" s="1068"/>
      <c r="J24" s="1058"/>
      <c r="K24" s="42"/>
      <c r="L24" s="43"/>
      <c r="M24" s="59" t="s">
        <v>125</v>
      </c>
    </row>
    <row r="25" spans="1:26" ht="15" customHeight="1">
      <c r="D25" s="1060"/>
      <c r="E25" s="1063"/>
      <c r="F25" s="1058"/>
      <c r="G25" s="42"/>
      <c r="H25" s="43"/>
      <c r="I25" s="44" t="s">
        <v>128</v>
      </c>
      <c r="J25" s="43"/>
      <c r="K25" s="43"/>
      <c r="L25" s="43"/>
      <c r="M25" s="62"/>
    </row>
    <row r="26" spans="1:26" ht="15" customHeight="1"/>
    <row r="27" spans="1:26" ht="15" customHeight="1">
      <c r="A27" s="193" t="s">
        <v>2053</v>
      </c>
      <c r="B27" s="193"/>
      <c r="C27" s="193"/>
      <c r="D27" s="193"/>
      <c r="E27" s="193"/>
      <c r="F27" s="193"/>
      <c r="G27" s="193"/>
      <c r="H27" s="193"/>
      <c r="I27" s="193"/>
      <c r="J27" s="193"/>
      <c r="K27" s="193"/>
      <c r="L27" s="193"/>
      <c r="M27" s="193"/>
      <c r="N27" s="193"/>
      <c r="O27" s="193"/>
      <c r="P27" s="193"/>
      <c r="Q27" s="193"/>
      <c r="R27" s="193"/>
      <c r="S27" s="193"/>
      <c r="T27" s="193"/>
      <c r="U27" s="197"/>
      <c r="V27" s="193"/>
      <c r="W27" s="193"/>
    </row>
    <row r="28" spans="1:26" ht="15" customHeight="1"/>
    <row r="29" spans="1:26" ht="15" customHeight="1">
      <c r="D29" s="71"/>
      <c r="E29" s="71"/>
      <c r="F29" s="71"/>
      <c r="G29" s="1075" t="s">
        <v>103</v>
      </c>
      <c r="H29" s="1047">
        <v>1</v>
      </c>
      <c r="I29" s="1076" t="str">
        <f>IF(U29="","",INDEX(TERRITORY_MR_LIST,MATCH(U29,TERRITORY_LIST_ID,0)))</f>
        <v/>
      </c>
      <c r="J29" s="1058" t="s">
        <v>19</v>
      </c>
      <c r="K29" s="751"/>
      <c r="L29" s="55" t="s">
        <v>114</v>
      </c>
      <c r="M29" s="58"/>
      <c r="Y29" s="598" t="s">
        <v>124</v>
      </c>
      <c r="Z29" s="598">
        <v>1705000</v>
      </c>
    </row>
    <row r="30" spans="1:26" ht="15" customHeight="1">
      <c r="D30" s="71"/>
      <c r="E30" s="71"/>
      <c r="F30" s="71"/>
      <c r="G30" s="1075"/>
      <c r="H30" s="1047"/>
      <c r="I30" s="1076"/>
      <c r="J30" s="1058"/>
      <c r="K30" s="42"/>
      <c r="L30" s="43"/>
      <c r="M30" s="59" t="s">
        <v>125</v>
      </c>
    </row>
    <row r="31" spans="1:26" ht="15" customHeight="1"/>
    <row r="32" spans="1:26" ht="15" customHeight="1">
      <c r="A32" s="193" t="s">
        <v>2054</v>
      </c>
      <c r="B32" s="193"/>
      <c r="C32" s="193"/>
      <c r="D32" s="193"/>
      <c r="E32" s="193"/>
      <c r="F32" s="193"/>
      <c r="G32" s="193"/>
      <c r="H32" s="193"/>
      <c r="I32" s="193"/>
      <c r="J32" s="193"/>
      <c r="K32" s="193"/>
      <c r="L32" s="193"/>
      <c r="M32" s="193"/>
      <c r="N32" s="193"/>
      <c r="O32" s="193"/>
      <c r="P32" s="193"/>
      <c r="Q32" s="193"/>
      <c r="R32" s="193"/>
      <c r="S32" s="193"/>
      <c r="T32" s="193"/>
      <c r="U32" s="197"/>
      <c r="V32" s="193"/>
      <c r="W32" s="193"/>
    </row>
    <row r="33" spans="1:26" ht="15" customHeight="1"/>
    <row r="34" spans="1:26" ht="15" customHeight="1">
      <c r="D34" s="71"/>
      <c r="E34" s="71"/>
      <c r="F34" s="71"/>
      <c r="G34" s="71"/>
      <c r="H34" s="71"/>
      <c r="I34" s="71"/>
      <c r="J34" s="71"/>
      <c r="K34" s="752" t="s">
        <v>103</v>
      </c>
      <c r="L34" s="198" t="s">
        <v>114</v>
      </c>
      <c r="M34" s="199"/>
      <c r="N34" s="595"/>
      <c r="Y34" s="598" t="s">
        <v>124</v>
      </c>
      <c r="Z34" s="598">
        <v>1705000</v>
      </c>
    </row>
    <row r="35" spans="1:26" ht="15" customHeight="1"/>
    <row r="36" spans="1:26" ht="15" customHeight="1"/>
    <row r="37" spans="1:26" ht="11.25" customHeight="1">
      <c r="A37" s="193" t="s">
        <v>2055</v>
      </c>
    </row>
    <row r="38" spans="1:26" ht="11.25" customHeight="1"/>
    <row r="39" spans="1:26" ht="22.5" customHeight="1">
      <c r="A39" s="96"/>
      <c r="B39" s="556"/>
      <c r="C39" s="753"/>
      <c r="D39" s="642"/>
      <c r="E39" s="103"/>
      <c r="F39" s="108"/>
      <c r="G39" s="71"/>
      <c r="H39" s="636"/>
    </row>
    <row r="40" spans="1:26" ht="11.25" customHeight="1"/>
    <row r="41" spans="1:26" ht="11.25" customHeight="1">
      <c r="A41" s="193" t="s">
        <v>2056</v>
      </c>
    </row>
    <row r="42" spans="1:26" ht="11.25" customHeight="1"/>
    <row r="43" spans="1:26" ht="22.5" customHeight="1">
      <c r="A43" s="556"/>
      <c r="B43" s="556"/>
      <c r="C43" s="556"/>
      <c r="D43" s="642"/>
      <c r="E43" s="103"/>
      <c r="F43" s="104"/>
      <c r="G43" s="71"/>
      <c r="H43" s="636"/>
    </row>
    <row r="44" spans="1:26" ht="11.25" customHeight="1"/>
    <row r="45" spans="1:26" ht="11.25" customHeight="1">
      <c r="A45" s="193" t="s">
        <v>2057</v>
      </c>
    </row>
    <row r="46" spans="1:26" ht="11.25" customHeight="1"/>
    <row r="47" spans="1:26" ht="24" customHeight="1">
      <c r="A47" s="1148" t="s">
        <v>324</v>
      </c>
      <c r="B47" s="630"/>
      <c r="C47" s="1158"/>
      <c r="D47" s="94" t="str">
        <f>A47</f>
        <v>5.1</v>
      </c>
      <c r="E47" s="639" t="s">
        <v>325</v>
      </c>
      <c r="F47" s="602" t="s">
        <v>317</v>
      </c>
      <c r="G47" s="637" t="s">
        <v>326</v>
      </c>
      <c r="H47" s="636"/>
    </row>
    <row r="48" spans="1:26" ht="22.5" customHeight="1">
      <c r="A48" s="1148"/>
      <c r="B48" s="630"/>
      <c r="C48" s="1158"/>
      <c r="D48" s="642" t="str">
        <f>D47&amp;".1"</f>
        <v>5.1.1</v>
      </c>
      <c r="E48" s="643" t="s">
        <v>327</v>
      </c>
      <c r="F48" s="95" t="s">
        <v>22</v>
      </c>
      <c r="G48" s="638"/>
      <c r="H48" s="636"/>
    </row>
    <row r="49" spans="1:43" ht="22.5" customHeight="1">
      <c r="A49" s="1148"/>
      <c r="B49" s="630"/>
      <c r="C49" s="1158"/>
      <c r="D49" s="642" t="str">
        <f>D47&amp;".2"</f>
        <v>5.1.2</v>
      </c>
      <c r="E49" s="643" t="s">
        <v>328</v>
      </c>
      <c r="F49" s="8" t="s">
        <v>22</v>
      </c>
      <c r="G49" s="637" t="s">
        <v>329</v>
      </c>
      <c r="H49" s="636"/>
    </row>
    <row r="50" spans="1:43" ht="22.5" customHeight="1">
      <c r="A50" s="1148"/>
      <c r="B50" s="630"/>
      <c r="C50" s="1158"/>
      <c r="D50" s="642" t="str">
        <f>D47&amp;".3"</f>
        <v>5.1.3</v>
      </c>
      <c r="E50" s="643" t="s">
        <v>330</v>
      </c>
      <c r="F50" s="95" t="s">
        <v>22</v>
      </c>
      <c r="G50" s="638"/>
      <c r="H50" s="636"/>
    </row>
    <row r="51" spans="1:43" ht="22.5" customHeight="1">
      <c r="A51" s="1148"/>
      <c r="B51" s="630"/>
      <c r="C51" s="1158"/>
      <c r="D51" s="642" t="str">
        <f>D47&amp;".4"</f>
        <v>5.1.4</v>
      </c>
      <c r="E51" s="643" t="s">
        <v>331</v>
      </c>
      <c r="F51" s="95" t="s">
        <v>22</v>
      </c>
      <c r="G51" s="637" t="s">
        <v>332</v>
      </c>
      <c r="H51" s="636"/>
    </row>
    <row r="54" spans="1:43" ht="17.25" customHeight="1">
      <c r="A54" s="193" t="s">
        <v>2058</v>
      </c>
    </row>
    <row r="56" spans="1:43" ht="18.75" customHeight="1">
      <c r="D56" s="689"/>
      <c r="E56" s="754"/>
      <c r="F56" s="755">
        <v>13</v>
      </c>
      <c r="G56" s="200"/>
      <c r="H56" s="39"/>
      <c r="I56" s="40"/>
      <c r="J56" s="132" t="s">
        <v>61</v>
      </c>
      <c r="K56" s="201" t="s">
        <v>22</v>
      </c>
      <c r="P56" s="691" t="s">
        <v>403</v>
      </c>
      <c r="Q56" s="691" t="s">
        <v>404</v>
      </c>
      <c r="R56" s="134" t="s">
        <v>405</v>
      </c>
      <c r="S56" s="577" t="s">
        <v>406</v>
      </c>
    </row>
    <row r="58" spans="1:43" ht="11.25" customHeight="1">
      <c r="A58" s="193" t="s">
        <v>2059</v>
      </c>
    </row>
    <row r="60" spans="1:43" ht="14.25" customHeight="1">
      <c r="C60" s="653"/>
      <c r="D60" s="113"/>
      <c r="E60" s="101" t="s">
        <v>22</v>
      </c>
      <c r="F60" s="682"/>
      <c r="G60" s="114"/>
      <c r="H60" s="115"/>
      <c r="I60" s="115"/>
      <c r="J60" s="116"/>
      <c r="K60" s="117"/>
      <c r="L60" s="683"/>
      <c r="M60" s="117"/>
      <c r="N60" s="116"/>
      <c r="O60" s="117"/>
      <c r="P60" s="116"/>
      <c r="Q60" s="117"/>
      <c r="R60" s="116"/>
      <c r="S60" s="118"/>
      <c r="T60" s="115"/>
      <c r="U60" s="116"/>
      <c r="V60" s="116"/>
      <c r="W60" s="677"/>
      <c r="X60" s="115"/>
      <c r="Y60" s="116"/>
      <c r="Z60" s="116"/>
      <c r="AA60" s="677"/>
      <c r="AB60" s="115"/>
      <c r="AC60" s="116"/>
      <c r="AD60" s="677"/>
      <c r="AP60" s="582" t="s">
        <v>392</v>
      </c>
      <c r="AQ60" s="582" t="s">
        <v>392</v>
      </c>
    </row>
    <row r="62" spans="1:43" ht="11.25" customHeight="1">
      <c r="A62" s="193" t="s">
        <v>2060</v>
      </c>
    </row>
    <row r="64" spans="1:43" ht="15" customHeight="1">
      <c r="A64" s="202" t="s">
        <v>89</v>
      </c>
      <c r="B64" t="s">
        <v>22</v>
      </c>
      <c r="D64" s="55"/>
      <c r="E64" s="123"/>
      <c r="F64" s="123"/>
      <c r="G64" s="203"/>
      <c r="H64" s="201"/>
      <c r="I64" s="204"/>
    </row>
    <row r="66" spans="1:30" ht="11.25" customHeight="1">
      <c r="A66" s="193" t="s">
        <v>2061</v>
      </c>
    </row>
    <row r="68" spans="1:30" ht="14.25" customHeight="1">
      <c r="C68" s="756"/>
      <c r="D68" s="91"/>
      <c r="E68" s="757"/>
      <c r="F68" s="201"/>
    </row>
    <row r="70" spans="1:30" ht="11.25" customHeight="1">
      <c r="A70" s="193" t="s">
        <v>2062</v>
      </c>
    </row>
    <row r="72" spans="1:30" ht="27" customHeight="1">
      <c r="E72" s="758"/>
      <c r="F72" s="1315"/>
      <c r="G72" s="1316"/>
      <c r="H72" s="1317" t="s">
        <v>61</v>
      </c>
      <c r="I72" s="1319"/>
      <c r="J72" s="1311"/>
      <c r="K72" s="1306"/>
      <c r="L72" s="1307"/>
      <c r="M72" s="1307"/>
      <c r="N72" s="1313"/>
      <c r="O72" s="1313"/>
      <c r="P72" s="1314" t="e">
        <f>DATEDIF(DATEVALUE(N72),DATEVALUE(O72),"y")&amp;"г. "&amp;DATEDIF(DATEVALUE(N72),DATEVALUE(O72),"ym")&amp;"мес. "&amp;DATEVALUE(O72)-DATE(YEAR(DATEVALUE(O72)),MONTH(DATEVALUE(O72)),1)&amp;"дн. "</f>
        <v>#VALUE!</v>
      </c>
      <c r="Q72" s="1308"/>
      <c r="R72" s="1308"/>
      <c r="S72" s="1308"/>
      <c r="T72" s="1311"/>
      <c r="U72" s="1308"/>
      <c r="V72" s="1308"/>
      <c r="W72" s="1308"/>
      <c r="X72" s="1311"/>
      <c r="Y72" s="1309" t="s">
        <v>61</v>
      </c>
      <c r="Z72" s="616"/>
      <c r="AA72" s="583">
        <v>1</v>
      </c>
      <c r="AB72" s="205"/>
      <c r="AD72" s="577" t="s">
        <v>2063</v>
      </c>
    </row>
    <row r="73" spans="1:30" ht="10.5" customHeight="1">
      <c r="E73" s="759"/>
      <c r="F73" s="1315"/>
      <c r="G73" s="1316"/>
      <c r="H73" s="1318"/>
      <c r="I73" s="1320"/>
      <c r="J73" s="1312"/>
      <c r="K73" s="1306"/>
      <c r="L73" s="1307"/>
      <c r="M73" s="1307"/>
      <c r="N73" s="1313"/>
      <c r="O73" s="1313"/>
      <c r="P73" s="1314"/>
      <c r="Q73" s="1308"/>
      <c r="R73" s="1308"/>
      <c r="S73" s="1308"/>
      <c r="T73" s="1312"/>
      <c r="U73" s="1308"/>
      <c r="V73" s="1308"/>
      <c r="W73" s="1308"/>
      <c r="X73" s="1312"/>
      <c r="Y73" s="1310"/>
      <c r="Z73" s="760"/>
      <c r="AA73" s="761"/>
      <c r="AB73" s="59" t="s">
        <v>1022</v>
      </c>
    </row>
    <row r="75" spans="1:30" ht="11.25" customHeight="1">
      <c r="A75" s="193" t="s">
        <v>2064</v>
      </c>
    </row>
    <row r="77" spans="1:30" ht="27" customHeight="1">
      <c r="E77" s="758"/>
      <c r="F77" s="207"/>
      <c r="G77" s="762"/>
      <c r="H77" s="208"/>
      <c r="I77" s="209"/>
      <c r="J77" s="210"/>
      <c r="K77" s="211"/>
      <c r="L77" s="212"/>
      <c r="M77" s="212"/>
      <c r="N77" s="213"/>
      <c r="O77" s="213"/>
      <c r="P77" s="763"/>
      <c r="Q77" s="764"/>
      <c r="R77" s="764"/>
      <c r="S77" s="764"/>
      <c r="T77" s="210"/>
      <c r="U77" s="764"/>
      <c r="V77" s="764"/>
      <c r="W77" s="764"/>
      <c r="X77" s="210"/>
      <c r="Y77" s="208"/>
      <c r="Z77" s="616"/>
      <c r="AA77" s="583">
        <v>1</v>
      </c>
      <c r="AB77" s="205"/>
      <c r="AD77" s="577" t="s">
        <v>2063</v>
      </c>
    </row>
    <row r="79" spans="1:30" ht="11.25" customHeight="1">
      <c r="A79" s="193" t="s">
        <v>2065</v>
      </c>
    </row>
    <row r="80" spans="1:30" ht="17.25" customHeight="1"/>
    <row r="81" spans="1:38" ht="21" customHeight="1">
      <c r="E81" s="556"/>
      <c r="F81" s="765" t="e">
        <f>INDEX(IP_MAIN_LIST_NAME_IP,MATCH(A81,IP_MAIN_LIST_IP_ID,0))&amp;" ("&amp;INDEX(IP_MAIN_START_DATE,MATCH(A81,IP_MAIN_LIST_IP_ID,0))&amp;"-"&amp;INDEX(IP_MAIN_END_DATE,MATCH(A81,IP_MAIN_LIST_IP_ID,0))&amp;")"</f>
        <v>#N/A</v>
      </c>
      <c r="G81" s="766"/>
      <c r="H81" s="766"/>
      <c r="I81" s="767"/>
      <c r="J81" s="767"/>
      <c r="K81" s="768"/>
      <c r="L81" s="768"/>
      <c r="M81" s="768"/>
      <c r="N81" s="769"/>
      <c r="O81" s="769"/>
      <c r="P81" s="769"/>
      <c r="Q81" s="769"/>
      <c r="R81" s="769"/>
      <c r="S81" s="769"/>
      <c r="T81" s="769"/>
      <c r="U81" s="769"/>
      <c r="V81" s="769"/>
      <c r="W81" s="769"/>
      <c r="X81" s="769"/>
      <c r="Y81" s="769"/>
      <c r="Z81" s="769"/>
      <c r="AA81" s="769"/>
      <c r="AB81" s="769"/>
      <c r="AC81" s="769"/>
      <c r="AD81" s="769"/>
      <c r="AE81" s="770"/>
      <c r="AF81" s="768"/>
      <c r="AG81" s="768"/>
      <c r="AH81" s="768"/>
      <c r="AI81" s="768"/>
      <c r="AJ81" s="768"/>
      <c r="AK81" s="768"/>
      <c r="AL81" s="771"/>
    </row>
    <row r="82" spans="1:38" ht="0.75" customHeight="1">
      <c r="E82" s="556"/>
      <c r="F82" s="1353"/>
      <c r="G82" s="1327"/>
      <c r="H82" s="1357" t="s">
        <v>387</v>
      </c>
      <c r="I82" s="1358"/>
      <c r="J82" s="1350"/>
      <c r="K82" s="1350"/>
      <c r="L82" s="1351"/>
      <c r="M82" s="1200"/>
      <c r="N82" s="214"/>
      <c r="O82" s="215"/>
      <c r="P82" s="214"/>
      <c r="Q82" s="214"/>
      <c r="R82" s="214"/>
      <c r="S82" s="214"/>
      <c r="T82" s="214"/>
      <c r="U82" s="214"/>
      <c r="V82" s="214"/>
      <c r="W82" s="214"/>
      <c r="X82" s="214"/>
      <c r="Y82" s="214"/>
      <c r="Z82" s="214"/>
      <c r="AA82" s="214"/>
      <c r="AB82" s="214"/>
      <c r="AC82" s="214"/>
      <c r="AD82" s="214"/>
      <c r="AE82" s="214"/>
      <c r="AF82" s="1356"/>
      <c r="AG82" s="1351"/>
      <c r="AH82" s="1351"/>
      <c r="AI82" s="1356"/>
      <c r="AJ82" s="1351"/>
      <c r="AK82" s="1351"/>
      <c r="AL82" s="771"/>
    </row>
    <row r="83" spans="1:38" ht="0.75" customHeight="1">
      <c r="E83" s="556"/>
      <c r="F83" s="1353"/>
      <c r="G83" s="1327"/>
      <c r="H83" s="1357"/>
      <c r="I83" s="1358"/>
      <c r="J83" s="1350"/>
      <c r="K83" s="1350"/>
      <c r="L83" s="1351"/>
      <c r="M83" s="1200"/>
      <c r="N83" s="1359"/>
      <c r="O83" s="1360"/>
      <c r="P83" s="1347"/>
      <c r="Q83" s="1350"/>
      <c r="R83" s="1350"/>
      <c r="S83" s="1350"/>
      <c r="T83" s="1350"/>
      <c r="U83" s="1350"/>
      <c r="V83" s="1350"/>
      <c r="W83" s="1350"/>
      <c r="X83" s="1350"/>
      <c r="Y83" s="1350"/>
      <c r="Z83" s="216"/>
      <c r="AA83" s="217"/>
      <c r="AB83" s="217"/>
      <c r="AC83" s="218"/>
      <c r="AD83" s="218"/>
      <c r="AE83" s="219"/>
      <c r="AF83" s="1356"/>
      <c r="AG83" s="1351"/>
      <c r="AH83" s="1351"/>
      <c r="AI83" s="1356"/>
      <c r="AJ83" s="1351"/>
      <c r="AK83" s="1351"/>
      <c r="AL83" s="771"/>
    </row>
    <row r="84" spans="1:38" ht="0.75" customHeight="1">
      <c r="E84" s="556"/>
      <c r="F84" s="1353"/>
      <c r="G84" s="1327"/>
      <c r="H84" s="1357"/>
      <c r="I84" s="1358"/>
      <c r="J84" s="1350"/>
      <c r="K84" s="1350"/>
      <c r="L84" s="1351"/>
      <c r="M84" s="1200"/>
      <c r="N84" s="1359"/>
      <c r="O84" s="1360"/>
      <c r="P84" s="1348"/>
      <c r="Q84" s="1350"/>
      <c r="R84" s="1350"/>
      <c r="S84" s="1350"/>
      <c r="T84" s="1350"/>
      <c r="U84" s="1350"/>
      <c r="V84" s="1350"/>
      <c r="W84" s="1350"/>
      <c r="X84" s="1350"/>
      <c r="Y84" s="1350"/>
      <c r="AA84" s="772"/>
      <c r="AB84" s="773"/>
      <c r="AC84" s="220"/>
      <c r="AD84" s="773"/>
      <c r="AE84" s="220"/>
      <c r="AF84" s="1356"/>
      <c r="AG84" s="1351"/>
      <c r="AH84" s="1351"/>
      <c r="AI84" s="1356"/>
      <c r="AJ84" s="1351"/>
      <c r="AK84" s="1351"/>
      <c r="AL84" s="771"/>
    </row>
    <row r="85" spans="1:38" ht="0.75" customHeight="1">
      <c r="E85" s="556"/>
      <c r="F85" s="1353"/>
      <c r="G85" s="1327"/>
      <c r="H85" s="1357"/>
      <c r="I85" s="1358"/>
      <c r="J85" s="1350"/>
      <c r="K85" s="1350"/>
      <c r="L85" s="1351"/>
      <c r="M85" s="1200"/>
      <c r="N85" s="1359"/>
      <c r="O85" s="1360"/>
      <c r="P85" s="1349"/>
      <c r="Q85" s="1350"/>
      <c r="R85" s="1350"/>
      <c r="S85" s="1350"/>
      <c r="T85" s="1350"/>
      <c r="U85" s="1350"/>
      <c r="V85" s="1350"/>
      <c r="W85" s="1350"/>
      <c r="X85" s="1350"/>
      <c r="Y85" s="1350"/>
      <c r="Z85" s="216"/>
      <c r="AA85" s="217"/>
      <c r="AB85" s="221"/>
      <c r="AC85" s="218"/>
      <c r="AD85" s="218"/>
      <c r="AE85" s="222"/>
      <c r="AF85" s="1356"/>
      <c r="AG85" s="1351"/>
      <c r="AH85" s="1351"/>
      <c r="AI85" s="1356"/>
      <c r="AJ85" s="1351"/>
      <c r="AK85" s="1351"/>
      <c r="AL85" s="771"/>
    </row>
    <row r="86" spans="1:38" ht="0.75" customHeight="1">
      <c r="E86" s="556"/>
      <c r="F86" s="1353"/>
      <c r="G86" s="1327"/>
      <c r="H86" s="1357"/>
      <c r="I86" s="1358"/>
      <c r="J86" s="1350"/>
      <c r="K86" s="1350"/>
      <c r="L86" s="1351"/>
      <c r="M86" s="1200"/>
      <c r="N86" s="217"/>
      <c r="O86" s="217"/>
      <c r="P86" s="221"/>
      <c r="Q86" s="217"/>
      <c r="R86" s="217"/>
      <c r="S86" s="217"/>
      <c r="T86" s="217"/>
      <c r="U86" s="217"/>
      <c r="V86" s="217"/>
      <c r="W86" s="217"/>
      <c r="X86" s="217"/>
      <c r="Y86" s="217"/>
      <c r="Z86" s="217"/>
      <c r="AA86" s="217"/>
      <c r="AB86" s="217"/>
      <c r="AC86" s="217"/>
      <c r="AD86" s="217"/>
      <c r="AE86" s="223"/>
      <c r="AF86" s="1356"/>
      <c r="AG86" s="1351"/>
      <c r="AH86" s="1351"/>
      <c r="AI86" s="1356"/>
      <c r="AJ86" s="1351"/>
      <c r="AK86" s="1351"/>
      <c r="AL86" s="771"/>
    </row>
    <row r="87" spans="1:38" ht="12" customHeight="1">
      <c r="E87" s="556"/>
      <c r="F87" s="1355"/>
      <c r="G87" s="774"/>
      <c r="H87" s="774"/>
      <c r="I87" s="1352" t="s">
        <v>1083</v>
      </c>
      <c r="J87" s="1352"/>
      <c r="K87" s="1352"/>
      <c r="L87" s="775"/>
      <c r="M87" s="775"/>
      <c r="N87" s="776"/>
      <c r="O87" s="776"/>
      <c r="P87" s="776"/>
      <c r="Q87" s="776"/>
      <c r="R87" s="776"/>
      <c r="S87" s="776"/>
      <c r="T87" s="776"/>
      <c r="U87" s="776"/>
      <c r="V87" s="776"/>
      <c r="W87" s="776"/>
      <c r="X87" s="776"/>
      <c r="Y87" s="776"/>
      <c r="Z87" s="776"/>
      <c r="AA87" s="776"/>
      <c r="AB87" s="776"/>
      <c r="AC87" s="776"/>
      <c r="AD87" s="776"/>
      <c r="AE87" s="776"/>
      <c r="AF87" s="776"/>
      <c r="AG87" s="775"/>
      <c r="AH87" s="775"/>
      <c r="AI87" s="776"/>
      <c r="AJ87" s="775"/>
      <c r="AK87" s="776"/>
      <c r="AL87" s="771"/>
    </row>
    <row r="89" spans="1:38" ht="11.25" customHeight="1">
      <c r="A89" s="193" t="s">
        <v>2066</v>
      </c>
    </row>
    <row r="91" spans="1:38" ht="11.25" customHeight="1">
      <c r="E91" s="556"/>
      <c r="F91" s="225"/>
      <c r="G91" s="226"/>
      <c r="H91" s="226"/>
      <c r="I91" s="227"/>
      <c r="J91" s="227"/>
      <c r="K91" s="228"/>
      <c r="L91" s="227"/>
      <c r="M91" s="226"/>
      <c r="N91" s="1333"/>
      <c r="O91" s="1458">
        <v>1</v>
      </c>
      <c r="P91" s="1335" t="s">
        <v>19</v>
      </c>
      <c r="Q91" s="1323" t="s">
        <v>22</v>
      </c>
      <c r="R91" s="1323" t="s">
        <v>22</v>
      </c>
      <c r="S91" s="1323" t="s">
        <v>22</v>
      </c>
      <c r="T91" s="1323" t="s">
        <v>22</v>
      </c>
      <c r="U91" s="1323" t="s">
        <v>22</v>
      </c>
      <c r="V91" s="1323" t="s">
        <v>22</v>
      </c>
      <c r="W91" s="1323" t="s">
        <v>22</v>
      </c>
      <c r="X91" s="1323" t="s">
        <v>22</v>
      </c>
      <c r="Y91" s="1323"/>
      <c r="Z91" s="229"/>
      <c r="AA91" s="230"/>
      <c r="AB91" s="230"/>
      <c r="AC91" s="231"/>
      <c r="AD91" s="231"/>
      <c r="AE91" s="231"/>
      <c r="AF91" s="232"/>
      <c r="AG91" s="233"/>
      <c r="AH91" s="233"/>
      <c r="AI91" s="232"/>
      <c r="AJ91" s="233"/>
      <c r="AK91" s="234"/>
      <c r="AL91" s="771"/>
    </row>
    <row r="92" spans="1:38" ht="11.25" customHeight="1">
      <c r="E92" s="556"/>
      <c r="F92" s="225"/>
      <c r="G92" s="226"/>
      <c r="H92" s="226"/>
      <c r="I92" s="235"/>
      <c r="J92" s="235"/>
      <c r="K92" s="228"/>
      <c r="L92" s="235"/>
      <c r="M92" s="226"/>
      <c r="N92" s="1333"/>
      <c r="O92" s="1458"/>
      <c r="P92" s="1336"/>
      <c r="Q92" s="1323"/>
      <c r="R92" s="1323"/>
      <c r="S92" s="1338"/>
      <c r="T92" s="1323"/>
      <c r="U92" s="1323"/>
      <c r="V92" s="1323"/>
      <c r="W92" s="1323"/>
      <c r="X92" s="1323"/>
      <c r="Y92" s="1323"/>
      <c r="AA92" s="777">
        <v>1</v>
      </c>
      <c r="AB92" s="778"/>
      <c r="AC92" s="236"/>
      <c r="AD92" s="778">
        <f>AB92</f>
        <v>0</v>
      </c>
      <c r="AE92" s="237"/>
      <c r="AF92" s="228"/>
      <c r="AG92" s="233"/>
      <c r="AH92" s="233"/>
      <c r="AI92" s="228"/>
      <c r="AJ92" s="233"/>
      <c r="AK92" s="234"/>
      <c r="AL92" s="771"/>
    </row>
    <row r="93" spans="1:38" ht="11.25" customHeight="1">
      <c r="E93" s="556"/>
      <c r="F93" s="225"/>
      <c r="G93" s="226"/>
      <c r="H93" s="226"/>
      <c r="I93" s="238"/>
      <c r="J93" s="238"/>
      <c r="K93" s="228"/>
      <c r="L93" s="238"/>
      <c r="M93" s="226"/>
      <c r="N93" s="1333"/>
      <c r="O93" s="1458"/>
      <c r="P93" s="1337"/>
      <c r="Q93" s="1323"/>
      <c r="R93" s="1323"/>
      <c r="S93" s="1338"/>
      <c r="T93" s="1323"/>
      <c r="U93" s="1323"/>
      <c r="V93" s="1323"/>
      <c r="W93" s="1323"/>
      <c r="X93" s="1323"/>
      <c r="Y93" s="1323"/>
      <c r="Z93" s="229"/>
      <c r="AA93" s="230"/>
      <c r="AB93" s="44" t="s">
        <v>1064</v>
      </c>
      <c r="AC93" s="231"/>
      <c r="AD93" s="231"/>
      <c r="AE93" s="231"/>
      <c r="AF93" s="239"/>
      <c r="AG93" s="233"/>
      <c r="AH93" s="233"/>
      <c r="AI93" s="239"/>
      <c r="AJ93" s="233"/>
      <c r="AK93" s="234"/>
      <c r="AL93" s="771"/>
    </row>
    <row r="95" spans="1:38" ht="11.25" customHeight="1">
      <c r="A95" s="193" t="s">
        <v>2067</v>
      </c>
    </row>
    <row r="97" spans="1:179" ht="11.25" customHeight="1">
      <c r="E97" s="556"/>
      <c r="F97" s="226"/>
      <c r="G97" s="226"/>
      <c r="H97" s="226"/>
      <c r="I97" s="226"/>
      <c r="J97" s="226"/>
      <c r="K97" s="226"/>
      <c r="L97" s="226"/>
      <c r="M97" s="226"/>
      <c r="N97" s="226"/>
      <c r="O97" s="226"/>
      <c r="P97" s="226"/>
      <c r="Q97" s="226"/>
      <c r="R97" s="226"/>
      <c r="S97" s="226"/>
      <c r="T97" s="226"/>
      <c r="U97" s="226"/>
      <c r="V97" s="226"/>
      <c r="W97" s="226"/>
      <c r="X97" s="226"/>
      <c r="Y97" s="226"/>
      <c r="Z97" s="240"/>
      <c r="AA97" s="779">
        <v>1</v>
      </c>
      <c r="AB97" s="778"/>
      <c r="AC97" s="236"/>
      <c r="AD97" s="778">
        <f>AB97</f>
        <v>0</v>
      </c>
      <c r="AE97" s="236"/>
      <c r="AF97" s="228"/>
      <c r="AG97" s="233"/>
      <c r="AH97" s="233"/>
      <c r="AI97" s="228"/>
      <c r="AJ97" s="233"/>
      <c r="AK97" s="234"/>
      <c r="AL97" s="771"/>
    </row>
    <row r="99" spans="1:179" ht="11.25" customHeight="1">
      <c r="A99" s="193" t="s">
        <v>2068</v>
      </c>
    </row>
    <row r="101" spans="1:179" ht="11.25" customHeight="1">
      <c r="E101" s="556"/>
      <c r="F101" s="225"/>
      <c r="G101" s="226"/>
      <c r="H101" s="1327" t="s">
        <v>114</v>
      </c>
      <c r="I101" s="1328"/>
      <c r="J101" s="1341"/>
      <c r="K101" s="1330"/>
      <c r="L101" s="1058" t="s">
        <v>19</v>
      </c>
      <c r="M101" s="1060"/>
      <c r="N101" s="241"/>
      <c r="O101" s="242" t="s">
        <v>387</v>
      </c>
      <c r="P101" s="243"/>
      <c r="Q101" s="243"/>
      <c r="R101" s="243"/>
      <c r="S101" s="243"/>
      <c r="T101" s="243"/>
      <c r="U101" s="243"/>
      <c r="V101" s="243"/>
      <c r="W101" s="243"/>
      <c r="X101" s="243"/>
      <c r="Y101" s="243"/>
      <c r="Z101" s="243"/>
      <c r="AA101" s="243"/>
      <c r="AB101" s="243"/>
      <c r="AC101" s="243"/>
      <c r="AD101" s="243"/>
      <c r="AE101" s="243"/>
      <c r="AF101" s="1331"/>
      <c r="AG101" s="1332"/>
      <c r="AH101" s="1332"/>
      <c r="AI101" s="1331"/>
      <c r="AJ101" s="1332"/>
      <c r="AK101" s="1332"/>
      <c r="AL101" s="771"/>
    </row>
    <row r="102" spans="1:179" ht="11.25" customHeight="1">
      <c r="E102" s="556"/>
      <c r="F102" s="225"/>
      <c r="G102" s="226"/>
      <c r="H102" s="1327"/>
      <c r="I102" s="1328"/>
      <c r="J102" s="1341"/>
      <c r="K102" s="1330"/>
      <c r="L102" s="1058"/>
      <c r="M102" s="1060"/>
      <c r="N102" s="1333"/>
      <c r="O102" s="1334">
        <v>1</v>
      </c>
      <c r="P102" s="1335" t="s">
        <v>19</v>
      </c>
      <c r="Q102" s="1323" t="s">
        <v>22</v>
      </c>
      <c r="R102" s="1323" t="s">
        <v>22</v>
      </c>
      <c r="S102" s="1323" t="s">
        <v>22</v>
      </c>
      <c r="T102" s="1323" t="s">
        <v>22</v>
      </c>
      <c r="U102" s="1323" t="s">
        <v>22</v>
      </c>
      <c r="V102" s="1323" t="s">
        <v>22</v>
      </c>
      <c r="W102" s="1323" t="s">
        <v>22</v>
      </c>
      <c r="X102" s="1323" t="s">
        <v>22</v>
      </c>
      <c r="Y102" s="1323"/>
      <c r="Z102" s="229"/>
      <c r="AA102" s="230"/>
      <c r="AB102" s="230"/>
      <c r="AC102" s="231"/>
      <c r="AD102" s="231"/>
      <c r="AE102" s="244"/>
      <c r="AF102" s="1331"/>
      <c r="AG102" s="1332"/>
      <c r="AH102" s="1332"/>
      <c r="AI102" s="1331"/>
      <c r="AJ102" s="1332"/>
      <c r="AK102" s="1332"/>
      <c r="AL102" s="771"/>
    </row>
    <row r="103" spans="1:179" ht="11.25" customHeight="1">
      <c r="E103" s="556"/>
      <c r="F103" s="225"/>
      <c r="G103" s="226"/>
      <c r="H103" s="1327"/>
      <c r="I103" s="1328"/>
      <c r="J103" s="1341"/>
      <c r="K103" s="1330"/>
      <c r="L103" s="1058"/>
      <c r="M103" s="1060"/>
      <c r="N103" s="1333"/>
      <c r="O103" s="1334"/>
      <c r="P103" s="1336"/>
      <c r="Q103" s="1323"/>
      <c r="R103" s="1323"/>
      <c r="S103" s="1338"/>
      <c r="T103" s="1323"/>
      <c r="U103" s="1323"/>
      <c r="V103" s="1323"/>
      <c r="W103" s="1323"/>
      <c r="X103" s="1323"/>
      <c r="Y103" s="1323"/>
      <c r="AA103" s="777">
        <v>1</v>
      </c>
      <c r="AB103" s="778"/>
      <c r="AC103" s="236"/>
      <c r="AD103" s="778">
        <f>AB103</f>
        <v>0</v>
      </c>
      <c r="AE103" s="236"/>
      <c r="AF103" s="1331"/>
      <c r="AG103" s="1332"/>
      <c r="AH103" s="1332"/>
      <c r="AI103" s="1331"/>
      <c r="AJ103" s="1332"/>
      <c r="AK103" s="1332"/>
      <c r="AL103" s="771"/>
    </row>
    <row r="104" spans="1:179" ht="11.25" customHeight="1">
      <c r="E104" s="556"/>
      <c r="F104" s="225"/>
      <c r="G104" s="226"/>
      <c r="H104" s="1327"/>
      <c r="I104" s="1328"/>
      <c r="J104" s="1341"/>
      <c r="K104" s="1330"/>
      <c r="L104" s="1058"/>
      <c r="M104" s="1060"/>
      <c r="N104" s="1333"/>
      <c r="O104" s="1334"/>
      <c r="P104" s="1337"/>
      <c r="Q104" s="1323"/>
      <c r="R104" s="1323"/>
      <c r="S104" s="1338"/>
      <c r="T104" s="1323"/>
      <c r="U104" s="1323"/>
      <c r="V104" s="1323"/>
      <c r="W104" s="1323"/>
      <c r="X104" s="1323"/>
      <c r="Y104" s="1323"/>
      <c r="Z104" s="229"/>
      <c r="AA104" s="230"/>
      <c r="AB104" s="44" t="s">
        <v>1064</v>
      </c>
      <c r="AC104" s="231"/>
      <c r="AD104" s="231"/>
      <c r="AE104" s="245"/>
      <c r="AF104" s="1331"/>
      <c r="AG104" s="1332"/>
      <c r="AH104" s="1332"/>
      <c r="AI104" s="1331"/>
      <c r="AJ104" s="1332"/>
      <c r="AK104" s="1332"/>
      <c r="AL104" s="771"/>
    </row>
    <row r="105" spans="1:179" ht="11.25" customHeight="1">
      <c r="E105" s="556"/>
      <c r="F105" s="225"/>
      <c r="G105" s="226"/>
      <c r="H105" s="1327"/>
      <c r="I105" s="1328"/>
      <c r="J105" s="1341"/>
      <c r="K105" s="1330"/>
      <c r="L105" s="1058"/>
      <c r="M105" s="1060"/>
      <c r="N105" s="229"/>
      <c r="O105" s="230"/>
      <c r="P105" s="44" t="s">
        <v>1065</v>
      </c>
      <c r="Q105" s="230"/>
      <c r="R105" s="230"/>
      <c r="S105" s="230"/>
      <c r="T105" s="230"/>
      <c r="U105" s="230"/>
      <c r="V105" s="230"/>
      <c r="W105" s="230"/>
      <c r="X105" s="230"/>
      <c r="Y105" s="230"/>
      <c r="Z105" s="230"/>
      <c r="AA105" s="230"/>
      <c r="AB105" s="230"/>
      <c r="AC105" s="230"/>
      <c r="AD105" s="230"/>
      <c r="AE105" s="246"/>
      <c r="AF105" s="1331"/>
      <c r="AG105" s="1332"/>
      <c r="AH105" s="1332"/>
      <c r="AI105" s="1331"/>
      <c r="AJ105" s="1332"/>
      <c r="AK105" s="1332"/>
      <c r="AL105" s="771"/>
    </row>
    <row r="107" spans="1:179" ht="11.25" customHeight="1">
      <c r="A107" s="193" t="s">
        <v>2069</v>
      </c>
    </row>
    <row r="108" spans="1:179" ht="17.25" customHeight="1"/>
    <row r="109" spans="1:179" ht="21" customHeight="1">
      <c r="E109" s="247" t="s">
        <v>22</v>
      </c>
      <c r="F109" s="780" t="e">
        <f>INDEX(IP_MAIN_LIST_NAME_IP,MATCH(A109,IP_MAIN_LIST_IP_ID,0))&amp;" ("&amp;INDEX(IP_MAIN_START_DATE,MATCH(A109,IP_MAIN_LIST_IP_ID,0))&amp;"-"&amp;INDEX(IP_MAIN_END_DATE,MATCH(A109,IP_MAIN_LIST_IP_ID,0))&amp;")"</f>
        <v>#N/A</v>
      </c>
      <c r="G109" s="249"/>
      <c r="H109" s="781"/>
      <c r="I109" s="781"/>
      <c r="J109" s="781"/>
      <c r="K109" s="781"/>
      <c r="L109" s="781"/>
      <c r="M109" s="781"/>
      <c r="N109" s="781"/>
      <c r="O109" s="249"/>
      <c r="P109" s="249"/>
      <c r="Q109" s="249"/>
      <c r="R109" s="249"/>
      <c r="S109" s="249"/>
      <c r="T109" s="249"/>
      <c r="U109" s="782"/>
      <c r="V109" s="782"/>
      <c r="W109" s="782"/>
      <c r="X109" s="782"/>
      <c r="Y109" s="782"/>
      <c r="Z109" s="782"/>
      <c r="AA109" s="782"/>
      <c r="AB109" s="249"/>
      <c r="AC109" s="781"/>
      <c r="AD109" s="781"/>
      <c r="AE109" s="781"/>
      <c r="AF109" s="781"/>
      <c r="AG109" s="781"/>
      <c r="AH109" s="781"/>
      <c r="AI109" s="781"/>
      <c r="AJ109" s="781"/>
      <c r="AK109" s="781"/>
      <c r="AL109" s="781"/>
      <c r="AM109" s="781"/>
      <c r="AN109" s="781"/>
      <c r="AO109" s="781"/>
      <c r="AP109" s="781"/>
      <c r="AQ109" s="781"/>
      <c r="AR109" s="781"/>
      <c r="AS109" s="781"/>
      <c r="AT109" s="781"/>
      <c r="AU109" s="781"/>
      <c r="AV109" s="781"/>
      <c r="AW109" s="781"/>
      <c r="AX109" s="781"/>
      <c r="AY109" s="781"/>
      <c r="AZ109" s="781"/>
      <c r="BA109" s="781"/>
      <c r="BB109" s="781"/>
      <c r="BC109" s="781"/>
      <c r="BD109" s="781"/>
      <c r="BE109" s="781"/>
      <c r="BF109" s="781"/>
      <c r="BG109" s="781"/>
      <c r="BH109" s="781"/>
      <c r="BI109" s="781"/>
      <c r="BJ109" s="781"/>
      <c r="BK109" s="781"/>
      <c r="BL109" s="781"/>
      <c r="BM109" s="781"/>
      <c r="BN109" s="781"/>
      <c r="BO109" s="781"/>
      <c r="BP109" s="781"/>
      <c r="BQ109" s="781"/>
      <c r="BR109" s="781"/>
      <c r="BS109" s="781"/>
      <c r="BT109" s="781"/>
      <c r="BU109" s="781"/>
      <c r="BV109" s="781"/>
      <c r="BW109" s="781"/>
      <c r="BX109" s="781"/>
      <c r="BY109" s="781"/>
      <c r="BZ109" s="781"/>
      <c r="CA109" s="781"/>
      <c r="CB109" s="781"/>
      <c r="CC109" s="781"/>
      <c r="CD109" s="781"/>
      <c r="CE109" s="781"/>
      <c r="CF109" s="781"/>
      <c r="CG109" s="781"/>
      <c r="CH109" s="781"/>
      <c r="CI109" s="781"/>
      <c r="CJ109" s="781"/>
      <c r="CK109" s="781"/>
      <c r="CL109" s="783"/>
      <c r="CM109" s="783"/>
      <c r="CN109" s="783"/>
      <c r="CO109" s="783"/>
      <c r="CP109" s="783"/>
      <c r="CQ109" s="783"/>
      <c r="CR109" s="783"/>
      <c r="CS109" s="783"/>
      <c r="CT109" s="783"/>
      <c r="CU109" s="783"/>
      <c r="CV109" s="783"/>
      <c r="CW109" s="783"/>
      <c r="CX109" s="783"/>
      <c r="CY109" s="783"/>
      <c r="CZ109" s="783"/>
      <c r="DA109" s="783"/>
      <c r="DB109" s="783"/>
      <c r="DC109" s="783"/>
      <c r="DD109" s="783"/>
      <c r="DE109" s="783"/>
      <c r="DF109" s="783"/>
      <c r="DG109" s="783"/>
      <c r="DH109" s="783"/>
      <c r="DI109" s="783"/>
      <c r="DJ109" s="783"/>
      <c r="DK109" s="783"/>
      <c r="DL109" s="783"/>
      <c r="DM109" s="783"/>
      <c r="DN109" s="783"/>
      <c r="DO109" s="783"/>
      <c r="DP109" s="783"/>
      <c r="DQ109" s="783"/>
      <c r="DR109" s="783"/>
      <c r="DS109" s="783"/>
      <c r="DT109" s="783"/>
      <c r="DU109" s="783"/>
      <c r="DV109" s="783"/>
      <c r="DW109" s="783"/>
      <c r="DX109" s="783"/>
      <c r="DY109" s="783"/>
      <c r="DZ109" s="783"/>
      <c r="EA109" s="783"/>
      <c r="EB109" s="783"/>
      <c r="EC109" s="783"/>
      <c r="ED109" s="783"/>
      <c r="EE109" s="783"/>
      <c r="EF109" s="783"/>
      <c r="EG109" s="783"/>
      <c r="EH109" s="783"/>
      <c r="EI109" s="783"/>
      <c r="EJ109" s="783"/>
      <c r="EK109" s="783"/>
      <c r="EL109" s="783"/>
      <c r="EM109" s="783"/>
      <c r="EN109" s="783"/>
      <c r="EO109" s="783"/>
      <c r="EP109" s="783"/>
      <c r="EQ109" s="783"/>
      <c r="ER109" s="783"/>
      <c r="ES109" s="783"/>
      <c r="ET109" s="783"/>
      <c r="EU109" s="783"/>
      <c r="EV109" s="783"/>
      <c r="EW109" s="783"/>
      <c r="EX109" s="783"/>
      <c r="EY109" s="783"/>
      <c r="EZ109" s="783"/>
      <c r="FA109" s="783"/>
      <c r="FB109" s="783"/>
      <c r="FC109" s="783"/>
      <c r="FD109" s="783"/>
      <c r="FE109" s="783"/>
      <c r="FF109" s="783"/>
      <c r="FG109" s="783"/>
      <c r="FH109" s="783"/>
      <c r="FI109" s="783"/>
      <c r="FJ109" s="783"/>
      <c r="FK109" s="783"/>
      <c r="FL109" s="783"/>
      <c r="FM109" s="783"/>
      <c r="FN109" s="783"/>
      <c r="FO109" s="783"/>
      <c r="FP109" s="783"/>
      <c r="FQ109" s="783"/>
      <c r="FR109" s="783"/>
      <c r="FS109" s="783"/>
      <c r="FT109" s="783"/>
      <c r="FU109" s="783"/>
      <c r="FV109" s="784"/>
      <c r="FW109" s="785"/>
    </row>
    <row r="110" spans="1:179" ht="24.75" customHeight="1">
      <c r="F110" s="745">
        <v>1</v>
      </c>
      <c r="G110" s="568"/>
      <c r="H110" s="565"/>
      <c r="I110" s="255"/>
      <c r="J110" s="786"/>
      <c r="K110" s="786"/>
      <c r="L110" s="786"/>
      <c r="M110" s="786"/>
      <c r="N110" s="786"/>
      <c r="O110" s="257"/>
      <c r="P110" s="257"/>
      <c r="Q110" s="257"/>
      <c r="R110" s="257"/>
      <c r="S110" s="257"/>
      <c r="T110" s="257"/>
      <c r="U110" s="257"/>
      <c r="V110" s="257"/>
      <c r="W110" s="257"/>
      <c r="X110" s="257"/>
      <c r="Y110" s="257"/>
      <c r="Z110" s="257"/>
      <c r="AA110" s="257"/>
      <c r="AB110" s="257"/>
      <c r="AC110" s="786"/>
      <c r="AD110" s="786"/>
      <c r="AE110" s="786"/>
      <c r="AF110" s="786"/>
      <c r="AG110" s="786"/>
      <c r="AH110" s="786"/>
      <c r="AI110" s="786"/>
      <c r="AJ110" s="786"/>
      <c r="AK110" s="786"/>
      <c r="AL110" s="786"/>
      <c r="AM110" s="786"/>
      <c r="AN110" s="786"/>
      <c r="AO110" s="786"/>
      <c r="AP110" s="786"/>
      <c r="AQ110" s="786"/>
      <c r="AR110" s="786"/>
      <c r="AS110" s="786"/>
      <c r="AT110" s="786"/>
      <c r="AU110" s="786"/>
      <c r="AV110" s="786"/>
      <c r="AW110" s="786"/>
      <c r="AX110" s="786"/>
      <c r="AY110" s="786"/>
      <c r="AZ110" s="786"/>
      <c r="BA110" s="786"/>
      <c r="BB110" s="786"/>
      <c r="BC110" s="786"/>
      <c r="BD110" s="786"/>
      <c r="BE110" s="786"/>
      <c r="BF110" s="786"/>
      <c r="BG110" s="786"/>
      <c r="BH110" s="786"/>
      <c r="BI110" s="786"/>
      <c r="BJ110" s="786"/>
      <c r="BK110" s="786"/>
      <c r="BL110" s="786"/>
      <c r="BM110" s="786"/>
      <c r="BN110" s="786"/>
      <c r="BO110" s="786"/>
      <c r="BP110" s="786"/>
      <c r="BQ110" s="786"/>
      <c r="BR110" s="786"/>
      <c r="BS110" s="786"/>
      <c r="BT110" s="257"/>
      <c r="BU110" s="257"/>
      <c r="BV110" s="257"/>
      <c r="BW110" s="257"/>
      <c r="BX110" s="257"/>
      <c r="BY110" s="257"/>
      <c r="BZ110" s="257"/>
      <c r="CA110" s="257"/>
      <c r="CB110" s="257"/>
      <c r="CC110" s="257"/>
      <c r="CD110" s="257"/>
      <c r="CE110" s="257"/>
      <c r="CF110" s="257"/>
      <c r="CG110" s="257"/>
      <c r="CH110" s="257"/>
      <c r="CI110" s="257"/>
      <c r="CJ110" s="257"/>
      <c r="CK110" s="257"/>
      <c r="CL110" s="786"/>
      <c r="CM110" s="786"/>
      <c r="CN110" s="786"/>
      <c r="CO110" s="786"/>
      <c r="CP110" s="786"/>
      <c r="CQ110" s="786"/>
      <c r="CR110" s="786"/>
      <c r="CS110" s="786"/>
      <c r="CT110" s="786"/>
      <c r="CU110" s="786"/>
      <c r="CV110" s="786"/>
      <c r="CW110" s="786"/>
      <c r="CX110" s="786"/>
      <c r="CY110" s="257"/>
      <c r="CZ110" s="257"/>
      <c r="DA110" s="257"/>
      <c r="DB110" s="257"/>
      <c r="DC110" s="257"/>
      <c r="DD110" s="257"/>
      <c r="DE110" s="257"/>
      <c r="DF110" s="257"/>
      <c r="DG110" s="257"/>
      <c r="DH110" s="257"/>
      <c r="DI110" s="257"/>
      <c r="DJ110" s="257"/>
      <c r="DK110" s="786"/>
      <c r="DL110" s="786"/>
      <c r="DM110" s="786"/>
      <c r="DN110" s="786"/>
      <c r="DO110" s="786"/>
      <c r="DP110" s="786"/>
      <c r="DQ110" s="786"/>
      <c r="DR110" s="786"/>
      <c r="DS110" s="786"/>
      <c r="DT110" s="786"/>
      <c r="DU110" s="786"/>
      <c r="DV110" s="786"/>
      <c r="DW110" s="786"/>
      <c r="DX110" s="786"/>
      <c r="DY110" s="786"/>
      <c r="DZ110" s="786"/>
      <c r="EA110" s="786"/>
      <c r="EB110" s="786"/>
      <c r="EC110" s="786"/>
      <c r="ED110" s="786"/>
      <c r="EE110" s="786"/>
      <c r="EF110" s="786"/>
      <c r="EG110" s="786"/>
      <c r="EH110" s="786"/>
      <c r="EI110" s="786"/>
      <c r="EJ110" s="786"/>
      <c r="EK110" s="786"/>
      <c r="EL110" s="786"/>
      <c r="EM110" s="786"/>
      <c r="EN110" s="786"/>
      <c r="EO110" s="786"/>
      <c r="EP110" s="786"/>
      <c r="EQ110" s="786"/>
      <c r="ER110" s="786"/>
      <c r="ES110" s="786"/>
      <c r="ET110" s="786"/>
      <c r="EU110" s="786"/>
      <c r="EV110" s="786"/>
      <c r="EW110" s="786"/>
      <c r="EX110" s="786"/>
      <c r="EY110" s="786"/>
      <c r="EZ110" s="786"/>
      <c r="FA110" s="786"/>
      <c r="FB110" s="786"/>
      <c r="FC110" s="786"/>
      <c r="FD110" s="786"/>
      <c r="FE110" s="786"/>
      <c r="FF110" s="786"/>
      <c r="FG110" s="786"/>
      <c r="FH110" s="786"/>
      <c r="FI110" s="786"/>
      <c r="FJ110" s="786"/>
      <c r="FK110" s="786"/>
      <c r="FL110" s="786"/>
      <c r="FM110" s="786"/>
      <c r="FN110" s="786"/>
      <c r="FO110" s="786"/>
      <c r="FP110" s="786"/>
      <c r="FQ110" s="786"/>
      <c r="FR110" s="786"/>
      <c r="FS110" s="786"/>
      <c r="FT110" s="786"/>
      <c r="FU110" s="786"/>
      <c r="FV110" s="786"/>
      <c r="FW110" s="786"/>
    </row>
    <row r="111" spans="1:179" ht="12" customHeight="1">
      <c r="F111" s="258"/>
      <c r="G111" s="224" t="s">
        <v>1291</v>
      </c>
      <c r="H111" s="224"/>
      <c r="I111" s="224"/>
      <c r="J111" s="224"/>
      <c r="K111" s="224"/>
      <c r="L111" s="224"/>
      <c r="M111" s="224"/>
      <c r="N111" s="224"/>
      <c r="O111" s="224"/>
      <c r="P111" s="224"/>
      <c r="Q111" s="224"/>
      <c r="R111" s="224"/>
      <c r="S111" s="224"/>
      <c r="T111" s="224"/>
      <c r="U111" s="224"/>
      <c r="V111" s="224"/>
      <c r="W111" s="224"/>
      <c r="X111" s="224"/>
      <c r="Y111" s="224"/>
      <c r="Z111" s="224"/>
      <c r="AA111" s="224"/>
      <c r="AB111" s="224"/>
      <c r="AC111" s="224"/>
      <c r="AD111" s="224"/>
      <c r="AE111" s="224"/>
      <c r="AF111" s="224"/>
      <c r="AG111" s="224"/>
      <c r="AH111" s="224"/>
      <c r="AI111" s="224"/>
      <c r="AJ111" s="224"/>
      <c r="AK111" s="224"/>
      <c r="AL111" s="224"/>
      <c r="AM111" s="224"/>
      <c r="AN111" s="224"/>
      <c r="AO111" s="224"/>
      <c r="AP111" s="224"/>
      <c r="AQ111" s="224"/>
      <c r="AR111" s="224"/>
      <c r="AS111" s="224"/>
      <c r="AT111" s="224"/>
      <c r="AU111" s="224"/>
      <c r="AV111" s="224"/>
      <c r="AW111" s="224"/>
      <c r="AX111" s="224"/>
      <c r="AY111" s="224"/>
      <c r="AZ111" s="224"/>
      <c r="BA111" s="224"/>
      <c r="BB111" s="224"/>
      <c r="BC111" s="224"/>
      <c r="BD111" s="224"/>
      <c r="BE111" s="224"/>
      <c r="BF111" s="224"/>
      <c r="BG111" s="224"/>
      <c r="BH111" s="224"/>
      <c r="BI111" s="224"/>
      <c r="BJ111" s="224"/>
      <c r="BK111" s="224"/>
      <c r="BL111" s="224"/>
      <c r="BM111" s="224"/>
      <c r="BN111" s="224"/>
      <c r="BO111" s="224"/>
      <c r="BP111" s="224"/>
      <c r="BQ111" s="224"/>
      <c r="BR111" s="224"/>
      <c r="BS111" s="224"/>
      <c r="BT111" s="224"/>
      <c r="BU111" s="224"/>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c r="DD111" s="224"/>
      <c r="DE111" s="224"/>
      <c r="DF111" s="224"/>
      <c r="DG111" s="224"/>
      <c r="DH111" s="224"/>
      <c r="DI111" s="224"/>
      <c r="DJ111" s="224"/>
      <c r="DK111" s="224"/>
      <c r="DL111" s="224"/>
      <c r="DM111" s="224"/>
      <c r="DN111" s="224"/>
      <c r="DO111" s="224"/>
      <c r="DP111" s="224"/>
      <c r="DQ111" s="224"/>
      <c r="DR111" s="224"/>
      <c r="DS111" s="224"/>
      <c r="DT111" s="224"/>
      <c r="DU111" s="224"/>
      <c r="DV111" s="224"/>
      <c r="DW111" s="224"/>
      <c r="DX111" s="224"/>
      <c r="DY111" s="224"/>
      <c r="DZ111" s="224"/>
      <c r="EA111" s="224"/>
      <c r="EB111" s="224"/>
      <c r="EC111" s="224"/>
      <c r="ED111" s="224"/>
      <c r="EE111" s="224"/>
      <c r="EF111" s="224"/>
      <c r="EG111" s="224"/>
      <c r="EH111" s="224"/>
      <c r="EI111" s="224"/>
      <c r="EJ111" s="224"/>
      <c r="EK111" s="224"/>
      <c r="EL111" s="224"/>
      <c r="EM111" s="224"/>
      <c r="EN111" s="224"/>
      <c r="EO111" s="224"/>
      <c r="EP111" s="224"/>
      <c r="EQ111" s="224"/>
      <c r="ER111" s="224"/>
      <c r="ES111" s="224"/>
      <c r="ET111" s="224"/>
      <c r="EU111" s="22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24"/>
      <c r="FS111" s="224"/>
      <c r="FT111" s="224"/>
      <c r="FU111" s="224"/>
      <c r="FV111" s="224"/>
      <c r="FW111" s="259"/>
    </row>
    <row r="113" spans="1:34" ht="11.25" customHeight="1">
      <c r="A113" s="193" t="s">
        <v>2070</v>
      </c>
    </row>
    <row r="115" spans="1:34" ht="15" hidden="1" customHeight="1">
      <c r="D115" s="1286" t="s">
        <v>114</v>
      </c>
      <c r="E115" s="1281" t="s">
        <v>110</v>
      </c>
      <c r="F115" s="1282"/>
      <c r="G115" s="1283"/>
      <c r="H115" s="1284" t="str">
        <f>IF(A115="","",INDEX(DIFFERENTIATION_UNMERGE_VD,MATCH(A115,DIFFERENTIATION_ID_DIFF,0)))</f>
        <v/>
      </c>
      <c r="I115" s="1284"/>
      <c r="J115" s="1284"/>
      <c r="K115" s="1284"/>
      <c r="L115" s="1284"/>
      <c r="M115" s="1284"/>
      <c r="N115" s="1284"/>
      <c r="O115" s="1284"/>
      <c r="P115" s="1284"/>
      <c r="Q115" s="1284"/>
      <c r="R115" s="1284"/>
      <c r="S115" s="787"/>
      <c r="T115" s="260"/>
      <c r="AC115" s="1031"/>
      <c r="AE115" s="1029" t="s">
        <v>22</v>
      </c>
      <c r="AG115" s="788" t="s">
        <v>627</v>
      </c>
      <c r="AH115" s="789">
        <v>3</v>
      </c>
    </row>
    <row r="116" spans="1:34" ht="15" hidden="1" customHeight="1">
      <c r="D116" s="1287"/>
      <c r="E116" s="1281" t="s">
        <v>575</v>
      </c>
      <c r="F116" s="1282"/>
      <c r="G116" s="1283"/>
      <c r="H116" s="1284" t="str">
        <f>IF(A115="","",INDEX(DIFFERENTIATION_UNMERGE_AREA,MATCH(A115,DIFFERENTIATION_ID_DIFF,0)))</f>
        <v/>
      </c>
      <c r="I116" s="1284"/>
      <c r="J116" s="1284"/>
      <c r="K116" s="1284"/>
      <c r="L116" s="1284"/>
      <c r="M116" s="1284"/>
      <c r="N116" s="1284"/>
      <c r="O116" s="1284"/>
      <c r="P116" s="1284"/>
      <c r="Q116" s="1284"/>
      <c r="R116" s="1284"/>
      <c r="S116" s="787"/>
      <c r="T116" s="260"/>
      <c r="AC116" s="1031"/>
    </row>
    <row r="117" spans="1:34" ht="15" hidden="1" customHeight="1">
      <c r="D117" s="1287"/>
      <c r="E117" s="1281" t="s">
        <v>576</v>
      </c>
      <c r="F117" s="1282"/>
      <c r="G117" s="1283"/>
      <c r="H117" s="1284" t="str">
        <f>IF(A115="","",INDEX(DIFFERENTIATION_UNMERGE_SYSTEM,MATCH(A115,DIFFERENTIATION_ID_DIFF,0)))</f>
        <v/>
      </c>
      <c r="I117" s="1284"/>
      <c r="J117" s="1284"/>
      <c r="K117" s="1284"/>
      <c r="L117" s="1284"/>
      <c r="M117" s="1284"/>
      <c r="N117" s="1284"/>
      <c r="O117" s="1284"/>
      <c r="P117" s="1284"/>
      <c r="Q117" s="1284"/>
      <c r="R117" s="1284"/>
      <c r="S117" s="787"/>
      <c r="T117" s="260"/>
      <c r="AC117" s="1031"/>
    </row>
    <row r="118" spans="1:34" ht="24.75" hidden="1" customHeight="1">
      <c r="D118" s="1287"/>
      <c r="E118" s="1285" t="s">
        <v>628</v>
      </c>
      <c r="F118" s="1285"/>
      <c r="G118" s="1285"/>
      <c r="H118" s="1285"/>
      <c r="I118" s="1285"/>
      <c r="J118" s="1285"/>
      <c r="K118" s="1285"/>
      <c r="L118" s="1285"/>
      <c r="M118" s="1285"/>
      <c r="N118" s="1285"/>
      <c r="O118" s="1285"/>
      <c r="P118" s="1285"/>
      <c r="Q118" s="262">
        <f>SUMIF(T119:T120,"i",Q119:Q120)</f>
        <v>0</v>
      </c>
      <c r="R118" s="263"/>
      <c r="S118" s="619" t="s">
        <v>629</v>
      </c>
      <c r="T118" s="260" t="s">
        <v>630</v>
      </c>
      <c r="U118" s="1193">
        <v>1</v>
      </c>
      <c r="V118" s="1193" t="s">
        <v>586</v>
      </c>
      <c r="AC118" s="1031"/>
    </row>
    <row r="119" spans="1:34" ht="11.25" hidden="1" customHeight="1">
      <c r="D119" s="1287"/>
      <c r="E119" s="635"/>
      <c r="F119" s="635">
        <v>0</v>
      </c>
      <c r="G119" s="635"/>
      <c r="H119" s="635"/>
      <c r="I119" s="635"/>
      <c r="J119" s="635"/>
      <c r="K119" s="635"/>
      <c r="L119" s="635"/>
      <c r="M119" s="635"/>
      <c r="N119" s="635"/>
      <c r="O119" s="635"/>
      <c r="P119" s="635"/>
      <c r="Q119" s="635"/>
      <c r="R119" s="635"/>
      <c r="S119" s="634"/>
      <c r="T119" s="791"/>
      <c r="U119" s="1031"/>
      <c r="V119" s="1031"/>
      <c r="AC119" s="1031"/>
    </row>
    <row r="120" spans="1:34" ht="11.25" hidden="1" customHeight="1">
      <c r="D120" s="1287"/>
      <c r="E120" s="264" t="s">
        <v>22</v>
      </c>
      <c r="F120" s="44" t="s">
        <v>22</v>
      </c>
      <c r="G120" s="44" t="s">
        <v>633</v>
      </c>
      <c r="H120" s="49" t="s">
        <v>22</v>
      </c>
      <c r="I120" s="49"/>
      <c r="J120" s="49"/>
      <c r="K120" s="49"/>
      <c r="L120" s="49"/>
      <c r="M120" s="49"/>
      <c r="N120" s="49"/>
      <c r="O120" s="49"/>
      <c r="P120" s="49"/>
      <c r="Q120" s="49"/>
      <c r="R120" s="59"/>
      <c r="S120" s="792"/>
      <c r="T120" s="791"/>
      <c r="U120" s="1031"/>
      <c r="V120" s="1031"/>
      <c r="AC120" s="1031"/>
    </row>
    <row r="121" spans="1:34" ht="24.75" hidden="1" customHeight="1">
      <c r="D121" s="1287"/>
      <c r="E121" s="1285" t="s">
        <v>631</v>
      </c>
      <c r="F121" s="1285"/>
      <c r="G121" s="1285"/>
      <c r="H121" s="1285"/>
      <c r="I121" s="1285"/>
      <c r="J121" s="1285"/>
      <c r="K121" s="1285"/>
      <c r="L121" s="1285"/>
      <c r="M121" s="1285"/>
      <c r="N121" s="1285"/>
      <c r="O121" s="1285"/>
      <c r="P121" s="1285"/>
      <c r="Q121" s="262">
        <f>SUMIF(T122:T123,"i",Q122:Q123)</f>
        <v>0</v>
      </c>
      <c r="R121" s="263"/>
      <c r="S121" s="619" t="s">
        <v>632</v>
      </c>
      <c r="T121" s="260" t="s">
        <v>630</v>
      </c>
      <c r="U121" s="1193">
        <v>1</v>
      </c>
      <c r="V121" s="1193" t="s">
        <v>586</v>
      </c>
    </row>
    <row r="122" spans="1:34" ht="11.25" hidden="1" customHeight="1">
      <c r="D122" s="1287"/>
      <c r="E122" s="635"/>
      <c r="F122" s="635">
        <v>0</v>
      </c>
      <c r="G122" s="635"/>
      <c r="H122" s="635"/>
      <c r="I122" s="635"/>
      <c r="J122" s="635"/>
      <c r="K122" s="635"/>
      <c r="L122" s="635"/>
      <c r="M122" s="635"/>
      <c r="N122" s="635"/>
      <c r="O122" s="635"/>
      <c r="P122" s="635"/>
      <c r="Q122" s="635"/>
      <c r="R122" s="635"/>
      <c r="S122" s="634"/>
      <c r="T122" s="791"/>
      <c r="U122" s="1031"/>
      <c r="V122" s="1031"/>
    </row>
    <row r="123" spans="1:34" ht="11.25" hidden="1" customHeight="1">
      <c r="D123" s="1288"/>
      <c r="E123" s="264" t="s">
        <v>22</v>
      </c>
      <c r="F123" s="44" t="s">
        <v>22</v>
      </c>
      <c r="G123" s="44" t="s">
        <v>633</v>
      </c>
      <c r="H123" s="49" t="s">
        <v>22</v>
      </c>
      <c r="I123" s="49"/>
      <c r="J123" s="49"/>
      <c r="K123" s="49"/>
      <c r="L123" s="49"/>
      <c r="M123" s="49"/>
      <c r="N123" s="49"/>
      <c r="O123" s="49"/>
      <c r="P123" s="49"/>
      <c r="Q123" s="49"/>
      <c r="R123" s="59"/>
      <c r="S123" s="792"/>
      <c r="T123" s="791"/>
      <c r="U123" s="1031"/>
      <c r="V123" s="1031"/>
    </row>
    <row r="125" spans="1:34" ht="11.25" customHeight="1">
      <c r="A125" s="193" t="s">
        <v>2071</v>
      </c>
    </row>
    <row r="127" spans="1:34" ht="15" customHeight="1">
      <c r="D127" s="1286" t="s">
        <v>114</v>
      </c>
      <c r="E127" s="1281" t="s">
        <v>110</v>
      </c>
      <c r="F127" s="1282"/>
      <c r="G127" s="1283"/>
      <c r="H127" s="1284" t="str">
        <f>IF(A127="","",INDEX(DIFFERENTIATION_UNMERGE_VD,MATCH(A127,DIFFERENTIATION_ID_DIFF,0)))</f>
        <v/>
      </c>
      <c r="I127" s="1284"/>
      <c r="J127" s="1284"/>
      <c r="K127" s="1284"/>
      <c r="L127" s="1284"/>
      <c r="M127" s="1284"/>
      <c r="N127" s="1284"/>
      <c r="O127" s="1284"/>
      <c r="P127" s="1284"/>
      <c r="Q127" s="1284"/>
      <c r="R127" s="1284"/>
      <c r="S127" s="787"/>
      <c r="T127" s="260"/>
      <c r="AC127" s="1031"/>
      <c r="AE127" s="1029" t="s">
        <v>22</v>
      </c>
      <c r="AG127" s="788" t="s">
        <v>627</v>
      </c>
      <c r="AH127" s="789">
        <v>3</v>
      </c>
    </row>
    <row r="128" spans="1:34" ht="15" customHeight="1">
      <c r="D128" s="1287"/>
      <c r="E128" s="1281" t="s">
        <v>575</v>
      </c>
      <c r="F128" s="1282"/>
      <c r="G128" s="1283"/>
      <c r="H128" s="1284" t="str">
        <f>IF(A127="","",INDEX(DIFFERENTIATION_UNMERGE_AREA,MATCH(A127,DIFFERENTIATION_ID_DIFF,0)))</f>
        <v/>
      </c>
      <c r="I128" s="1284"/>
      <c r="J128" s="1284"/>
      <c r="K128" s="1284"/>
      <c r="L128" s="1284"/>
      <c r="M128" s="1284"/>
      <c r="N128" s="1284"/>
      <c r="O128" s="1284"/>
      <c r="P128" s="1284"/>
      <c r="Q128" s="1284"/>
      <c r="R128" s="1284"/>
      <c r="S128" s="787"/>
      <c r="T128" s="260"/>
      <c r="AC128" s="1031"/>
    </row>
    <row r="129" spans="1:29" ht="15" customHeight="1">
      <c r="D129" s="1287"/>
      <c r="E129" s="1281" t="s">
        <v>576</v>
      </c>
      <c r="F129" s="1282"/>
      <c r="G129" s="1283"/>
      <c r="H129" s="1284" t="str">
        <f>IF(A127="","",INDEX(DIFFERENTIATION_UNMERGE_SYSTEM,MATCH(A127,DIFFERENTIATION_ID_DIFF,0)))</f>
        <v/>
      </c>
      <c r="I129" s="1284"/>
      <c r="J129" s="1284"/>
      <c r="K129" s="1284"/>
      <c r="L129" s="1284"/>
      <c r="M129" s="1284"/>
      <c r="N129" s="1284"/>
      <c r="O129" s="1284"/>
      <c r="P129" s="1284"/>
      <c r="Q129" s="1284"/>
      <c r="R129" s="1284"/>
      <c r="S129" s="787"/>
      <c r="T129" s="260"/>
      <c r="AC129" s="1031"/>
    </row>
    <row r="130" spans="1:29" ht="24.75" customHeight="1">
      <c r="D130" s="1287"/>
      <c r="E130" s="1285" t="s">
        <v>628</v>
      </c>
      <c r="F130" s="1285"/>
      <c r="G130" s="1285"/>
      <c r="H130" s="1285"/>
      <c r="I130" s="1285"/>
      <c r="J130" s="1285"/>
      <c r="K130" s="1285"/>
      <c r="L130" s="1285"/>
      <c r="M130" s="1285"/>
      <c r="N130" s="1285"/>
      <c r="O130" s="1285"/>
      <c r="P130" s="1285"/>
      <c r="Q130" s="262">
        <f>SUMIF(T131:T132,"i",Q131:Q132)</f>
        <v>0</v>
      </c>
      <c r="R130" s="263"/>
      <c r="S130" s="619" t="s">
        <v>629</v>
      </c>
      <c r="T130" s="260" t="s">
        <v>630</v>
      </c>
      <c r="U130" s="1193">
        <v>1</v>
      </c>
      <c r="V130" s="1193" t="s">
        <v>586</v>
      </c>
      <c r="AC130" s="1031"/>
    </row>
    <row r="131" spans="1:29" ht="11.25" hidden="1" customHeight="1">
      <c r="D131" s="1287"/>
      <c r="E131" s="635"/>
      <c r="F131" s="635">
        <v>0</v>
      </c>
      <c r="G131" s="635"/>
      <c r="H131" s="635"/>
      <c r="I131" s="635"/>
      <c r="J131" s="635"/>
      <c r="K131" s="635"/>
      <c r="L131" s="635"/>
      <c r="M131" s="635"/>
      <c r="N131" s="635"/>
      <c r="O131" s="635"/>
      <c r="P131" s="635"/>
      <c r="Q131" s="635"/>
      <c r="R131" s="635"/>
      <c r="S131" s="634"/>
      <c r="T131" s="791"/>
      <c r="U131" s="1031"/>
      <c r="V131" s="1031"/>
      <c r="AC131" s="1031"/>
    </row>
    <row r="132" spans="1:29" ht="11.25" customHeight="1">
      <c r="D132" s="1287"/>
      <c r="E132" s="264" t="s">
        <v>22</v>
      </c>
      <c r="F132" s="44" t="s">
        <v>22</v>
      </c>
      <c r="G132" s="44" t="s">
        <v>633</v>
      </c>
      <c r="H132" s="49" t="s">
        <v>22</v>
      </c>
      <c r="I132" s="49"/>
      <c r="J132" s="49"/>
      <c r="K132" s="49"/>
      <c r="L132" s="49"/>
      <c r="M132" s="49"/>
      <c r="N132" s="49"/>
      <c r="O132" s="49"/>
      <c r="P132" s="49"/>
      <c r="Q132" s="49"/>
      <c r="R132" s="59"/>
      <c r="S132" s="792"/>
      <c r="T132" s="791"/>
      <c r="U132" s="1031"/>
      <c r="V132" s="1031"/>
      <c r="AC132" s="1031"/>
    </row>
    <row r="133" spans="1:29" ht="5.25" hidden="1" customHeight="1">
      <c r="D133" s="1287"/>
      <c r="E133" s="793"/>
      <c r="F133" s="793"/>
      <c r="G133" s="793"/>
      <c r="H133" s="793"/>
      <c r="I133" s="793"/>
      <c r="J133" s="793"/>
      <c r="K133" s="793"/>
      <c r="L133" s="793"/>
      <c r="M133" s="793"/>
      <c r="N133" s="793"/>
      <c r="O133" s="793"/>
      <c r="P133" s="793"/>
      <c r="Q133" s="265"/>
      <c r="R133" s="266"/>
      <c r="S133" s="635"/>
      <c r="T133" s="260" t="s">
        <v>630</v>
      </c>
      <c r="U133" s="1193">
        <v>1</v>
      </c>
      <c r="V133" s="1193" t="s">
        <v>586</v>
      </c>
    </row>
    <row r="134" spans="1:29" ht="5.25" hidden="1" customHeight="1">
      <c r="D134" s="1287"/>
      <c r="E134" s="635"/>
      <c r="F134" s="635"/>
      <c r="G134" s="635"/>
      <c r="H134" s="635"/>
      <c r="I134" s="635"/>
      <c r="J134" s="635"/>
      <c r="K134" s="635"/>
      <c r="L134" s="635"/>
      <c r="M134" s="635"/>
      <c r="N134" s="635"/>
      <c r="O134" s="635"/>
      <c r="P134" s="635"/>
      <c r="Q134" s="635"/>
      <c r="R134" s="635"/>
      <c r="S134" s="634"/>
      <c r="T134" s="791"/>
      <c r="U134" s="1031"/>
      <c r="V134" s="1031"/>
    </row>
    <row r="135" spans="1:29" ht="5.25" hidden="1" customHeight="1">
      <c r="D135" s="1288"/>
      <c r="E135" s="267"/>
      <c r="F135" s="268"/>
      <c r="G135" s="268"/>
      <c r="H135" s="269"/>
      <c r="I135" s="269"/>
      <c r="J135" s="269"/>
      <c r="K135" s="269"/>
      <c r="L135" s="269"/>
      <c r="M135" s="269"/>
      <c r="N135" s="269"/>
      <c r="O135" s="269"/>
      <c r="P135" s="269"/>
      <c r="Q135" s="269"/>
      <c r="R135" s="270"/>
      <c r="S135" s="794"/>
      <c r="T135" s="791"/>
      <c r="U135" s="1031"/>
      <c r="V135" s="1031"/>
    </row>
    <row r="136" spans="1:29" ht="17.25" customHeight="1">
      <c r="D136" s="271"/>
    </row>
    <row r="137" spans="1:29" ht="11.25" customHeight="1">
      <c r="A137" s="193" t="s">
        <v>2072</v>
      </c>
    </row>
    <row r="139" spans="1:29" ht="45" customHeight="1">
      <c r="E139" s="1453"/>
      <c r="F139" s="1060" t="s">
        <v>114</v>
      </c>
      <c r="G139" s="1456" t="s">
        <v>22</v>
      </c>
      <c r="H139" s="795"/>
      <c r="I139" s="272" t="s">
        <v>114</v>
      </c>
      <c r="J139" s="796" t="s">
        <v>2073</v>
      </c>
      <c r="K139" s="65" t="s">
        <v>557</v>
      </c>
      <c r="L139" s="1167" t="s">
        <v>557</v>
      </c>
      <c r="M139" s="1107"/>
      <c r="N139" s="65" t="s">
        <v>557</v>
      </c>
      <c r="O139" s="65" t="s">
        <v>557</v>
      </c>
      <c r="P139" s="65" t="s">
        <v>557</v>
      </c>
      <c r="Q139" s="273">
        <f>SUM(Q140:Q142)</f>
        <v>0</v>
      </c>
      <c r="R139" s="273">
        <f>IF(R136=0,0,(Q136/R136)*100)</f>
        <v>0</v>
      </c>
      <c r="S139" s="1129"/>
      <c r="T139" s="260" t="s">
        <v>630</v>
      </c>
    </row>
    <row r="140" spans="1:29" ht="11.25" customHeight="1">
      <c r="E140" s="1454"/>
      <c r="F140" s="1060"/>
      <c r="G140" s="1456"/>
      <c r="H140" s="1066"/>
      <c r="I140" s="1327" t="s">
        <v>1196</v>
      </c>
      <c r="J140" s="1451"/>
      <c r="K140" s="1452"/>
      <c r="L140" s="798"/>
      <c r="M140" s="274" t="s">
        <v>114</v>
      </c>
      <c r="N140" s="95"/>
      <c r="O140" s="115"/>
      <c r="P140" s="204"/>
      <c r="Q140" s="115"/>
      <c r="R140" s="275">
        <v>0</v>
      </c>
      <c r="S140" s="1129"/>
      <c r="T140" s="260"/>
    </row>
    <row r="141" spans="1:29" ht="11.25" customHeight="1">
      <c r="E141" s="1454"/>
      <c r="F141" s="1060"/>
      <c r="G141" s="1456"/>
      <c r="H141" s="1066"/>
      <c r="I141" s="1327"/>
      <c r="J141" s="1451"/>
      <c r="K141" s="1433"/>
      <c r="L141" s="276"/>
      <c r="M141" s="277"/>
      <c r="N141" s="49" t="s">
        <v>2074</v>
      </c>
      <c r="O141" s="49"/>
      <c r="P141" s="49"/>
      <c r="Q141" s="49"/>
      <c r="R141" s="59"/>
      <c r="S141" s="1129"/>
      <c r="T141" s="260"/>
    </row>
    <row r="142" spans="1:29" ht="11.25" customHeight="1">
      <c r="E142" s="1455"/>
      <c r="F142" s="1060"/>
      <c r="G142" s="1457"/>
      <c r="H142" s="276" t="s">
        <v>22</v>
      </c>
      <c r="I142" s="277"/>
      <c r="J142" s="49" t="s">
        <v>2075</v>
      </c>
      <c r="K142" s="49"/>
      <c r="L142" s="49"/>
      <c r="M142" s="49"/>
      <c r="N142" s="49"/>
      <c r="O142" s="49"/>
      <c r="P142" s="49"/>
      <c r="Q142" s="49"/>
      <c r="R142" s="59"/>
      <c r="S142" s="1129"/>
      <c r="T142" s="260"/>
    </row>
    <row r="147" spans="1:23" ht="11.25" customHeight="1">
      <c r="E147" s="226"/>
      <c r="F147" s="226"/>
      <c r="G147" s="226"/>
      <c r="H147" s="1066"/>
      <c r="I147" s="1327" t="s">
        <v>1196</v>
      </c>
      <c r="J147" s="1451"/>
      <c r="K147" s="1452"/>
      <c r="L147" s="798"/>
      <c r="M147" s="274" t="s">
        <v>114</v>
      </c>
      <c r="N147" s="95"/>
      <c r="O147" s="115"/>
      <c r="P147" s="204"/>
      <c r="Q147" s="115"/>
      <c r="R147" s="275">
        <v>0</v>
      </c>
      <c r="T147" s="260"/>
    </row>
    <row r="148" spans="1:23" ht="11.25" customHeight="1">
      <c r="E148" s="226"/>
      <c r="F148" s="226"/>
      <c r="G148" s="226"/>
      <c r="H148" s="1066"/>
      <c r="I148" s="1327"/>
      <c r="J148" s="1451"/>
      <c r="K148" s="1433"/>
      <c r="L148" s="276"/>
      <c r="M148" s="277"/>
      <c r="N148" s="49" t="s">
        <v>2074</v>
      </c>
      <c r="O148" s="49"/>
      <c r="P148" s="49"/>
      <c r="Q148" s="49"/>
      <c r="R148" s="59"/>
      <c r="T148" s="260"/>
    </row>
    <row r="150" spans="1:23" ht="11.25" customHeight="1">
      <c r="E150" s="278"/>
      <c r="H150" s="279"/>
      <c r="I150" s="226"/>
      <c r="J150" s="228"/>
      <c r="K150" s="228"/>
      <c r="L150" s="798"/>
      <c r="M150" s="274" t="s">
        <v>114</v>
      </c>
      <c r="N150" s="95"/>
      <c r="O150" s="115"/>
      <c r="P150" s="204"/>
      <c r="Q150" s="115"/>
      <c r="R150" s="275">
        <v>0</v>
      </c>
      <c r="T150" s="260"/>
    </row>
    <row r="152" spans="1:23" ht="17.25" customHeight="1">
      <c r="A152" s="193" t="s">
        <v>2076</v>
      </c>
    </row>
    <row r="153" spans="1:23" ht="17.25" customHeight="1"/>
    <row r="154" spans="1:23" ht="17.25" customHeight="1">
      <c r="D154" s="1447"/>
      <c r="E154" s="1098"/>
      <c r="F154" s="1100"/>
      <c r="G154" s="1448"/>
      <c r="H154" s="1447"/>
      <c r="I154" s="1447">
        <v>1</v>
      </c>
      <c r="J154" s="1432"/>
      <c r="K154" s="1134" t="s">
        <v>61</v>
      </c>
      <c r="L154" s="1060"/>
      <c r="M154" s="1060" t="s">
        <v>114</v>
      </c>
      <c r="N154" s="1434" t="str">
        <f>IF(Z154="","",INDEX(TERRITORY_MR_LIST,MATCH(Z154,TERRITORY_LIST_ID,0)))</f>
        <v/>
      </c>
      <c r="O154" s="1134" t="s">
        <v>61</v>
      </c>
      <c r="P154" s="1060"/>
      <c r="Q154" s="1060" t="s">
        <v>114</v>
      </c>
      <c r="R154" s="1433" t="s">
        <v>22</v>
      </c>
      <c r="S154" s="1058" t="s">
        <v>61</v>
      </c>
      <c r="T154" s="55"/>
      <c r="U154" s="55" t="s">
        <v>114</v>
      </c>
      <c r="V154" s="95" t="s">
        <v>22</v>
      </c>
      <c r="W154" s="106"/>
    </row>
    <row r="155" spans="1:23" ht="17.25" customHeight="1">
      <c r="D155" s="1447"/>
      <c r="E155" s="1098"/>
      <c r="F155" s="1101"/>
      <c r="G155" s="1448"/>
      <c r="H155" s="1447"/>
      <c r="I155" s="1447"/>
      <c r="J155" s="1432"/>
      <c r="K155" s="1135"/>
      <c r="L155" s="1060"/>
      <c r="M155" s="1060"/>
      <c r="N155" s="1434"/>
      <c r="O155" s="1135"/>
      <c r="P155" s="1060"/>
      <c r="Q155" s="1060"/>
      <c r="R155" s="1433"/>
      <c r="S155" s="1058"/>
      <c r="T155" s="799"/>
      <c r="U155" s="800"/>
      <c r="V155" s="800" t="s">
        <v>425</v>
      </c>
      <c r="W155" s="801"/>
    </row>
    <row r="156" spans="1:23" ht="17.25" customHeight="1">
      <c r="D156" s="1071"/>
      <c r="E156" s="1099"/>
      <c r="F156" s="1101"/>
      <c r="G156" s="1449"/>
      <c r="H156" s="1071"/>
      <c r="I156" s="1071"/>
      <c r="J156" s="1450"/>
      <c r="K156" s="1135"/>
      <c r="L156" s="1071"/>
      <c r="M156" s="1071"/>
      <c r="N156" s="1435"/>
      <c r="O156" s="1072"/>
      <c r="P156" s="799"/>
      <c r="Q156" s="800"/>
      <c r="R156" s="800" t="s">
        <v>426</v>
      </c>
      <c r="S156" s="802"/>
      <c r="T156" s="802"/>
      <c r="U156" s="802"/>
      <c r="V156" s="802"/>
      <c r="W156" s="801"/>
    </row>
    <row r="157" spans="1:23" ht="17.25" customHeight="1">
      <c r="D157" s="1071"/>
      <c r="E157" s="1099"/>
      <c r="F157" s="1101"/>
      <c r="G157" s="1449"/>
      <c r="H157" s="1071"/>
      <c r="I157" s="1071"/>
      <c r="J157" s="1450"/>
      <c r="K157" s="1072"/>
      <c r="L157" s="799"/>
      <c r="M157" s="800"/>
      <c r="N157" s="800" t="s">
        <v>427</v>
      </c>
      <c r="O157" s="800"/>
      <c r="P157" s="800"/>
      <c r="Q157" s="800"/>
      <c r="R157" s="800"/>
      <c r="S157" s="802"/>
      <c r="T157" s="802"/>
      <c r="U157" s="802"/>
      <c r="V157" s="802"/>
      <c r="W157" s="801"/>
    </row>
    <row r="158" spans="1:23" ht="17.25" customHeight="1">
      <c r="D158" s="1071"/>
      <c r="E158" s="1099"/>
      <c r="F158" s="1102"/>
      <c r="G158" s="1449"/>
      <c r="H158" s="799"/>
      <c r="I158" s="800"/>
      <c r="J158" s="800" t="s">
        <v>459</v>
      </c>
      <c r="K158" s="800"/>
      <c r="L158" s="800"/>
      <c r="M158" s="800"/>
      <c r="N158" s="800"/>
      <c r="O158" s="800"/>
      <c r="P158" s="800"/>
      <c r="Q158" s="800"/>
      <c r="R158" s="800"/>
      <c r="S158" s="802"/>
      <c r="T158" s="802"/>
      <c r="U158" s="802"/>
      <c r="V158" s="802"/>
      <c r="W158" s="801"/>
    </row>
    <row r="159" spans="1:23" ht="17.25" customHeight="1"/>
    <row r="160" spans="1:23" ht="17.25" customHeight="1">
      <c r="D160" s="226"/>
      <c r="E160" s="280"/>
      <c r="F160" s="607"/>
      <c r="G160" s="281"/>
      <c r="H160" s="1447"/>
      <c r="I160" s="1447">
        <v>1</v>
      </c>
      <c r="J160" s="1432"/>
      <c r="K160" s="1134" t="s">
        <v>61</v>
      </c>
      <c r="L160" s="1060"/>
      <c r="M160" s="1060" t="s">
        <v>114</v>
      </c>
      <c r="N160" s="1434" t="str">
        <f>IF(Z160="","",INDEX(TERRITORY_MR_LIST,MATCH(Z160,TERRITORY_LIST_ID,0)))</f>
        <v/>
      </c>
      <c r="O160" s="1134" t="s">
        <v>61</v>
      </c>
      <c r="P160" s="1060"/>
      <c r="Q160" s="1060" t="s">
        <v>114</v>
      </c>
      <c r="R160" s="1433" t="s">
        <v>22</v>
      </c>
      <c r="S160" s="1058" t="s">
        <v>61</v>
      </c>
      <c r="T160" s="55"/>
      <c r="U160" s="55" t="s">
        <v>114</v>
      </c>
      <c r="V160" s="95" t="s">
        <v>22</v>
      </c>
      <c r="W160" s="106"/>
    </row>
    <row r="161" spans="1:23" ht="17.25" customHeight="1">
      <c r="D161" s="226"/>
      <c r="E161" s="280"/>
      <c r="F161" s="607"/>
      <c r="G161" s="281"/>
      <c r="H161" s="1447"/>
      <c r="I161" s="1447"/>
      <c r="J161" s="1432"/>
      <c r="K161" s="1135"/>
      <c r="L161" s="1060"/>
      <c r="M161" s="1060"/>
      <c r="N161" s="1434"/>
      <c r="O161" s="1135"/>
      <c r="P161" s="1060"/>
      <c r="Q161" s="1060"/>
      <c r="R161" s="1433"/>
      <c r="S161" s="1058"/>
      <c r="T161" s="799"/>
      <c r="U161" s="800"/>
      <c r="V161" s="800" t="s">
        <v>425</v>
      </c>
      <c r="W161" s="801"/>
    </row>
    <row r="162" spans="1:23" ht="17.25" customHeight="1">
      <c r="D162" s="226"/>
      <c r="E162" s="280"/>
      <c r="F162" s="607"/>
      <c r="G162" s="281"/>
      <c r="H162" s="1071"/>
      <c r="I162" s="1071"/>
      <c r="J162" s="1450"/>
      <c r="K162" s="1135"/>
      <c r="L162" s="1071"/>
      <c r="M162" s="1071"/>
      <c r="N162" s="1435"/>
      <c r="O162" s="1072"/>
      <c r="P162" s="799"/>
      <c r="Q162" s="800"/>
      <c r="R162" s="800" t="s">
        <v>426</v>
      </c>
      <c r="S162" s="802"/>
      <c r="T162" s="802"/>
      <c r="U162" s="802"/>
      <c r="V162" s="802"/>
      <c r="W162" s="801"/>
    </row>
    <row r="163" spans="1:23" ht="17.25" customHeight="1">
      <c r="D163" s="226"/>
      <c r="E163" s="280"/>
      <c r="F163" s="607"/>
      <c r="G163" s="281"/>
      <c r="H163" s="1071"/>
      <c r="I163" s="1071"/>
      <c r="J163" s="1450"/>
      <c r="K163" s="1072"/>
      <c r="L163" s="799"/>
      <c r="M163" s="800"/>
      <c r="N163" s="800" t="s">
        <v>427</v>
      </c>
      <c r="O163" s="800"/>
      <c r="P163" s="800"/>
      <c r="Q163" s="800"/>
      <c r="R163" s="800"/>
      <c r="S163" s="802"/>
      <c r="T163" s="802"/>
      <c r="U163" s="802"/>
      <c r="V163" s="802"/>
      <c r="W163" s="801"/>
    </row>
    <row r="164" spans="1:23" ht="17.25" customHeight="1"/>
    <row r="165" spans="1:23" ht="17.25" customHeight="1">
      <c r="D165" s="226"/>
      <c r="E165" s="280"/>
      <c r="F165" s="607"/>
      <c r="G165" s="281"/>
      <c r="H165" s="226"/>
      <c r="I165" s="226"/>
      <c r="J165" s="282"/>
      <c r="K165" s="283"/>
      <c r="L165" s="1060"/>
      <c r="M165" s="1060" t="s">
        <v>114</v>
      </c>
      <c r="N165" s="1434" t="str">
        <f>IF(Z165="","",INDEX(TERRITORY_MR_LIST,MATCH(Z165,TERRITORY_LIST_ID,0)))</f>
        <v/>
      </c>
      <c r="O165" s="1134" t="s">
        <v>61</v>
      </c>
      <c r="P165" s="1060"/>
      <c r="Q165" s="1060" t="s">
        <v>114</v>
      </c>
      <c r="R165" s="1433" t="s">
        <v>22</v>
      </c>
      <c r="S165" s="1058" t="s">
        <v>61</v>
      </c>
      <c r="T165" s="55"/>
      <c r="U165" s="55" t="s">
        <v>114</v>
      </c>
      <c r="V165" s="95" t="s">
        <v>22</v>
      </c>
      <c r="W165" s="106"/>
    </row>
    <row r="166" spans="1:23" ht="17.25" customHeight="1">
      <c r="D166" s="226"/>
      <c r="E166" s="280"/>
      <c r="F166" s="607"/>
      <c r="G166" s="281"/>
      <c r="H166" s="226"/>
      <c r="I166" s="226"/>
      <c r="J166" s="282"/>
      <c r="K166" s="283"/>
      <c r="L166" s="1060"/>
      <c r="M166" s="1060"/>
      <c r="N166" s="1434"/>
      <c r="O166" s="1135"/>
      <c r="P166" s="1060"/>
      <c r="Q166" s="1060"/>
      <c r="R166" s="1433"/>
      <c r="S166" s="1058"/>
      <c r="T166" s="799"/>
      <c r="U166" s="800"/>
      <c r="V166" s="800" t="s">
        <v>425</v>
      </c>
      <c r="W166" s="801"/>
    </row>
    <row r="167" spans="1:23" ht="17.25" customHeight="1">
      <c r="D167" s="226"/>
      <c r="E167" s="280"/>
      <c r="F167" s="607"/>
      <c r="G167" s="281"/>
      <c r="H167" s="226"/>
      <c r="I167" s="226"/>
      <c r="J167" s="282"/>
      <c r="K167" s="283"/>
      <c r="L167" s="1071"/>
      <c r="M167" s="1071"/>
      <c r="N167" s="1435"/>
      <c r="O167" s="1072"/>
      <c r="P167" s="799"/>
      <c r="Q167" s="800"/>
      <c r="R167" s="800" t="s">
        <v>426</v>
      </c>
      <c r="S167" s="802"/>
      <c r="T167" s="802"/>
      <c r="U167" s="802"/>
      <c r="V167" s="802"/>
      <c r="W167" s="801"/>
    </row>
    <row r="168" spans="1:23" ht="17.25" customHeight="1"/>
    <row r="169" spans="1:23" ht="17.25" customHeight="1">
      <c r="D169" s="226"/>
      <c r="E169" s="280"/>
      <c r="F169" s="607"/>
      <c r="G169" s="281"/>
      <c r="H169" s="226"/>
      <c r="I169" s="226"/>
      <c r="J169" s="282"/>
      <c r="K169" s="283"/>
      <c r="L169" s="803"/>
      <c r="M169" s="803"/>
      <c r="N169" s="284"/>
      <c r="O169" s="84"/>
      <c r="P169" s="1060"/>
      <c r="Q169" s="1060" t="s">
        <v>114</v>
      </c>
      <c r="R169" s="1433" t="s">
        <v>22</v>
      </c>
      <c r="S169" s="1058" t="s">
        <v>61</v>
      </c>
      <c r="T169" s="55"/>
      <c r="U169" s="55" t="s">
        <v>114</v>
      </c>
      <c r="V169" s="95" t="s">
        <v>22</v>
      </c>
      <c r="W169" s="106"/>
    </row>
    <row r="170" spans="1:23" ht="17.25" customHeight="1">
      <c r="D170" s="226"/>
      <c r="E170" s="280"/>
      <c r="F170" s="607"/>
      <c r="G170" s="281"/>
      <c r="H170" s="226"/>
      <c r="I170" s="226"/>
      <c r="J170" s="282"/>
      <c r="K170" s="283"/>
      <c r="L170" s="803"/>
      <c r="M170" s="803"/>
      <c r="N170" s="284"/>
      <c r="O170" s="84"/>
      <c r="P170" s="1060"/>
      <c r="Q170" s="1060"/>
      <c r="R170" s="1433"/>
      <c r="S170" s="1058"/>
      <c r="T170" s="799"/>
      <c r="U170" s="800"/>
      <c r="V170" s="800" t="s">
        <v>425</v>
      </c>
      <c r="W170" s="801"/>
    </row>
    <row r="171" spans="1:23" ht="17.25" customHeight="1"/>
    <row r="172" spans="1:23" ht="17.25" customHeight="1">
      <c r="D172" s="226"/>
      <c r="E172" s="280"/>
      <c r="F172" s="607"/>
      <c r="G172" s="281"/>
      <c r="H172" s="803"/>
      <c r="I172" s="803"/>
      <c r="J172" s="804"/>
      <c r="K172" s="281"/>
      <c r="L172" s="803"/>
      <c r="M172" s="803"/>
      <c r="N172" s="281"/>
      <c r="O172" s="281"/>
      <c r="P172" s="803"/>
      <c r="Q172" s="803"/>
      <c r="R172" s="805"/>
      <c r="S172" s="281"/>
      <c r="T172" s="55"/>
      <c r="U172" s="55" t="s">
        <v>114</v>
      </c>
      <c r="V172" s="95" t="s">
        <v>22</v>
      </c>
      <c r="W172" s="106"/>
    </row>
    <row r="174" spans="1:23" ht="17.25" customHeight="1">
      <c r="A174" s="193" t="s">
        <v>2077</v>
      </c>
    </row>
    <row r="175" spans="1:23" ht="17.25" customHeight="1"/>
    <row r="176" spans="1:23" ht="17.25" customHeight="1">
      <c r="D176" s="1447"/>
      <c r="E176" s="1098"/>
      <c r="F176" s="1100"/>
      <c r="G176" s="1448"/>
      <c r="H176" s="1447"/>
      <c r="I176" s="1447">
        <v>1</v>
      </c>
      <c r="J176" s="1432"/>
      <c r="K176" s="1134" t="s">
        <v>61</v>
      </c>
      <c r="L176" s="1060"/>
      <c r="M176" s="1060" t="s">
        <v>114</v>
      </c>
      <c r="N176" s="1434" t="str">
        <f>IF(Z176="","",INDEX(TERRITORY_MR_LIST,MATCH(Z176,TERRITORY_LIST_ID,0)))</f>
        <v/>
      </c>
      <c r="O176" s="1134" t="s">
        <v>61</v>
      </c>
      <c r="P176" s="1060"/>
      <c r="Q176" s="1060" t="s">
        <v>114</v>
      </c>
      <c r="R176" s="1433" t="s">
        <v>22</v>
      </c>
      <c r="S176" s="1325" t="s">
        <v>19</v>
      </c>
      <c r="T176" s="285"/>
      <c r="U176" s="285" t="s">
        <v>114</v>
      </c>
      <c r="V176" s="286"/>
      <c r="W176" s="1432"/>
    </row>
    <row r="177" spans="4:23" ht="17.25" customHeight="1">
      <c r="D177" s="1447"/>
      <c r="E177" s="1098"/>
      <c r="F177" s="1101"/>
      <c r="G177" s="1448"/>
      <c r="H177" s="1447"/>
      <c r="I177" s="1447"/>
      <c r="J177" s="1432"/>
      <c r="K177" s="1135"/>
      <c r="L177" s="1060"/>
      <c r="M177" s="1060"/>
      <c r="N177" s="1434"/>
      <c r="O177" s="1135"/>
      <c r="P177" s="1060"/>
      <c r="Q177" s="1060"/>
      <c r="R177" s="1433"/>
      <c r="S177" s="1325"/>
      <c r="T177" s="806"/>
      <c r="U177" s="807"/>
      <c r="V177" s="807"/>
      <c r="W177" s="1432"/>
    </row>
    <row r="178" spans="4:23" ht="17.25" customHeight="1">
      <c r="D178" s="1071"/>
      <c r="E178" s="1099"/>
      <c r="F178" s="1101"/>
      <c r="G178" s="1449"/>
      <c r="H178" s="1071"/>
      <c r="I178" s="1071"/>
      <c r="J178" s="1450"/>
      <c r="K178" s="1135"/>
      <c r="L178" s="1071"/>
      <c r="M178" s="1071"/>
      <c r="N178" s="1435"/>
      <c r="O178" s="1072"/>
      <c r="P178" s="799"/>
      <c r="Q178" s="800"/>
      <c r="R178" s="800" t="s">
        <v>426</v>
      </c>
      <c r="S178" s="802"/>
      <c r="T178" s="802"/>
      <c r="U178" s="802"/>
      <c r="V178" s="802"/>
      <c r="W178" s="808"/>
    </row>
    <row r="179" spans="4:23" ht="17.25" customHeight="1">
      <c r="D179" s="1071"/>
      <c r="E179" s="1099"/>
      <c r="F179" s="1101"/>
      <c r="G179" s="1449"/>
      <c r="H179" s="1071"/>
      <c r="I179" s="1071"/>
      <c r="J179" s="1450"/>
      <c r="K179" s="1072"/>
      <c r="L179" s="799"/>
      <c r="M179" s="800"/>
      <c r="N179" s="800" t="s">
        <v>427</v>
      </c>
      <c r="O179" s="800"/>
      <c r="P179" s="800"/>
      <c r="Q179" s="800"/>
      <c r="R179" s="800"/>
      <c r="S179" s="802"/>
      <c r="T179" s="802"/>
      <c r="U179" s="802"/>
      <c r="V179" s="802"/>
      <c r="W179" s="801"/>
    </row>
    <row r="180" spans="4:23" ht="17.25" customHeight="1">
      <c r="D180" s="1071"/>
      <c r="E180" s="1099"/>
      <c r="F180" s="1102"/>
      <c r="G180" s="1449"/>
      <c r="H180" s="799"/>
      <c r="I180" s="800"/>
      <c r="J180" s="800" t="s">
        <v>459</v>
      </c>
      <c r="K180" s="800"/>
      <c r="L180" s="800"/>
      <c r="M180" s="800"/>
      <c r="N180" s="800"/>
      <c r="O180" s="800"/>
      <c r="P180" s="800"/>
      <c r="Q180" s="800"/>
      <c r="R180" s="800"/>
      <c r="S180" s="802"/>
      <c r="T180" s="802"/>
      <c r="U180" s="802"/>
      <c r="V180" s="802"/>
      <c r="W180" s="801"/>
    </row>
    <row r="181" spans="4:23" ht="17.25" customHeight="1"/>
    <row r="182" spans="4:23" ht="17.25" customHeight="1">
      <c r="D182" s="226"/>
      <c r="E182" s="280"/>
      <c r="F182" s="607"/>
      <c r="G182" s="281"/>
      <c r="H182" s="1447"/>
      <c r="I182" s="1447">
        <v>1</v>
      </c>
      <c r="J182" s="1432"/>
      <c r="K182" s="1134" t="s">
        <v>61</v>
      </c>
      <c r="L182" s="1060"/>
      <c r="M182" s="1060" t="s">
        <v>114</v>
      </c>
      <c r="N182" s="1434" t="str">
        <f>IF(Z182="","",INDEX(TERRITORY_MR_LIST,MATCH(Z182,TERRITORY_LIST_ID,0)))</f>
        <v/>
      </c>
      <c r="O182" s="1134" t="s">
        <v>61</v>
      </c>
      <c r="P182" s="1060"/>
      <c r="Q182" s="1060" t="s">
        <v>114</v>
      </c>
      <c r="R182" s="1433" t="s">
        <v>22</v>
      </c>
      <c r="S182" s="1325" t="s">
        <v>19</v>
      </c>
      <c r="T182" s="285"/>
      <c r="U182" s="285" t="s">
        <v>114</v>
      </c>
      <c r="V182" s="286"/>
      <c r="W182" s="1432"/>
    </row>
    <row r="183" spans="4:23" ht="17.25" customHeight="1">
      <c r="D183" s="226"/>
      <c r="E183" s="280"/>
      <c r="F183" s="607"/>
      <c r="G183" s="281"/>
      <c r="H183" s="1447"/>
      <c r="I183" s="1447"/>
      <c r="J183" s="1432"/>
      <c r="K183" s="1135"/>
      <c r="L183" s="1060"/>
      <c r="M183" s="1060"/>
      <c r="N183" s="1434"/>
      <c r="O183" s="1135"/>
      <c r="P183" s="1060"/>
      <c r="Q183" s="1060"/>
      <c r="R183" s="1433"/>
      <c r="S183" s="1325"/>
      <c r="T183" s="806"/>
      <c r="U183" s="807"/>
      <c r="V183" s="807"/>
      <c r="W183" s="1432"/>
    </row>
    <row r="184" spans="4:23" ht="17.25" customHeight="1">
      <c r="D184" s="226"/>
      <c r="E184" s="280"/>
      <c r="F184" s="607"/>
      <c r="G184" s="281"/>
      <c r="H184" s="1071"/>
      <c r="I184" s="1071"/>
      <c r="J184" s="1450"/>
      <c r="K184" s="1135"/>
      <c r="L184" s="1071"/>
      <c r="M184" s="1071"/>
      <c r="N184" s="1435"/>
      <c r="O184" s="1072"/>
      <c r="P184" s="799"/>
      <c r="Q184" s="800"/>
      <c r="R184" s="800" t="s">
        <v>426</v>
      </c>
      <c r="S184" s="802"/>
      <c r="T184" s="802"/>
      <c r="U184" s="802"/>
      <c r="V184" s="802"/>
      <c r="W184" s="808"/>
    </row>
    <row r="185" spans="4:23" ht="17.25" customHeight="1">
      <c r="D185" s="226"/>
      <c r="E185" s="280"/>
      <c r="F185" s="607"/>
      <c r="G185" s="281"/>
      <c r="H185" s="1071"/>
      <c r="I185" s="1071"/>
      <c r="J185" s="1450"/>
      <c r="K185" s="1072"/>
      <c r="L185" s="799"/>
      <c r="M185" s="800"/>
      <c r="N185" s="800" t="s">
        <v>427</v>
      </c>
      <c r="O185" s="800"/>
      <c r="P185" s="800"/>
      <c r="Q185" s="800"/>
      <c r="R185" s="800"/>
      <c r="S185" s="802"/>
      <c r="T185" s="802"/>
      <c r="U185" s="802"/>
      <c r="V185" s="802"/>
      <c r="W185" s="801"/>
    </row>
    <row r="186" spans="4:23" ht="17.25" customHeight="1"/>
    <row r="187" spans="4:23" ht="17.25" customHeight="1">
      <c r="D187" s="226"/>
      <c r="E187" s="280"/>
      <c r="F187" s="607"/>
      <c r="G187" s="281"/>
      <c r="H187" s="226"/>
      <c r="I187" s="226"/>
      <c r="J187" s="287"/>
      <c r="K187" s="281"/>
      <c r="L187" s="1060"/>
      <c r="M187" s="1060" t="s">
        <v>114</v>
      </c>
      <c r="N187" s="1434" t="str">
        <f>IF(Z187="","",INDEX(TERRITORY_MR_LIST,MATCH(Z187,TERRITORY_LIST_ID,0)))</f>
        <v/>
      </c>
      <c r="O187" s="1134" t="s">
        <v>61</v>
      </c>
      <c r="P187" s="1060"/>
      <c r="Q187" s="1060" t="s">
        <v>114</v>
      </c>
      <c r="R187" s="1433" t="s">
        <v>22</v>
      </c>
      <c r="S187" s="1325" t="s">
        <v>19</v>
      </c>
      <c r="T187" s="285"/>
      <c r="U187" s="285" t="s">
        <v>114</v>
      </c>
      <c r="V187" s="286"/>
      <c r="W187" s="1432"/>
    </row>
    <row r="188" spans="4:23" ht="17.25" customHeight="1">
      <c r="D188" s="226"/>
      <c r="E188" s="280"/>
      <c r="F188" s="607"/>
      <c r="G188" s="281"/>
      <c r="H188" s="226"/>
      <c r="I188" s="226"/>
      <c r="J188" s="287"/>
      <c r="K188" s="281"/>
      <c r="L188" s="1060"/>
      <c r="M188" s="1060"/>
      <c r="N188" s="1434"/>
      <c r="O188" s="1135"/>
      <c r="P188" s="1060"/>
      <c r="Q188" s="1060"/>
      <c r="R188" s="1433"/>
      <c r="S188" s="1325"/>
      <c r="T188" s="806"/>
      <c r="U188" s="807"/>
      <c r="V188" s="807"/>
      <c r="W188" s="1432"/>
    </row>
    <row r="189" spans="4:23" ht="17.25" customHeight="1">
      <c r="D189" s="226"/>
      <c r="E189" s="280"/>
      <c r="F189" s="607"/>
      <c r="G189" s="281"/>
      <c r="H189" s="226"/>
      <c r="I189" s="226"/>
      <c r="J189" s="287"/>
      <c r="K189" s="281"/>
      <c r="L189" s="1071"/>
      <c r="M189" s="1071"/>
      <c r="N189" s="1435"/>
      <c r="O189" s="1072"/>
      <c r="P189" s="799"/>
      <c r="Q189" s="800"/>
      <c r="R189" s="800" t="s">
        <v>426</v>
      </c>
      <c r="S189" s="802"/>
      <c r="T189" s="802"/>
      <c r="U189" s="802"/>
      <c r="V189" s="802"/>
      <c r="W189" s="808"/>
    </row>
    <row r="190" spans="4:23" ht="17.25" customHeight="1"/>
    <row r="191" spans="4:23" ht="17.25" customHeight="1">
      <c r="D191" s="226"/>
      <c r="E191" s="280"/>
      <c r="F191" s="607"/>
      <c r="G191" s="281"/>
      <c r="H191" s="226"/>
      <c r="I191" s="226"/>
      <c r="J191" s="287"/>
      <c r="K191" s="281"/>
      <c r="L191" s="226"/>
      <c r="M191" s="226"/>
      <c r="N191" s="284"/>
      <c r="O191" s="84"/>
      <c r="P191" s="1060"/>
      <c r="Q191" s="1060" t="s">
        <v>114</v>
      </c>
      <c r="R191" s="1433" t="s">
        <v>22</v>
      </c>
      <c r="S191" s="1325" t="s">
        <v>19</v>
      </c>
      <c r="T191" s="285"/>
      <c r="U191" s="285" t="s">
        <v>114</v>
      </c>
      <c r="V191" s="286"/>
      <c r="W191" s="1432"/>
    </row>
    <row r="192" spans="4:23" ht="17.25" customHeight="1">
      <c r="D192" s="226"/>
      <c r="E192" s="280"/>
      <c r="F192" s="607"/>
      <c r="G192" s="281"/>
      <c r="H192" s="226"/>
      <c r="I192" s="226"/>
      <c r="J192" s="287"/>
      <c r="K192" s="281"/>
      <c r="L192" s="226"/>
      <c r="M192" s="226"/>
      <c r="N192" s="284"/>
      <c r="O192" s="84"/>
      <c r="P192" s="1060"/>
      <c r="Q192" s="1060"/>
      <c r="R192" s="1433"/>
      <c r="S192" s="1325"/>
      <c r="T192" s="806"/>
      <c r="U192" s="807"/>
      <c r="V192" s="807"/>
      <c r="W192" s="1432"/>
    </row>
    <row r="193" spans="1:35" ht="17.25" customHeight="1"/>
    <row r="194" spans="1:35" ht="16.5" customHeight="1">
      <c r="D194" s="1447"/>
      <c r="E194" s="1129"/>
      <c r="F194" s="1129"/>
      <c r="G194" s="1066"/>
      <c r="H194" s="1103"/>
      <c r="I194" s="1105"/>
      <c r="J194" s="1106"/>
      <c r="K194" s="1095"/>
      <c r="L194" s="1095"/>
      <c r="M194" s="1095"/>
      <c r="N194" s="1096"/>
      <c r="O194" s="1095"/>
      <c r="P194" s="1095"/>
      <c r="Q194" s="1095"/>
      <c r="R194" s="1097"/>
      <c r="S194" s="1095"/>
      <c r="T194" s="68"/>
      <c r="U194" s="68"/>
      <c r="V194" s="69"/>
      <c r="W194" s="70"/>
    </row>
    <row r="195" spans="1:35" ht="16.5" customHeight="1">
      <c r="D195" s="1447"/>
      <c r="E195" s="1129"/>
      <c r="F195" s="1129"/>
      <c r="G195" s="1066"/>
      <c r="H195" s="1104"/>
      <c r="I195" s="1031"/>
      <c r="J195" s="1031"/>
      <c r="K195" s="1031"/>
      <c r="L195" s="1031"/>
      <c r="M195" s="1031"/>
      <c r="N195" s="1031"/>
      <c r="O195" s="1031"/>
      <c r="P195" s="1031"/>
      <c r="Q195" s="1031"/>
      <c r="R195" s="1031"/>
      <c r="S195" s="1031"/>
      <c r="W195" s="608"/>
    </row>
    <row r="196" spans="1:35" ht="17.25" customHeight="1">
      <c r="D196" s="1447"/>
      <c r="E196" s="1129"/>
      <c r="F196" s="1129"/>
      <c r="G196" s="1066"/>
      <c r="H196" s="1104"/>
      <c r="I196" s="1031"/>
      <c r="J196" s="1031"/>
      <c r="K196" s="1031"/>
      <c r="L196" s="1031"/>
      <c r="M196" s="1031"/>
      <c r="N196" s="1031"/>
      <c r="O196" s="1031"/>
      <c r="W196" s="608"/>
    </row>
    <row r="197" spans="1:35" ht="17.25" customHeight="1">
      <c r="D197" s="1447"/>
      <c r="E197" s="1129"/>
      <c r="F197" s="1129"/>
      <c r="G197" s="1066"/>
      <c r="H197" s="1104"/>
      <c r="I197" s="1031"/>
      <c r="J197" s="1031"/>
      <c r="K197" s="1031"/>
      <c r="W197" s="608"/>
    </row>
    <row r="198" spans="1:35" ht="17.25" customHeight="1">
      <c r="D198" s="1447"/>
      <c r="E198" s="1129"/>
      <c r="F198" s="1129"/>
      <c r="G198" s="1066"/>
      <c r="H198" s="609"/>
      <c r="I198" s="610"/>
      <c r="J198" s="610"/>
      <c r="K198" s="610"/>
      <c r="L198" s="610"/>
      <c r="M198" s="610"/>
      <c r="N198" s="610"/>
      <c r="O198" s="610"/>
      <c r="P198" s="610"/>
      <c r="Q198" s="610"/>
      <c r="R198" s="610"/>
      <c r="S198" s="611"/>
      <c r="T198" s="611"/>
      <c r="U198" s="611"/>
      <c r="V198" s="611"/>
      <c r="W198" s="612"/>
    </row>
    <row r="200" spans="1:35" ht="17.25" customHeight="1">
      <c r="A200" s="193" t="s">
        <v>2078</v>
      </c>
    </row>
    <row r="201" spans="1:35" ht="17.25" customHeight="1"/>
    <row r="202" spans="1:35" ht="15" customHeight="1">
      <c r="D202" s="1441"/>
      <c r="E202" s="1145"/>
      <c r="F202" s="1145"/>
      <c r="G202" s="1134"/>
      <c r="H202" s="288"/>
      <c r="I202" s="1445">
        <v>1</v>
      </c>
      <c r="J202" s="1432"/>
      <c r="K202" s="289"/>
      <c r="L202" s="1134" t="s">
        <v>61</v>
      </c>
      <c r="M202" s="1134" t="s">
        <v>61</v>
      </c>
      <c r="N202" s="288"/>
      <c r="O202" s="1060" t="s">
        <v>114</v>
      </c>
      <c r="P202" s="1330"/>
      <c r="Q202" s="289"/>
      <c r="R202" s="1134" t="s">
        <v>61</v>
      </c>
      <c r="S202" s="1134" t="s">
        <v>61</v>
      </c>
      <c r="T202" s="290"/>
      <c r="U202" s="1060" t="s">
        <v>114</v>
      </c>
      <c r="V202" s="1442" t="str">
        <f>IF(AK202="","",INDEX(TERRITORY_MR_LIST,MATCH(AK202,TERRITORY_LIST_ID,0)))</f>
        <v/>
      </c>
      <c r="W202" s="57"/>
      <c r="X202" s="1134" t="s">
        <v>61</v>
      </c>
      <c r="Y202" s="1134" t="s">
        <v>19</v>
      </c>
      <c r="Z202" s="288"/>
      <c r="AA202" s="1060" t="s">
        <v>114</v>
      </c>
      <c r="AB202" s="1444"/>
      <c r="AC202" s="622"/>
      <c r="AD202" s="1134" t="s">
        <v>61</v>
      </c>
      <c r="AE202" s="1134" t="s">
        <v>19</v>
      </c>
      <c r="AF202" s="57"/>
      <c r="AG202" s="55" t="s">
        <v>114</v>
      </c>
      <c r="AH202" s="227"/>
      <c r="AI202" s="106"/>
    </row>
    <row r="203" spans="1:35" ht="15" customHeight="1">
      <c r="D203" s="1441"/>
      <c r="E203" s="1145"/>
      <c r="F203" s="1145"/>
      <c r="G203" s="1135"/>
      <c r="H203" s="288"/>
      <c r="I203" s="1445"/>
      <c r="J203" s="1432"/>
      <c r="K203" s="809"/>
      <c r="L203" s="1135"/>
      <c r="M203" s="1135"/>
      <c r="N203" s="288"/>
      <c r="O203" s="1060"/>
      <c r="P203" s="1330"/>
      <c r="Q203" s="291"/>
      <c r="R203" s="1135"/>
      <c r="S203" s="1135"/>
      <c r="T203" s="290"/>
      <c r="U203" s="1060"/>
      <c r="V203" s="1443"/>
      <c r="W203" s="261"/>
      <c r="X203" s="1135"/>
      <c r="Y203" s="1135"/>
      <c r="Z203" s="288"/>
      <c r="AA203" s="1060"/>
      <c r="AB203" s="1427"/>
      <c r="AC203" s="790"/>
      <c r="AD203" s="1072"/>
      <c r="AE203" s="1072"/>
      <c r="AF203" s="810"/>
      <c r="AG203" s="799"/>
      <c r="AH203" s="1436" t="s">
        <v>2079</v>
      </c>
      <c r="AI203" s="1437"/>
    </row>
    <row r="204" spans="1:35" ht="15" customHeight="1">
      <c r="D204" s="1441"/>
      <c r="E204" s="1145"/>
      <c r="F204" s="1145"/>
      <c r="G204" s="1135"/>
      <c r="H204" s="288"/>
      <c r="I204" s="1445"/>
      <c r="J204" s="1432"/>
      <c r="K204" s="809"/>
      <c r="L204" s="1135"/>
      <c r="M204" s="1135"/>
      <c r="N204" s="288"/>
      <c r="O204" s="1060"/>
      <c r="P204" s="1330"/>
      <c r="Q204" s="291"/>
      <c r="R204" s="1135"/>
      <c r="S204" s="1135"/>
      <c r="T204" s="290"/>
      <c r="U204" s="1060"/>
      <c r="V204" s="1443"/>
      <c r="W204" s="261"/>
      <c r="X204" s="1135"/>
      <c r="Y204" s="1135"/>
      <c r="Z204" s="261"/>
      <c r="AA204" s="811"/>
      <c r="AB204" s="1438" t="s">
        <v>2080</v>
      </c>
      <c r="AC204" s="1438"/>
      <c r="AD204" s="1438"/>
      <c r="AE204" s="1438"/>
      <c r="AF204" s="1438"/>
      <c r="AG204" s="1438"/>
      <c r="AH204" s="1438"/>
      <c r="AI204" s="1439"/>
    </row>
    <row r="205" spans="1:35" ht="15" customHeight="1">
      <c r="D205" s="1441"/>
      <c r="E205" s="1145"/>
      <c r="F205" s="1145"/>
      <c r="G205" s="1135"/>
      <c r="H205" s="288"/>
      <c r="I205" s="1445"/>
      <c r="J205" s="1432"/>
      <c r="K205" s="809"/>
      <c r="L205" s="1135"/>
      <c r="M205" s="1135"/>
      <c r="N205" s="288"/>
      <c r="O205" s="1060"/>
      <c r="P205" s="1440"/>
      <c r="Q205" s="291"/>
      <c r="R205" s="1135"/>
      <c r="S205" s="1135"/>
      <c r="T205" s="292"/>
      <c r="U205" s="812"/>
      <c r="V205" s="1436" t="s">
        <v>108</v>
      </c>
      <c r="W205" s="1436"/>
      <c r="X205" s="1436"/>
      <c r="Y205" s="1436"/>
      <c r="Z205" s="1436"/>
      <c r="AA205" s="1436"/>
      <c r="AB205" s="1436"/>
      <c r="AC205" s="1436"/>
      <c r="AD205" s="1436"/>
      <c r="AE205" s="1436"/>
      <c r="AF205" s="1436"/>
      <c r="AG205" s="1436"/>
      <c r="AH205" s="1436"/>
      <c r="AI205" s="1437"/>
    </row>
    <row r="206" spans="1:35" ht="11.25" customHeight="1">
      <c r="D206" s="1441"/>
      <c r="E206" s="1145"/>
      <c r="F206" s="1145"/>
      <c r="G206" s="1135"/>
      <c r="H206" s="803"/>
      <c r="I206" s="1445"/>
      <c r="J206" s="1446"/>
      <c r="K206" s="809"/>
      <c r="L206" s="1135"/>
      <c r="M206" s="1135"/>
      <c r="N206" s="803"/>
      <c r="O206" s="811"/>
      <c r="P206" s="1436" t="s">
        <v>2081</v>
      </c>
      <c r="Q206" s="1436"/>
      <c r="R206" s="1436"/>
      <c r="S206" s="1436"/>
      <c r="T206" s="1436"/>
      <c r="U206" s="1436"/>
      <c r="V206" s="1436"/>
      <c r="W206" s="1436"/>
      <c r="X206" s="1436"/>
      <c r="Y206" s="1436"/>
      <c r="Z206" s="1436"/>
      <c r="AA206" s="1436"/>
      <c r="AB206" s="1436"/>
      <c r="AC206" s="1436"/>
      <c r="AD206" s="1436"/>
      <c r="AE206" s="1436"/>
      <c r="AF206" s="1436"/>
      <c r="AG206" s="1436"/>
      <c r="AH206" s="1436"/>
      <c r="AI206" s="1437"/>
    </row>
    <row r="207" spans="1:35" ht="11.25" customHeight="1">
      <c r="D207" s="1441"/>
      <c r="E207" s="1145"/>
      <c r="F207" s="1145"/>
      <c r="G207" s="1072"/>
      <c r="H207" s="293"/>
      <c r="I207" s="294"/>
      <c r="J207" s="1436" t="s">
        <v>459</v>
      </c>
      <c r="K207" s="1436"/>
      <c r="L207" s="1436"/>
      <c r="M207" s="1436"/>
      <c r="N207" s="1436"/>
      <c r="O207" s="1436"/>
      <c r="P207" s="1436"/>
      <c r="Q207" s="1436"/>
      <c r="R207" s="1436"/>
      <c r="S207" s="1436"/>
      <c r="T207" s="1436"/>
      <c r="U207" s="1436"/>
      <c r="V207" s="1436"/>
      <c r="W207" s="1436"/>
      <c r="X207" s="1436"/>
      <c r="Y207" s="1436"/>
      <c r="Z207" s="1436"/>
      <c r="AA207" s="1436"/>
      <c r="AB207" s="1436"/>
      <c r="AC207" s="1436"/>
      <c r="AD207" s="1436"/>
      <c r="AE207" s="1436"/>
      <c r="AF207" s="1436"/>
      <c r="AG207" s="1436"/>
      <c r="AH207" s="1436"/>
      <c r="AI207" s="1437"/>
    </row>
    <row r="208" spans="1:35" ht="17.25" customHeight="1"/>
    <row r="209" spans="4:35" ht="15" customHeight="1">
      <c r="D209" s="1441"/>
      <c r="E209" s="1145"/>
      <c r="F209" s="1145"/>
      <c r="G209" s="1129"/>
      <c r="H209" s="81"/>
      <c r="I209" s="1131"/>
      <c r="J209" s="1106"/>
      <c r="K209" s="67"/>
      <c r="L209" s="1095"/>
      <c r="M209" s="1095"/>
      <c r="N209" s="82"/>
      <c r="O209" s="1095"/>
      <c r="P209" s="1106"/>
      <c r="Q209" s="67"/>
      <c r="R209" s="1095"/>
      <c r="S209" s="1095"/>
      <c r="T209" s="83"/>
      <c r="U209" s="1095"/>
      <c r="V209" s="1106"/>
      <c r="W209" s="68"/>
      <c r="X209" s="1095"/>
      <c r="Y209" s="1095"/>
      <c r="Z209" s="82"/>
      <c r="AA209" s="1095"/>
      <c r="AB209" s="1106"/>
      <c r="AC209" s="620"/>
      <c r="AD209" s="1095"/>
      <c r="AE209" s="1095"/>
      <c r="AF209" s="68"/>
      <c r="AG209" s="68"/>
      <c r="AH209" s="82"/>
      <c r="AI209" s="70"/>
    </row>
    <row r="210" spans="4:35" ht="15" customHeight="1">
      <c r="D210" s="1441"/>
      <c r="E210" s="1145"/>
      <c r="F210" s="1145"/>
      <c r="G210" s="1129"/>
      <c r="H210" s="85"/>
      <c r="I210" s="1031"/>
      <c r="J210" s="1031"/>
      <c r="L210" s="1031"/>
      <c r="M210" s="1031"/>
      <c r="O210" s="1031"/>
      <c r="P210" s="1031"/>
      <c r="R210" s="1031"/>
      <c r="S210" s="1031"/>
      <c r="U210" s="1031"/>
      <c r="V210" s="1031"/>
      <c r="X210" s="1031"/>
      <c r="Y210" s="1031"/>
      <c r="AA210" s="1031"/>
      <c r="AB210" s="1031"/>
      <c r="AD210" s="1031"/>
      <c r="AE210" s="1031"/>
      <c r="AH210" s="1031"/>
      <c r="AI210" s="1128"/>
    </row>
    <row r="211" spans="4:35" ht="15" customHeight="1">
      <c r="D211" s="1441"/>
      <c r="E211" s="1145"/>
      <c r="F211" s="1145"/>
      <c r="G211" s="1129"/>
      <c r="H211" s="85"/>
      <c r="I211" s="1031"/>
      <c r="J211" s="1031"/>
      <c r="L211" s="1031"/>
      <c r="M211" s="1031"/>
      <c r="O211" s="1031"/>
      <c r="P211" s="1031"/>
      <c r="R211" s="1031"/>
      <c r="S211" s="1031"/>
      <c r="U211" s="1031"/>
      <c r="V211" s="1031"/>
      <c r="X211" s="1031"/>
      <c r="Y211" s="1031"/>
      <c r="AB211" s="1031"/>
      <c r="AC211" s="1031"/>
      <c r="AD211" s="1031"/>
      <c r="AE211" s="1031"/>
      <c r="AF211" s="1031"/>
      <c r="AG211" s="1031"/>
      <c r="AH211" s="1031"/>
      <c r="AI211" s="1128"/>
    </row>
    <row r="212" spans="4:35" ht="15" customHeight="1">
      <c r="D212" s="1441"/>
      <c r="E212" s="1145"/>
      <c r="F212" s="1145"/>
      <c r="G212" s="1129"/>
      <c r="H212" s="85"/>
      <c r="I212" s="1031"/>
      <c r="J212" s="1031"/>
      <c r="L212" s="1031"/>
      <c r="M212" s="1031"/>
      <c r="O212" s="1031"/>
      <c r="P212" s="1031"/>
      <c r="R212" s="1031"/>
      <c r="S212" s="1031"/>
      <c r="V212" s="1031"/>
      <c r="W212" s="1031"/>
      <c r="X212" s="1031"/>
      <c r="Y212" s="1031"/>
      <c r="Z212" s="1031"/>
      <c r="AA212" s="1031"/>
      <c r="AB212" s="1031"/>
      <c r="AC212" s="1031"/>
      <c r="AD212" s="1031"/>
      <c r="AE212" s="1031"/>
      <c r="AF212" s="1031"/>
      <c r="AG212" s="1031"/>
      <c r="AH212" s="1031"/>
      <c r="AI212" s="1128"/>
    </row>
    <row r="213" spans="4:35" ht="11.25" customHeight="1">
      <c r="D213" s="1441"/>
      <c r="E213" s="1145"/>
      <c r="F213" s="1145"/>
      <c r="G213" s="1129"/>
      <c r="H213" s="621"/>
      <c r="I213" s="1031"/>
      <c r="J213" s="1031"/>
      <c r="L213" s="1031"/>
      <c r="M213" s="1031"/>
      <c r="P213" s="1031"/>
      <c r="Q213" s="1031"/>
      <c r="R213" s="1031"/>
      <c r="S213" s="1031"/>
      <c r="T213" s="1031"/>
      <c r="U213" s="1031"/>
      <c r="V213" s="1031"/>
      <c r="W213" s="1031"/>
      <c r="X213" s="1031"/>
      <c r="Y213" s="1031"/>
      <c r="Z213" s="1031"/>
      <c r="AA213" s="1031"/>
      <c r="AB213" s="1031"/>
      <c r="AC213" s="1031"/>
      <c r="AD213" s="1031"/>
      <c r="AE213" s="1031"/>
      <c r="AF213" s="1031"/>
      <c r="AG213" s="1031"/>
      <c r="AH213" s="1031"/>
      <c r="AI213" s="1128"/>
    </row>
    <row r="214" spans="4:35" ht="11.25" customHeight="1">
      <c r="D214" s="1441"/>
      <c r="E214" s="1145"/>
      <c r="F214" s="1145"/>
      <c r="G214" s="1133"/>
      <c r="H214" s="87"/>
      <c r="I214" s="88"/>
      <c r="J214" s="1136"/>
      <c r="K214" s="1136"/>
      <c r="L214" s="1136"/>
      <c r="M214" s="1136"/>
      <c r="N214" s="1136"/>
      <c r="O214" s="1136"/>
      <c r="P214" s="1136"/>
      <c r="Q214" s="1136"/>
      <c r="R214" s="1136"/>
      <c r="S214" s="1136"/>
      <c r="T214" s="1136"/>
      <c r="U214" s="1136"/>
      <c r="V214" s="1136"/>
      <c r="W214" s="1136"/>
      <c r="X214" s="1136"/>
      <c r="Y214" s="1136"/>
      <c r="Z214" s="1136"/>
      <c r="AA214" s="1136"/>
      <c r="AB214" s="1136"/>
      <c r="AC214" s="1136"/>
      <c r="AD214" s="1136"/>
      <c r="AE214" s="1136"/>
      <c r="AF214" s="1136"/>
      <c r="AG214" s="1136"/>
      <c r="AH214" s="1136"/>
      <c r="AI214" s="1137"/>
    </row>
    <row r="215" spans="4:35"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2" max="2" width="43.140625" style="1029" hidden="1"/>
    <col min="4" max="8" width="36.42578125" style="1029" customWidth="1"/>
  </cols>
  <sheetData>
    <row r="1" spans="1:8" ht="9" customHeight="1">
      <c r="A1" s="138" t="s">
        <v>2082</v>
      </c>
      <c r="B1" s="138"/>
      <c r="C1" s="139" t="s">
        <v>2083</v>
      </c>
      <c r="D1" s="140" t="s">
        <v>828</v>
      </c>
      <c r="E1" s="140" t="s">
        <v>874</v>
      </c>
      <c r="F1" s="140" t="s">
        <v>929</v>
      </c>
      <c r="G1" s="140" t="s">
        <v>916</v>
      </c>
      <c r="H1" s="140" t="s">
        <v>1769</v>
      </c>
    </row>
    <row r="2" spans="1:8" ht="9" customHeight="1">
      <c r="A2" s="141" t="s">
        <v>2084</v>
      </c>
      <c r="B2" s="141"/>
      <c r="C2" s="693" t="str">
        <f>INDEX(TEMPLATE_NUMBER_FORM_LIST,MATCH(TEMPLATE_SPHERE,TEMPLATE_SPHERE_LIST,0))</f>
        <v>10</v>
      </c>
      <c r="D2" s="141" t="s">
        <v>1118</v>
      </c>
      <c r="E2" s="141" t="s">
        <v>162</v>
      </c>
      <c r="F2" s="142" t="s">
        <v>162</v>
      </c>
      <c r="G2" s="141" t="s">
        <v>162</v>
      </c>
      <c r="H2" s="143"/>
    </row>
    <row r="3" spans="1:8" ht="63" customHeight="1">
      <c r="A3" s="138"/>
      <c r="B3" s="138" t="s">
        <v>114</v>
      </c>
      <c r="C3" s="69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693" t="s">
        <v>2085</v>
      </c>
      <c r="E3" s="69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142"/>
      <c r="G3" s="143"/>
      <c r="H3" s="138"/>
    </row>
    <row r="4" spans="1:8" ht="243" customHeight="1">
      <c r="A4" s="138" t="s">
        <v>2086</v>
      </c>
      <c r="B4" s="138" t="s">
        <v>102</v>
      </c>
      <c r="C4" s="693" t="str">
        <f>IF(TEMPLATE_SPHERE="HEAT",D4,IF(TEMPLATE_SPHERE="TKO",H4,E4))</f>
        <v>Форма 1. Информация об организации, осуществляющей холодное водоснабжение (общая информация)</v>
      </c>
      <c r="D4" s="141" t="s">
        <v>2087</v>
      </c>
      <c r="E4" s="69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141"/>
      <c r="G4" s="141"/>
      <c r="H4" s="138" t="s">
        <v>2088</v>
      </c>
    </row>
    <row r="5" spans="1:8" ht="117" customHeight="1">
      <c r="A5" s="138" t="s">
        <v>2089</v>
      </c>
      <c r="B5" s="138" t="s">
        <v>89</v>
      </c>
      <c r="C5" s="69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138" t="s">
        <v>2090</v>
      </c>
      <c r="E5" s="69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143"/>
      <c r="G5" s="143"/>
      <c r="H5" s="138" t="s">
        <v>2091</v>
      </c>
    </row>
    <row r="6" spans="1:8" ht="90" customHeight="1">
      <c r="A6" s="138" t="s">
        <v>2092</v>
      </c>
      <c r="B6" s="138" t="s">
        <v>90</v>
      </c>
      <c r="C6" s="693"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69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69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138"/>
      <c r="G6" s="138"/>
      <c r="H6" s="143"/>
    </row>
    <row r="7" spans="1:8" ht="45" customHeight="1">
      <c r="A7" s="138" t="s">
        <v>2093</v>
      </c>
      <c r="B7" s="138" t="s">
        <v>115</v>
      </c>
      <c r="C7" s="69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38" t="s">
        <v>2094</v>
      </c>
      <c r="E7" s="138" t="s">
        <v>2095</v>
      </c>
      <c r="F7" s="143"/>
      <c r="G7" s="143"/>
      <c r="H7" s="143"/>
    </row>
    <row r="8" spans="1:8" ht="108" customHeight="1">
      <c r="A8" s="138" t="s">
        <v>2096</v>
      </c>
      <c r="B8" s="138" t="s">
        <v>91</v>
      </c>
      <c r="C8" s="69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38" t="s">
        <v>1332</v>
      </c>
      <c r="E8" s="138" t="s">
        <v>2097</v>
      </c>
      <c r="F8" s="143"/>
      <c r="G8" s="143"/>
      <c r="H8" s="143"/>
    </row>
    <row r="9" spans="1:8" ht="99" customHeight="1">
      <c r="A9" s="138" t="s">
        <v>2098</v>
      </c>
      <c r="B9" s="138"/>
      <c r="C9" s="138" t="s">
        <v>2099</v>
      </c>
      <c r="D9" s="138"/>
      <c r="E9" s="138"/>
      <c r="F9" s="143"/>
      <c r="G9" s="143"/>
      <c r="H9" s="143"/>
    </row>
    <row r="10" spans="1:8" ht="126" customHeight="1">
      <c r="A10" s="138" t="s">
        <v>2100</v>
      </c>
      <c r="B10" s="138"/>
      <c r="C10" s="138" t="s">
        <v>2101</v>
      </c>
      <c r="D10" s="138"/>
      <c r="E10" s="138"/>
      <c r="F10" s="143"/>
      <c r="G10" s="143"/>
      <c r="H10" s="143"/>
    </row>
    <row r="11" spans="1:8" ht="108" customHeight="1">
      <c r="A11" s="138" t="s">
        <v>2102</v>
      </c>
      <c r="B11" s="138"/>
      <c r="C11" s="138" t="s">
        <v>2103</v>
      </c>
      <c r="D11" s="138"/>
      <c r="E11" s="138"/>
      <c r="F11" s="143"/>
      <c r="G11" s="143"/>
      <c r="H11" s="143"/>
    </row>
    <row r="12" spans="1:8" ht="54" customHeight="1">
      <c r="A12" s="138" t="s">
        <v>2104</v>
      </c>
      <c r="B12" s="138"/>
      <c r="C12" s="138" t="s">
        <v>2105</v>
      </c>
      <c r="D12" s="138"/>
      <c r="E12" s="138"/>
      <c r="F12" s="143"/>
      <c r="G12" s="143"/>
      <c r="H12" s="143"/>
    </row>
    <row r="13" spans="1:8" ht="45" customHeight="1">
      <c r="A13" s="138" t="s">
        <v>2106</v>
      </c>
      <c r="B13" s="138"/>
      <c r="C13" s="138" t="s">
        <v>2107</v>
      </c>
      <c r="D13" s="138"/>
      <c r="E13" s="138"/>
      <c r="F13" s="143"/>
      <c r="G13" s="143"/>
      <c r="H13" s="143"/>
    </row>
    <row r="14" spans="1:8" ht="117" customHeight="1">
      <c r="A14" s="138" t="s">
        <v>2108</v>
      </c>
      <c r="B14" s="138"/>
      <c r="C14" s="138" t="s">
        <v>2109</v>
      </c>
      <c r="D14" s="138"/>
      <c r="E14" s="138"/>
      <c r="F14" s="143"/>
      <c r="G14" s="143"/>
      <c r="H14" s="143"/>
    </row>
    <row r="15" spans="1:8" ht="117" customHeight="1">
      <c r="A15" s="138" t="s">
        <v>2110</v>
      </c>
      <c r="B15" s="138"/>
      <c r="C15" s="138" t="s">
        <v>2111</v>
      </c>
      <c r="D15" s="138"/>
      <c r="E15" s="138"/>
      <c r="F15" s="143"/>
      <c r="G15" s="143"/>
      <c r="H15" s="143"/>
    </row>
    <row r="16" spans="1:8" ht="63" customHeight="1">
      <c r="A16" s="138" t="s">
        <v>2112</v>
      </c>
      <c r="B16" s="138"/>
      <c r="C16" s="138" t="s">
        <v>2113</v>
      </c>
      <c r="D16" s="138"/>
      <c r="E16" s="138"/>
      <c r="F16" s="143"/>
      <c r="G16" s="143"/>
      <c r="H16" s="143"/>
    </row>
    <row r="17" spans="1:8" ht="54" customHeight="1">
      <c r="A17" s="138" t="s">
        <v>2114</v>
      </c>
      <c r="B17" s="138"/>
      <c r="C17" s="693" t="s">
        <v>2115</v>
      </c>
      <c r="D17" s="138"/>
      <c r="E17" s="138"/>
      <c r="F17" s="143"/>
      <c r="G17" s="143"/>
      <c r="H17" s="143"/>
    </row>
    <row r="18" spans="1:8" ht="27" customHeight="1">
      <c r="A18" s="138" t="s">
        <v>2116</v>
      </c>
      <c r="B18" s="138"/>
      <c r="C18" s="693" t="s">
        <v>2117</v>
      </c>
      <c r="D18" s="138"/>
      <c r="E18" s="138"/>
      <c r="F18" s="143"/>
      <c r="G18" s="143"/>
      <c r="H18" s="143"/>
    </row>
    <row r="19" spans="1:8" ht="54" customHeight="1">
      <c r="A19" s="138" t="s">
        <v>2118</v>
      </c>
      <c r="B19" s="138"/>
      <c r="C19" s="693" t="s">
        <v>2119</v>
      </c>
      <c r="D19" s="138"/>
      <c r="E19" s="138"/>
      <c r="F19" s="143"/>
      <c r="G19" s="143"/>
      <c r="H19" s="143"/>
    </row>
    <row r="20" spans="1:8" ht="36" customHeight="1">
      <c r="A20" s="138" t="s">
        <v>2120</v>
      </c>
      <c r="B20" s="138"/>
      <c r="C20" s="693" t="s">
        <v>2121</v>
      </c>
      <c r="D20" s="138"/>
      <c r="E20" s="138"/>
      <c r="F20" s="143"/>
      <c r="G20" s="143"/>
      <c r="H20" s="143"/>
    </row>
    <row r="21" spans="1:8" ht="36" customHeight="1">
      <c r="A21" s="138" t="s">
        <v>2122</v>
      </c>
      <c r="B21" s="138"/>
      <c r="C21" s="693" t="s">
        <v>2123</v>
      </c>
      <c r="D21" s="138"/>
      <c r="E21" s="138"/>
      <c r="F21" s="143"/>
      <c r="G21" s="143"/>
      <c r="H21" s="143"/>
    </row>
    <row r="22" spans="1:8" ht="27" customHeight="1">
      <c r="A22" s="138" t="s">
        <v>2124</v>
      </c>
      <c r="B22" s="138"/>
      <c r="C22" s="693" t="s">
        <v>2125</v>
      </c>
      <c r="D22" s="138"/>
      <c r="E22" s="138"/>
      <c r="F22" s="143"/>
      <c r="G22" s="143"/>
      <c r="H22" s="143"/>
    </row>
    <row r="23" spans="1:8" ht="36" customHeight="1">
      <c r="A23" s="138" t="s">
        <v>2126</v>
      </c>
      <c r="B23" s="138"/>
      <c r="C23" s="693" t="s">
        <v>2127</v>
      </c>
      <c r="D23" s="138"/>
      <c r="E23" s="138"/>
      <c r="F23" s="143"/>
      <c r="G23" s="143"/>
      <c r="H23" s="143"/>
    </row>
    <row r="24" spans="1:8" ht="28.5" customHeight="1">
      <c r="A24" s="138" t="s">
        <v>2128</v>
      </c>
      <c r="B24" s="138"/>
      <c r="C24" s="693" t="s">
        <v>2129</v>
      </c>
      <c r="D24" s="138"/>
      <c r="E24" s="138"/>
      <c r="F24" s="143"/>
      <c r="G24" s="143"/>
      <c r="H24" s="143"/>
    </row>
    <row r="25" spans="1:8" ht="36" customHeight="1">
      <c r="A25" s="138" t="s">
        <v>2130</v>
      </c>
      <c r="B25" s="138"/>
      <c r="C25" s="693" t="s">
        <v>2131</v>
      </c>
      <c r="D25" s="138"/>
      <c r="E25" s="138"/>
      <c r="F25" s="143"/>
      <c r="G25" s="143"/>
      <c r="H25" s="143"/>
    </row>
    <row r="26" spans="1:8" ht="27" customHeight="1">
      <c r="A26" s="138" t="s">
        <v>2132</v>
      </c>
      <c r="B26" s="138"/>
      <c r="C26" s="693" t="s">
        <v>2133</v>
      </c>
      <c r="D26" s="138"/>
      <c r="E26" s="138"/>
      <c r="F26" s="143"/>
      <c r="G26" s="143"/>
      <c r="H26" s="143"/>
    </row>
    <row r="27" spans="1:8" ht="36" customHeight="1">
      <c r="A27" s="138" t="s">
        <v>2134</v>
      </c>
      <c r="B27" s="138"/>
      <c r="C27" s="693" t="s">
        <v>2135</v>
      </c>
      <c r="D27" s="138"/>
      <c r="E27" s="138"/>
      <c r="F27" s="143"/>
      <c r="G27" s="143"/>
      <c r="H27" s="143"/>
    </row>
    <row r="28" spans="1:8" ht="28.5" customHeight="1">
      <c r="A28" s="138" t="s">
        <v>2136</v>
      </c>
      <c r="B28" s="138"/>
      <c r="C28" s="693" t="s">
        <v>2137</v>
      </c>
      <c r="D28" s="138"/>
      <c r="E28" s="138"/>
      <c r="F28" s="143"/>
      <c r="G28" s="143"/>
      <c r="H28" s="143"/>
    </row>
    <row r="29" spans="1:8" ht="126" customHeight="1">
      <c r="A29" s="138" t="s">
        <v>2138</v>
      </c>
      <c r="B29" s="138" t="s">
        <v>1169</v>
      </c>
      <c r="C29" s="693"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138" t="s">
        <v>2139</v>
      </c>
      <c r="E29" s="69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143"/>
      <c r="G29" s="143"/>
      <c r="H29" s="138" t="s">
        <v>2140</v>
      </c>
    </row>
    <row r="30" spans="1:8" ht="36" customHeight="1">
      <c r="A30" s="138" t="s">
        <v>2141</v>
      </c>
      <c r="B30" s="138"/>
      <c r="C30" s="69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138" t="s">
        <v>2142</v>
      </c>
      <c r="E30" s="69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143"/>
      <c r="G30" s="143"/>
      <c r="H30" s="143"/>
    </row>
    <row r="31" spans="1:8" ht="54" customHeight="1">
      <c r="A31" s="138" t="s">
        <v>2143</v>
      </c>
      <c r="B31" s="138"/>
      <c r="C31" s="693" t="str">
        <f>IF(TEMPLATE_SPHERE="HEAT",D31,IF(TEMPLATE_SPHERE="TKO",H31,E31))</f>
        <v>Форма 1. Информация об организации, осуществляющей холодное водоснабжение (общая информация)</v>
      </c>
      <c r="D31" s="138" t="s">
        <v>2144</v>
      </c>
      <c r="E31" s="69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143"/>
      <c r="G31" s="143"/>
      <c r="H31" s="143"/>
    </row>
    <row r="32" spans="1:8" ht="198" customHeight="1">
      <c r="A32" s="138" t="s">
        <v>2145</v>
      </c>
      <c r="B32" s="138"/>
      <c r="C32" s="693" t="str">
        <f>IF(TEMPLATE_SPHERE="HEAT",D32,IF(TEMPLATE_SPHERE="TKO",H32,E32))</f>
        <v>Форма 7. Информация об инвестиционных программах организации холодного водоснабжения и отчетах об их исполнении</v>
      </c>
      <c r="D32" s="138" t="s">
        <v>2146</v>
      </c>
      <c r="E32" s="69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143"/>
      <c r="G32" s="143"/>
      <c r="H32" s="138" t="s">
        <v>2147</v>
      </c>
    </row>
    <row r="33" spans="1:8" ht="9" customHeight="1">
      <c r="A33" s="138"/>
      <c r="B33" s="138"/>
      <c r="C33" s="693"/>
      <c r="D33" s="138"/>
      <c r="E33" s="138"/>
      <c r="F33" s="143"/>
      <c r="G33" s="143"/>
      <c r="H33" s="143"/>
    </row>
    <row r="34" spans="1:8" ht="9" customHeight="1">
      <c r="A34" s="138"/>
      <c r="B34" s="138" t="s">
        <v>1155</v>
      </c>
      <c r="C34" s="693">
        <f>INDEX(TEMPLATE_NAME_FORM_LIST,B34,MATCH(TEMPLATE_SPHERE,TEMPLATE_SPHERE_LIST,0))</f>
        <v>0</v>
      </c>
      <c r="D34" s="138"/>
      <c r="E34" s="138"/>
      <c r="F34" s="143"/>
      <c r="G34" s="143"/>
      <c r="H34" s="143"/>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3" max="7" width="8" style="1029" customWidth="1"/>
    <col min="8" max="12" width="8.5703125" style="1029" customWidth="1"/>
    <col min="13" max="14" width="27.7109375" style="1029" customWidth="1"/>
    <col min="15" max="19" width="5.140625" style="1029" customWidth="1"/>
    <col min="20" max="24" width="27.7109375" style="1029" customWidth="1"/>
    <col min="25" max="25" width="1.85546875" style="1029" customWidth="1"/>
    <col min="26" max="29" width="27.7109375" style="1029" customWidth="1"/>
    <col min="30" max="30" width="3.85546875" style="1029" customWidth="1"/>
  </cols>
  <sheetData>
    <row r="1" spans="1:34" ht="18" customHeight="1">
      <c r="A1" s="144"/>
      <c r="B1" s="144"/>
      <c r="C1" s="144" t="s">
        <v>2148</v>
      </c>
      <c r="D1" s="144"/>
      <c r="E1" s="144"/>
      <c r="F1" s="144"/>
      <c r="G1" s="144"/>
      <c r="H1" s="144" t="s">
        <v>2149</v>
      </c>
      <c r="I1" s="144"/>
      <c r="J1" s="144"/>
      <c r="K1" s="144"/>
      <c r="L1" s="144"/>
      <c r="M1" s="144" t="s">
        <v>2150</v>
      </c>
      <c r="N1" s="144" t="s">
        <v>2151</v>
      </c>
      <c r="O1" s="1459" t="s">
        <v>2152</v>
      </c>
      <c r="P1" s="1459"/>
      <c r="Q1" s="1459"/>
      <c r="R1" s="1459"/>
      <c r="S1" s="1459"/>
      <c r="T1" s="1459" t="s">
        <v>2150</v>
      </c>
      <c r="U1" s="1459"/>
      <c r="V1" s="1459"/>
      <c r="W1" s="1459"/>
      <c r="X1" s="1459"/>
      <c r="Y1" s="145"/>
      <c r="Z1" s="1459" t="s">
        <v>2153</v>
      </c>
      <c r="AA1" s="1459"/>
      <c r="AB1" s="1459"/>
      <c r="AC1" s="1459"/>
      <c r="AD1" s="1459"/>
    </row>
    <row r="2" spans="1:34" ht="18" customHeight="1">
      <c r="A2" s="138"/>
      <c r="B2" s="138"/>
      <c r="C2" s="146" t="s">
        <v>828</v>
      </c>
      <c r="D2" s="146" t="s">
        <v>874</v>
      </c>
      <c r="E2" s="146" t="s">
        <v>929</v>
      </c>
      <c r="F2" s="146" t="s">
        <v>916</v>
      </c>
      <c r="G2" s="146" t="s">
        <v>1769</v>
      </c>
      <c r="H2" s="147"/>
      <c r="I2" s="147"/>
      <c r="J2" s="147"/>
      <c r="K2" s="147"/>
      <c r="L2" s="147"/>
      <c r="M2" s="147"/>
      <c r="N2" s="147"/>
      <c r="O2" s="146" t="s">
        <v>828</v>
      </c>
      <c r="P2" s="146" t="s">
        <v>874</v>
      </c>
      <c r="Q2" s="146" t="s">
        <v>916</v>
      </c>
      <c r="R2" s="146" t="s">
        <v>929</v>
      </c>
      <c r="S2" s="146" t="s">
        <v>1769</v>
      </c>
      <c r="T2" s="146" t="s">
        <v>828</v>
      </c>
      <c r="U2" s="146" t="s">
        <v>874</v>
      </c>
      <c r="V2" s="146" t="s">
        <v>916</v>
      </c>
      <c r="W2" s="146" t="s">
        <v>929</v>
      </c>
      <c r="X2" s="146" t="s">
        <v>1769</v>
      </c>
      <c r="Y2" s="146"/>
      <c r="Z2" s="146" t="s">
        <v>828</v>
      </c>
      <c r="AA2" s="695" t="s">
        <v>874</v>
      </c>
      <c r="AB2" s="146" t="s">
        <v>916</v>
      </c>
      <c r="AC2" s="146" t="s">
        <v>929</v>
      </c>
      <c r="AD2" s="146" t="s">
        <v>1769</v>
      </c>
    </row>
    <row r="3" spans="1:34" ht="162" customHeight="1">
      <c r="A3" s="696" t="s">
        <v>27</v>
      </c>
      <c r="B3" s="696"/>
      <c r="C3" s="1463" t="s">
        <v>2154</v>
      </c>
      <c r="D3" s="1464"/>
      <c r="E3" s="1464"/>
      <c r="F3" s="1465"/>
      <c r="G3" s="147"/>
      <c r="H3" s="147"/>
      <c r="I3" s="147"/>
      <c r="J3" s="147"/>
      <c r="K3" s="147"/>
      <c r="L3" s="147"/>
      <c r="M3" s="147"/>
      <c r="N3" s="697"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147"/>
      <c r="P3" s="147"/>
      <c r="Q3" s="147"/>
      <c r="R3" s="147"/>
      <c r="S3" s="147"/>
      <c r="T3" s="147"/>
      <c r="U3" s="147"/>
      <c r="V3" s="147"/>
      <c r="W3" s="147"/>
      <c r="X3" s="147"/>
      <c r="Y3" s="148"/>
      <c r="Z3" s="138" t="s">
        <v>2155</v>
      </c>
      <c r="AA3" s="147" t="s">
        <v>2156</v>
      </c>
      <c r="AB3" s="138" t="s">
        <v>2157</v>
      </c>
      <c r="AC3" s="138" t="s">
        <v>2158</v>
      </c>
      <c r="AD3" s="138"/>
      <c r="AG3" s="138"/>
      <c r="AH3" s="138"/>
    </row>
    <row r="4" spans="1:34" ht="9" customHeight="1">
      <c r="A4" s="696"/>
      <c r="B4" s="696"/>
      <c r="C4" s="147"/>
      <c r="D4" s="147"/>
      <c r="E4" s="147"/>
      <c r="F4" s="147"/>
      <c r="G4" s="147"/>
      <c r="H4" s="147"/>
      <c r="I4" s="147"/>
      <c r="J4" s="147"/>
      <c r="K4" s="147"/>
      <c r="L4" s="147"/>
      <c r="M4" s="147"/>
      <c r="N4" s="147"/>
      <c r="O4" s="147"/>
      <c r="P4" s="147"/>
      <c r="Q4" s="147"/>
      <c r="R4" s="147"/>
      <c r="S4" s="147"/>
      <c r="T4" s="147"/>
      <c r="U4" s="147"/>
      <c r="V4" s="147"/>
      <c r="W4" s="147"/>
      <c r="X4" s="147"/>
      <c r="Y4" s="148"/>
      <c r="Z4" s="138"/>
      <c r="AA4" s="694"/>
      <c r="AB4" s="138"/>
      <c r="AC4" s="138"/>
      <c r="AD4" s="138"/>
    </row>
    <row r="5" spans="1:34" ht="9" customHeight="1">
      <c r="A5" s="696"/>
      <c r="B5" s="696"/>
      <c r="C5" s="147"/>
      <c r="D5" s="147"/>
      <c r="E5" s="147"/>
      <c r="F5" s="147"/>
      <c r="G5" s="147"/>
      <c r="H5" s="147"/>
      <c r="I5" s="147"/>
      <c r="J5" s="147"/>
      <c r="K5" s="147"/>
      <c r="L5" s="147"/>
      <c r="M5" s="147"/>
      <c r="N5" s="147"/>
      <c r="O5" s="147"/>
      <c r="P5" s="147"/>
      <c r="Q5" s="147"/>
      <c r="R5" s="147"/>
      <c r="S5" s="147"/>
      <c r="T5" s="147"/>
      <c r="U5" s="147"/>
      <c r="V5" s="147"/>
      <c r="W5" s="147"/>
      <c r="X5" s="147"/>
      <c r="Y5" s="148"/>
      <c r="Z5" s="138"/>
      <c r="AA5" s="694"/>
      <c r="AB5" s="138"/>
      <c r="AC5" s="138"/>
      <c r="AD5" s="138"/>
    </row>
    <row r="6" spans="1:34" ht="9" customHeight="1">
      <c r="A6" s="696"/>
      <c r="B6" s="696"/>
      <c r="C6" s="147"/>
      <c r="D6" s="147"/>
      <c r="E6" s="147"/>
      <c r="F6" s="147"/>
      <c r="G6" s="147"/>
      <c r="H6" s="147"/>
      <c r="I6" s="147"/>
      <c r="J6" s="147"/>
      <c r="K6" s="147"/>
      <c r="L6" s="147"/>
      <c r="M6" s="147"/>
      <c r="N6" s="147"/>
      <c r="O6" s="147"/>
      <c r="P6" s="147"/>
      <c r="Q6" s="147"/>
      <c r="R6" s="147"/>
      <c r="S6" s="147"/>
      <c r="T6" s="147"/>
      <c r="U6" s="147"/>
      <c r="V6" s="147"/>
      <c r="W6" s="147"/>
      <c r="X6" s="147"/>
      <c r="Y6" s="148"/>
      <c r="Z6" s="138"/>
      <c r="AA6" s="694"/>
      <c r="AB6" s="138"/>
      <c r="AC6" s="138"/>
      <c r="AD6" s="138"/>
    </row>
    <row r="7" spans="1:34" ht="9" customHeight="1">
      <c r="A7" s="696"/>
      <c r="B7" s="696"/>
      <c r="C7" s="147"/>
      <c r="D7" s="147"/>
      <c r="E7" s="147"/>
      <c r="F7" s="147"/>
      <c r="G7" s="147"/>
      <c r="H7" s="147"/>
      <c r="I7" s="147"/>
      <c r="J7" s="147"/>
      <c r="K7" s="147"/>
      <c r="L7" s="147"/>
      <c r="M7" s="147"/>
      <c r="N7" s="147"/>
      <c r="O7" s="147"/>
      <c r="P7" s="147"/>
      <c r="Q7" s="147"/>
      <c r="R7" s="147"/>
      <c r="S7" s="147"/>
      <c r="T7" s="147"/>
      <c r="U7" s="147"/>
      <c r="V7" s="147"/>
      <c r="W7" s="147"/>
      <c r="X7" s="147"/>
      <c r="Y7" s="148"/>
      <c r="Z7" s="138"/>
      <c r="AA7" s="694"/>
      <c r="AB7" s="138"/>
      <c r="AC7" s="138"/>
      <c r="AD7" s="138"/>
    </row>
    <row r="8" spans="1:34" ht="9" customHeight="1">
      <c r="A8" s="696"/>
      <c r="B8" s="696"/>
      <c r="C8" s="147"/>
      <c r="D8" s="147"/>
      <c r="E8" s="147"/>
      <c r="F8" s="147"/>
      <c r="G8" s="147"/>
      <c r="H8" s="147"/>
      <c r="I8" s="147"/>
      <c r="J8" s="147"/>
      <c r="K8" s="147"/>
      <c r="L8" s="147"/>
      <c r="M8" s="147"/>
      <c r="N8" s="147"/>
      <c r="O8" s="147"/>
      <c r="P8" s="147"/>
      <c r="Q8" s="147"/>
      <c r="R8" s="147"/>
      <c r="S8" s="147"/>
      <c r="T8" s="147"/>
      <c r="U8" s="147"/>
      <c r="V8" s="147"/>
      <c r="W8" s="147"/>
      <c r="X8" s="147"/>
      <c r="Y8" s="148"/>
      <c r="Z8" s="138"/>
      <c r="AA8" s="694"/>
      <c r="AB8" s="138"/>
      <c r="AC8" s="138"/>
      <c r="AD8" s="138"/>
    </row>
    <row r="9" spans="1:34" ht="9" customHeight="1">
      <c r="A9" s="696"/>
      <c r="B9" s="696"/>
      <c r="C9" s="147"/>
      <c r="D9" s="147"/>
      <c r="E9" s="147"/>
      <c r="F9" s="147"/>
      <c r="G9" s="147"/>
      <c r="H9" s="147"/>
      <c r="I9" s="147"/>
      <c r="J9" s="147"/>
      <c r="K9" s="147"/>
      <c r="L9" s="147"/>
      <c r="M9" s="147"/>
      <c r="N9" s="147"/>
      <c r="O9" s="147"/>
      <c r="P9" s="147"/>
      <c r="Q9" s="147"/>
      <c r="R9" s="147"/>
      <c r="S9" s="147"/>
      <c r="T9" s="147"/>
      <c r="U9" s="147"/>
      <c r="V9" s="147"/>
      <c r="W9" s="147"/>
      <c r="X9" s="147"/>
      <c r="Y9" s="148"/>
      <c r="Z9" s="138"/>
      <c r="AA9" s="694"/>
      <c r="AB9" s="138"/>
      <c r="AC9" s="138"/>
      <c r="AD9" s="138"/>
    </row>
    <row r="10" spans="1:34" ht="9" customHeight="1">
      <c r="A10" s="698"/>
      <c r="B10" s="698"/>
      <c r="C10" s="698"/>
      <c r="D10" s="698"/>
      <c r="E10" s="698"/>
      <c r="F10" s="698"/>
      <c r="G10" s="698"/>
      <c r="H10" s="698"/>
      <c r="I10" s="698"/>
      <c r="J10" s="698"/>
      <c r="K10" s="698"/>
      <c r="L10" s="698"/>
      <c r="M10" s="698"/>
      <c r="N10" s="698"/>
      <c r="O10" s="698"/>
      <c r="P10" s="698"/>
      <c r="Q10" s="698"/>
      <c r="R10" s="698"/>
      <c r="S10" s="698"/>
      <c r="T10" s="698"/>
      <c r="U10" s="698"/>
      <c r="V10" s="698"/>
      <c r="W10" s="698"/>
      <c r="X10" s="698"/>
      <c r="Y10" s="698"/>
      <c r="Z10" s="698"/>
      <c r="AA10" s="698"/>
      <c r="AB10" s="698"/>
      <c r="AC10" s="698"/>
      <c r="AD10" s="698"/>
    </row>
    <row r="11" spans="1:34" ht="45" customHeight="1">
      <c r="A11" s="1460" t="s">
        <v>33</v>
      </c>
      <c r="B11" s="698">
        <v>1</v>
      </c>
      <c r="C11" s="1466" t="s">
        <v>1166</v>
      </c>
      <c r="D11" s="1466" t="s">
        <v>105</v>
      </c>
      <c r="E11" s="1466" t="s">
        <v>1802</v>
      </c>
      <c r="F11" s="1466" t="s">
        <v>2159</v>
      </c>
      <c r="G11" s="1466"/>
      <c r="H11" s="144" t="s">
        <v>2160</v>
      </c>
      <c r="I11" s="144"/>
      <c r="J11" s="144"/>
      <c r="K11" s="144"/>
      <c r="L11" s="144"/>
      <c r="M11" s="697" t="str">
        <f>IF(TEMPLATE_SPHERE="HEAT",T11,U11)</f>
        <v xml:space="preserve">Количество поданных заявлений </v>
      </c>
      <c r="N11" s="697"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147"/>
      <c r="P11" s="147"/>
      <c r="Q11" s="147"/>
      <c r="R11" s="147"/>
      <c r="S11" s="147"/>
      <c r="T11" s="147" t="s">
        <v>2161</v>
      </c>
      <c r="U11" s="147" t="s">
        <v>2162</v>
      </c>
      <c r="V11" s="147"/>
      <c r="W11" s="147"/>
      <c r="X11" s="147"/>
      <c r="Y11" s="148"/>
      <c r="Z11" s="138" t="s">
        <v>2163</v>
      </c>
      <c r="AA11" s="69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138"/>
      <c r="AC11" s="138"/>
      <c r="AD11" s="138"/>
    </row>
    <row r="12" spans="1:34" ht="45" customHeight="1">
      <c r="A12" s="1460"/>
      <c r="B12" s="698">
        <v>2</v>
      </c>
      <c r="C12" s="1467"/>
      <c r="D12" s="1467"/>
      <c r="E12" s="1467"/>
      <c r="F12" s="1467"/>
      <c r="G12" s="1467"/>
      <c r="H12" s="144" t="s">
        <v>2164</v>
      </c>
      <c r="I12" s="144"/>
      <c r="J12" s="144"/>
      <c r="K12" s="144"/>
      <c r="L12" s="144"/>
      <c r="M12" s="697" t="str">
        <f>IF(TEMPLATE_SPHERE="HEAT",T12,U12)</f>
        <v xml:space="preserve">Количество исполненных заявлений </v>
      </c>
      <c r="N12" s="697"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147"/>
      <c r="P12" s="147"/>
      <c r="Q12" s="147"/>
      <c r="R12" s="147"/>
      <c r="S12" s="147"/>
      <c r="T12" s="147" t="s">
        <v>2165</v>
      </c>
      <c r="U12" s="147" t="s">
        <v>2166</v>
      </c>
      <c r="V12" s="147"/>
      <c r="W12" s="147"/>
      <c r="X12" s="147"/>
      <c r="Y12" s="148"/>
      <c r="Z12" s="138" t="s">
        <v>2167</v>
      </c>
      <c r="AA12" s="69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138"/>
      <c r="AC12" s="138"/>
      <c r="AD12" s="138"/>
    </row>
    <row r="13" spans="1:34" ht="72" customHeight="1">
      <c r="A13" s="1460"/>
      <c r="B13" s="698">
        <v>3</v>
      </c>
      <c r="C13" s="1467"/>
      <c r="D13" s="1467"/>
      <c r="E13" s="1467"/>
      <c r="F13" s="1467"/>
      <c r="G13" s="1467"/>
      <c r="H13" s="1459" t="s">
        <v>2168</v>
      </c>
      <c r="I13" s="144"/>
      <c r="J13" s="144"/>
      <c r="K13" s="144"/>
      <c r="L13" s="144"/>
      <c r="M13" s="697"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697"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147"/>
      <c r="P13" s="697"/>
      <c r="Q13" s="697"/>
      <c r="R13" s="697"/>
      <c r="S13" s="147"/>
      <c r="T13" s="147" t="s">
        <v>2169</v>
      </c>
      <c r="U13" s="697" t="s">
        <v>2170</v>
      </c>
      <c r="V13" s="697"/>
      <c r="W13" s="697"/>
      <c r="X13" s="147"/>
      <c r="Y13" s="148"/>
      <c r="Z13" s="138" t="s">
        <v>2171</v>
      </c>
      <c r="AA13" s="69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138"/>
      <c r="AC13" s="138"/>
      <c r="AD13" s="138"/>
    </row>
    <row r="14" spans="1:34" ht="45" customHeight="1">
      <c r="A14" s="1460"/>
      <c r="B14" s="698">
        <v>4</v>
      </c>
      <c r="C14" s="1467"/>
      <c r="D14" s="1467"/>
      <c r="E14" s="1467"/>
      <c r="F14" s="1467"/>
      <c r="G14" s="1467"/>
      <c r="H14" s="1459"/>
      <c r="I14" s="149"/>
      <c r="J14" s="149"/>
      <c r="K14" s="149"/>
      <c r="L14" s="149"/>
      <c r="M14" s="699"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697"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147"/>
      <c r="P14" s="697"/>
      <c r="Q14" s="697"/>
      <c r="R14" s="697"/>
      <c r="S14" s="147"/>
      <c r="T14" s="147" t="s">
        <v>2172</v>
      </c>
      <c r="U14" s="69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697"/>
      <c r="W14" s="697"/>
      <c r="X14" s="147"/>
      <c r="Y14" s="148"/>
      <c r="Z14" s="138" t="s">
        <v>2173</v>
      </c>
      <c r="AA14" s="694" t="s">
        <v>2173</v>
      </c>
      <c r="AB14" s="138"/>
      <c r="AC14" s="138"/>
      <c r="AD14" s="138"/>
    </row>
    <row r="15" spans="1:34" ht="108" customHeight="1">
      <c r="A15" s="1460"/>
      <c r="B15" s="698">
        <v>5</v>
      </c>
      <c r="C15" s="1467"/>
      <c r="D15" s="1467"/>
      <c r="E15" s="1467"/>
      <c r="F15" s="1467"/>
      <c r="G15" s="1467"/>
      <c r="H15" s="1461" t="s">
        <v>2174</v>
      </c>
      <c r="I15" s="150"/>
      <c r="J15" s="150"/>
      <c r="K15" s="150"/>
      <c r="L15" s="150"/>
      <c r="M15" s="694"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00"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147"/>
      <c r="P15" s="697"/>
      <c r="Q15" s="697"/>
      <c r="R15" s="697"/>
      <c r="S15" s="147"/>
      <c r="T15" s="147" t="s">
        <v>2175</v>
      </c>
      <c r="U15" s="69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697"/>
      <c r="W15" s="697"/>
      <c r="X15" s="147"/>
      <c r="Y15" s="148"/>
      <c r="Z15" s="138" t="s">
        <v>2176</v>
      </c>
      <c r="AA15" s="69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138"/>
      <c r="AC15" s="138"/>
      <c r="AD15" s="138"/>
    </row>
    <row r="16" spans="1:34" ht="108" customHeight="1">
      <c r="A16" s="698"/>
      <c r="B16" s="698">
        <v>6</v>
      </c>
      <c r="C16" s="1468"/>
      <c r="D16" s="1468"/>
      <c r="E16" s="1468"/>
      <c r="F16" s="1468"/>
      <c r="G16" s="1468"/>
      <c r="H16" s="1462"/>
      <c r="I16" s="151"/>
      <c r="J16" s="151"/>
      <c r="K16" s="151"/>
      <c r="L16" s="151"/>
      <c r="M16" s="701"/>
      <c r="N16" s="700"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147"/>
      <c r="P16" s="697"/>
      <c r="Q16" s="697"/>
      <c r="R16" s="697"/>
      <c r="S16" s="147"/>
      <c r="T16" s="147"/>
      <c r="U16" s="697"/>
      <c r="V16" s="697"/>
      <c r="W16" s="697"/>
      <c r="X16" s="147"/>
      <c r="Y16" s="148"/>
      <c r="Z16" s="138" t="s">
        <v>2176</v>
      </c>
      <c r="AA16" s="69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138"/>
      <c r="AC16" s="138"/>
      <c r="AD16" s="138"/>
    </row>
    <row r="17" spans="1:30" ht="9" customHeight="1">
      <c r="A17" s="698"/>
      <c r="B17" s="698"/>
      <c r="C17" s="698">
        <v>22</v>
      </c>
      <c r="D17" s="698">
        <v>21</v>
      </c>
      <c r="E17" s="698">
        <v>42</v>
      </c>
      <c r="F17" s="698">
        <v>63</v>
      </c>
      <c r="G17" s="698"/>
      <c r="H17" s="698"/>
      <c r="I17" s="698"/>
      <c r="J17" s="698"/>
      <c r="K17" s="698"/>
      <c r="L17" s="698"/>
      <c r="M17" s="698"/>
      <c r="N17" s="698"/>
      <c r="O17" s="698"/>
      <c r="P17" s="698"/>
      <c r="Q17" s="698"/>
      <c r="R17" s="698"/>
      <c r="S17" s="698"/>
      <c r="T17" s="698"/>
      <c r="U17" s="698"/>
      <c r="V17" s="698"/>
      <c r="W17" s="698"/>
      <c r="X17" s="698"/>
      <c r="Y17" s="698"/>
      <c r="Z17" s="698"/>
      <c r="AA17" s="698"/>
      <c r="AB17" s="698"/>
      <c r="AC17" s="698"/>
      <c r="AD17" s="698"/>
    </row>
    <row r="18" spans="1:30" ht="27" customHeight="1">
      <c r="A18" s="696" t="s">
        <v>1805</v>
      </c>
      <c r="B18" s="698">
        <v>1</v>
      </c>
      <c r="C18" s="147" t="s">
        <v>2160</v>
      </c>
      <c r="D18" s="152" t="s">
        <v>2160</v>
      </c>
      <c r="E18" s="147" t="s">
        <v>2160</v>
      </c>
      <c r="F18" s="147" t="s">
        <v>2160</v>
      </c>
      <c r="G18" s="147"/>
      <c r="H18" s="702"/>
      <c r="I18" s="703">
        <f t="shared" ref="I18:I49" si="1">INDEX(TEMPLATE_NUMBER_POINT_FHD,B18,MATCH(TEMPLATE_SPHERE,TEMPLATE_SPHERE_LIST_FOR_NOTE,0))</f>
        <v>1</v>
      </c>
      <c r="J18" s="703" t="str">
        <f t="shared" ref="J18:J49" si="2">INDEX(TEMPLATE_DATA_POINT_FHD,B18,MATCH(TEMPLATE_SPHERE,TEMPLATE_SPHERE_LIST_FOR_NOTE,0))</f>
        <v>Выручка от регулируемых видов деятельности в сфере холодного водоснабжения</v>
      </c>
      <c r="K18" s="703" t="str">
        <f t="shared" ref="K18:K49" si="3">INDEX(TEMPLATE_NOTE_POINT_FHD,B18,MATCH(TEMPLATE_SPHERE,TEMPLATE_SPHERE_LIST_FOR_NOTE,0))</f>
        <v>Указывается выручка с распределением по видам деятельности.</v>
      </c>
      <c r="L18" s="697">
        <f t="shared" ref="L18:L49" si="4">IF(I18=0,"",I18)</f>
        <v>1</v>
      </c>
      <c r="M18" s="697" t="str">
        <f t="shared" ref="M18:M49" si="5">IF(J18=0,"",J18)</f>
        <v>Выручка от регулируемых видов деятельности в сфере холодного водоснабжения</v>
      </c>
      <c r="N18" s="697" t="str">
        <f t="shared" ref="N18:N49" si="6">IF(K18=0,"",K18)</f>
        <v>Указывается выручка с распределением по видам деятельности.</v>
      </c>
      <c r="O18" s="153">
        <v>1</v>
      </c>
      <c r="P18" s="153">
        <v>1</v>
      </c>
      <c r="Q18" s="153">
        <v>1</v>
      </c>
      <c r="R18" s="153">
        <v>1</v>
      </c>
      <c r="S18" s="153"/>
      <c r="T18" s="704" t="s">
        <v>2177</v>
      </c>
      <c r="U18" s="138" t="s">
        <v>2178</v>
      </c>
      <c r="V18" s="138" t="s">
        <v>2179</v>
      </c>
      <c r="W18" s="138" t="s">
        <v>2180</v>
      </c>
      <c r="X18" s="147"/>
      <c r="Y18" s="148"/>
      <c r="Z18" s="138" t="s">
        <v>2181</v>
      </c>
      <c r="AA18" s="694" t="s">
        <v>2182</v>
      </c>
      <c r="AB18" s="694" t="s">
        <v>2182</v>
      </c>
      <c r="AC18" s="694" t="s">
        <v>2182</v>
      </c>
      <c r="AD18" s="138"/>
    </row>
    <row r="19" spans="1:30" ht="36" customHeight="1">
      <c r="A19" s="696"/>
      <c r="B19" s="698">
        <v>2</v>
      </c>
      <c r="C19" s="147" t="s">
        <v>2164</v>
      </c>
      <c r="D19" s="152" t="s">
        <v>2164</v>
      </c>
      <c r="E19" s="147" t="s">
        <v>2164</v>
      </c>
      <c r="F19" s="147" t="s">
        <v>2164</v>
      </c>
      <c r="G19" s="147"/>
      <c r="H19" s="702"/>
      <c r="I19" s="703">
        <f t="shared" si="1"/>
        <v>2</v>
      </c>
      <c r="J19" s="703" t="str">
        <f t="shared" si="2"/>
        <v>Себестоимость производимых товаров (оказываемых услуг) по регулируемым видам деятельности в сфере холодного водоснабжения, включая:</v>
      </c>
      <c r="K19" s="703" t="str">
        <f t="shared" si="3"/>
        <v>Указывается суммарная себестоимость производимых товаров.</v>
      </c>
      <c r="L19" s="697">
        <f t="shared" si="4"/>
        <v>2</v>
      </c>
      <c r="M19" s="697" t="str">
        <f t="shared" si="5"/>
        <v>Себестоимость производимых товаров (оказываемых услуг) по регулируемым видам деятельности в сфере холодного водоснабжения, включая:</v>
      </c>
      <c r="N19" s="697" t="str">
        <f t="shared" si="6"/>
        <v>Указывается суммарная себестоимость производимых товаров.</v>
      </c>
      <c r="O19" s="153">
        <v>2</v>
      </c>
      <c r="P19" s="153">
        <v>2</v>
      </c>
      <c r="Q19" s="153">
        <v>2</v>
      </c>
      <c r="R19" s="153">
        <v>2</v>
      </c>
      <c r="S19" s="153"/>
      <c r="T19" s="704" t="s">
        <v>2183</v>
      </c>
      <c r="U19" s="138" t="s">
        <v>2184</v>
      </c>
      <c r="V19" s="138" t="s">
        <v>2185</v>
      </c>
      <c r="W19" s="138" t="s">
        <v>2186</v>
      </c>
      <c r="X19" s="147"/>
      <c r="Y19" s="148"/>
      <c r="Z19" s="138" t="s">
        <v>2187</v>
      </c>
      <c r="AA19" s="694" t="s">
        <v>2187</v>
      </c>
      <c r="AB19" s="694" t="s">
        <v>2187</v>
      </c>
      <c r="AC19" s="694" t="s">
        <v>2187</v>
      </c>
      <c r="AD19" s="138"/>
    </row>
    <row r="20" spans="1:30" ht="27" customHeight="1">
      <c r="A20" s="696"/>
      <c r="B20" s="698">
        <v>3</v>
      </c>
      <c r="C20" s="147">
        <v>1</v>
      </c>
      <c r="D20" s="152"/>
      <c r="E20" s="147"/>
      <c r="F20" s="147"/>
      <c r="G20" s="147"/>
      <c r="H20" s="702"/>
      <c r="I20" s="703" t="str">
        <f t="shared" si="1"/>
        <v>2.1</v>
      </c>
      <c r="J20" s="703" t="str">
        <f t="shared" si="2"/>
        <v>Расходы на оплату холодной воды, приобретаемой у других организаций для последующей подачи потребителям</v>
      </c>
      <c r="K20" s="703">
        <f t="shared" si="3"/>
        <v>0</v>
      </c>
      <c r="L20" s="697" t="str">
        <f t="shared" si="4"/>
        <v>2.1</v>
      </c>
      <c r="M20" s="697" t="str">
        <f t="shared" si="5"/>
        <v>Расходы на оплату холодной воды, приобретаемой у других организаций для последующей подачи потребителям</v>
      </c>
      <c r="N20" s="697" t="str">
        <f t="shared" si="6"/>
        <v/>
      </c>
      <c r="O20" s="153" t="s">
        <v>729</v>
      </c>
      <c r="P20" s="153" t="s">
        <v>729</v>
      </c>
      <c r="Q20" s="153" t="s">
        <v>729</v>
      </c>
      <c r="R20" s="153" t="s">
        <v>729</v>
      </c>
      <c r="S20" s="153"/>
      <c r="T20" s="704" t="s">
        <v>2188</v>
      </c>
      <c r="U20" s="138" t="s">
        <v>2189</v>
      </c>
      <c r="V20" s="138" t="s">
        <v>2190</v>
      </c>
      <c r="W20" s="138" t="s">
        <v>2191</v>
      </c>
      <c r="X20" s="147"/>
      <c r="Y20" s="148"/>
      <c r="Z20" s="138"/>
      <c r="AA20" s="694"/>
      <c r="AB20" s="138"/>
      <c r="AC20" s="138"/>
      <c r="AD20" s="138"/>
    </row>
    <row r="21" spans="1:30" ht="36" customHeight="1">
      <c r="A21" s="696"/>
      <c r="B21" s="698">
        <v>4</v>
      </c>
      <c r="C21" s="147">
        <v>2</v>
      </c>
      <c r="D21" s="152"/>
      <c r="E21" s="147"/>
      <c r="F21" s="147"/>
      <c r="G21" s="147"/>
      <c r="H21" s="702"/>
      <c r="I21" s="703">
        <f t="shared" si="1"/>
        <v>0</v>
      </c>
      <c r="J21" s="703">
        <f t="shared" si="2"/>
        <v>0</v>
      </c>
      <c r="K21" s="703">
        <f t="shared" si="3"/>
        <v>0</v>
      </c>
      <c r="L21" s="697" t="str">
        <f t="shared" si="4"/>
        <v/>
      </c>
      <c r="M21" s="697" t="str">
        <f t="shared" si="5"/>
        <v/>
      </c>
      <c r="N21" s="697" t="str">
        <f t="shared" si="6"/>
        <v/>
      </c>
      <c r="O21" s="153" t="s">
        <v>318</v>
      </c>
      <c r="P21" s="153"/>
      <c r="Q21" s="153"/>
      <c r="R21" s="153"/>
      <c r="S21" s="153"/>
      <c r="T21" s="704" t="s">
        <v>2192</v>
      </c>
      <c r="U21" s="138"/>
      <c r="V21" s="138"/>
      <c r="W21" s="138"/>
      <c r="X21" s="147"/>
      <c r="Y21" s="148"/>
      <c r="Z21" s="138" t="s">
        <v>2193</v>
      </c>
      <c r="AA21" s="694"/>
      <c r="AB21" s="138"/>
      <c r="AC21" s="138"/>
      <c r="AD21" s="138"/>
    </row>
    <row r="22" spans="1:30" ht="36" customHeight="1">
      <c r="A22" s="696"/>
      <c r="B22" s="698">
        <v>5</v>
      </c>
      <c r="C22" s="147">
        <v>3</v>
      </c>
      <c r="D22" s="152"/>
      <c r="E22" s="147"/>
      <c r="F22" s="147"/>
      <c r="G22" s="154"/>
      <c r="H22" s="705"/>
      <c r="I22" s="703">
        <f t="shared" si="1"/>
        <v>0</v>
      </c>
      <c r="J22" s="703">
        <f t="shared" si="2"/>
        <v>0</v>
      </c>
      <c r="K22" s="703">
        <f t="shared" si="3"/>
        <v>0</v>
      </c>
      <c r="L22" s="697" t="str">
        <f t="shared" si="4"/>
        <v/>
      </c>
      <c r="M22" s="697" t="str">
        <f t="shared" si="5"/>
        <v/>
      </c>
      <c r="N22" s="697" t="str">
        <f t="shared" si="6"/>
        <v/>
      </c>
      <c r="O22" s="153"/>
      <c r="P22" s="153"/>
      <c r="Q22" s="153" t="s">
        <v>318</v>
      </c>
      <c r="R22" s="153"/>
      <c r="S22" s="153"/>
      <c r="T22" s="704"/>
      <c r="U22" s="138"/>
      <c r="V22" s="138" t="s">
        <v>2194</v>
      </c>
      <c r="W22" s="138"/>
      <c r="X22" s="147"/>
      <c r="Y22" s="148"/>
      <c r="Z22" s="138"/>
      <c r="AA22" s="694"/>
      <c r="AB22" s="138"/>
      <c r="AC22" s="138"/>
      <c r="AD22" s="138"/>
    </row>
    <row r="23" spans="1:30" ht="27" customHeight="1">
      <c r="A23" s="696"/>
      <c r="B23" s="698">
        <v>6</v>
      </c>
      <c r="C23" s="147">
        <v>4</v>
      </c>
      <c r="D23" s="152"/>
      <c r="E23" s="147"/>
      <c r="F23" s="147"/>
      <c r="G23" s="154"/>
      <c r="H23" s="705"/>
      <c r="I23" s="703">
        <f t="shared" si="1"/>
        <v>0</v>
      </c>
      <c r="J23" s="703">
        <f t="shared" si="2"/>
        <v>0</v>
      </c>
      <c r="K23" s="703">
        <f t="shared" si="3"/>
        <v>0</v>
      </c>
      <c r="L23" s="697" t="str">
        <f t="shared" si="4"/>
        <v/>
      </c>
      <c r="M23" s="697" t="str">
        <f t="shared" si="5"/>
        <v/>
      </c>
      <c r="N23" s="697" t="str">
        <f t="shared" si="6"/>
        <v/>
      </c>
      <c r="O23" s="153"/>
      <c r="P23" s="153"/>
      <c r="Q23" s="153" t="s">
        <v>321</v>
      </c>
      <c r="R23" s="153"/>
      <c r="S23" s="153"/>
      <c r="T23" s="704"/>
      <c r="U23" s="138"/>
      <c r="V23" s="138" t="s">
        <v>2195</v>
      </c>
      <c r="W23" s="138"/>
      <c r="X23" s="147"/>
      <c r="Y23" s="148"/>
      <c r="Z23" s="138"/>
      <c r="AA23" s="694"/>
      <c r="AB23" s="138"/>
      <c r="AC23" s="138"/>
      <c r="AD23" s="138"/>
    </row>
    <row r="24" spans="1:30" ht="36" customHeight="1">
      <c r="A24" s="696"/>
      <c r="B24" s="698">
        <v>7</v>
      </c>
      <c r="C24" s="147">
        <v>5</v>
      </c>
      <c r="D24" s="152"/>
      <c r="E24" s="147"/>
      <c r="F24" s="147"/>
      <c r="G24" s="154"/>
      <c r="H24" s="705"/>
      <c r="I24" s="703">
        <f t="shared" si="1"/>
        <v>0</v>
      </c>
      <c r="J24" s="703">
        <f t="shared" si="2"/>
        <v>0</v>
      </c>
      <c r="K24" s="703">
        <f t="shared" si="3"/>
        <v>0</v>
      </c>
      <c r="L24" s="697" t="str">
        <f t="shared" si="4"/>
        <v/>
      </c>
      <c r="M24" s="697" t="str">
        <f t="shared" si="5"/>
        <v/>
      </c>
      <c r="N24" s="697" t="str">
        <f t="shared" si="6"/>
        <v/>
      </c>
      <c r="O24" s="153"/>
      <c r="P24" s="153"/>
      <c r="Q24" s="153" t="s">
        <v>749</v>
      </c>
      <c r="R24" s="153"/>
      <c r="S24" s="153"/>
      <c r="T24" s="704"/>
      <c r="U24" s="138"/>
      <c r="V24" s="138" t="s">
        <v>2196</v>
      </c>
      <c r="W24" s="138"/>
      <c r="X24" s="147"/>
      <c r="Y24" s="148"/>
      <c r="Z24" s="138"/>
      <c r="AA24" s="694"/>
      <c r="AB24" s="138"/>
      <c r="AC24" s="138"/>
      <c r="AD24" s="138"/>
    </row>
    <row r="25" spans="1:30" ht="36" customHeight="1">
      <c r="A25" s="696"/>
      <c r="B25" s="698">
        <v>8</v>
      </c>
      <c r="C25" s="147">
        <v>6</v>
      </c>
      <c r="D25" s="152"/>
      <c r="E25" s="147"/>
      <c r="F25" s="147"/>
      <c r="G25" s="154"/>
      <c r="H25" s="705"/>
      <c r="I25" s="703" t="str">
        <f t="shared" si="1"/>
        <v>2.2</v>
      </c>
      <c r="J25" s="703" t="str">
        <f t="shared" si="2"/>
        <v>Расходы на приобретаемую электрическую энергию (мощность), используемую в технологическом процессе</v>
      </c>
      <c r="K25" s="703">
        <f t="shared" si="3"/>
        <v>0</v>
      </c>
      <c r="L25" s="697" t="str">
        <f t="shared" si="4"/>
        <v>2.2</v>
      </c>
      <c r="M25" s="697" t="str">
        <f t="shared" si="5"/>
        <v>Расходы на приобретаемую электрическую энергию (мощность), используемую в технологическом процессе</v>
      </c>
      <c r="N25" s="697" t="str">
        <f t="shared" si="6"/>
        <v/>
      </c>
      <c r="O25" s="153" t="s">
        <v>321</v>
      </c>
      <c r="P25" s="153" t="s">
        <v>318</v>
      </c>
      <c r="Q25" s="153" t="s">
        <v>756</v>
      </c>
      <c r="R25" s="153" t="s">
        <v>318</v>
      </c>
      <c r="S25" s="153"/>
      <c r="T25" s="704" t="s">
        <v>2197</v>
      </c>
      <c r="U25" s="138" t="s">
        <v>2197</v>
      </c>
      <c r="V25" s="138" t="s">
        <v>2197</v>
      </c>
      <c r="W25" s="138" t="s">
        <v>2197</v>
      </c>
      <c r="X25" s="147"/>
      <c r="Y25" s="148"/>
      <c r="Z25" s="138"/>
      <c r="AA25" s="694"/>
      <c r="AB25" s="138"/>
      <c r="AC25" s="138"/>
      <c r="AD25" s="138"/>
    </row>
    <row r="26" spans="1:30" ht="18" customHeight="1">
      <c r="A26" s="696"/>
      <c r="B26" s="698">
        <v>9</v>
      </c>
      <c r="C26" s="147" t="s">
        <v>673</v>
      </c>
      <c r="D26" s="152"/>
      <c r="E26" s="147"/>
      <c r="F26" s="147"/>
      <c r="G26" s="154"/>
      <c r="H26" s="705"/>
      <c r="I26" s="703" t="str">
        <f t="shared" si="1"/>
        <v>2.2.1</v>
      </c>
      <c r="J26" s="703" t="str">
        <f t="shared" si="2"/>
        <v>Средневзвешенная стоимость 1 кВт.ч (с учетом мощности)</v>
      </c>
      <c r="K26" s="703">
        <f t="shared" si="3"/>
        <v>0</v>
      </c>
      <c r="L26" s="697" t="str">
        <f t="shared" si="4"/>
        <v>2.2.1</v>
      </c>
      <c r="M26" s="697" t="str">
        <f t="shared" si="5"/>
        <v>Средневзвешенная стоимость 1 кВт.ч (с учетом мощности)</v>
      </c>
      <c r="N26" s="697" t="str">
        <f t="shared" si="6"/>
        <v/>
      </c>
      <c r="O26" s="153" t="s">
        <v>745</v>
      </c>
      <c r="P26" s="153" t="s">
        <v>739</v>
      </c>
      <c r="Q26" s="153" t="s">
        <v>2198</v>
      </c>
      <c r="R26" s="153" t="s">
        <v>739</v>
      </c>
      <c r="S26" s="153"/>
      <c r="T26" s="704" t="str">
        <f>"Средневзвешенная стоимость 1 кВт.ч"&amp;IF(TITLE_TYPE_ORG="Регулируемая организация"," (с учетом мощности)","")</f>
        <v>Средневзвешенная стоимость 1 кВт.ч</v>
      </c>
      <c r="U26" s="704" t="s">
        <v>2199</v>
      </c>
      <c r="V26" s="704" t="s">
        <v>2199</v>
      </c>
      <c r="W26" s="704" t="s">
        <v>2199</v>
      </c>
      <c r="X26" s="147"/>
      <c r="Y26" s="148"/>
      <c r="Z26" s="138"/>
      <c r="AA26" s="694"/>
      <c r="AB26" s="138"/>
      <c r="AC26" s="138"/>
      <c r="AD26" s="138"/>
    </row>
    <row r="27" spans="1:30" ht="18" customHeight="1">
      <c r="A27" s="696"/>
      <c r="B27" s="698">
        <v>10</v>
      </c>
      <c r="C27" s="147" t="s">
        <v>677</v>
      </c>
      <c r="D27" s="152"/>
      <c r="E27" s="147"/>
      <c r="F27" s="147"/>
      <c r="G27" s="154"/>
      <c r="H27" s="705"/>
      <c r="I27" s="703" t="str">
        <f t="shared" si="1"/>
        <v>2.2.2</v>
      </c>
      <c r="J27" s="703" t="str">
        <f t="shared" si="2"/>
        <v>Объём приобретения электрической энергии</v>
      </c>
      <c r="K27" s="703">
        <f t="shared" si="3"/>
        <v>0</v>
      </c>
      <c r="L27" s="697" t="str">
        <f t="shared" si="4"/>
        <v>2.2.2</v>
      </c>
      <c r="M27" s="697" t="str">
        <f t="shared" si="5"/>
        <v>Объём приобретения электрической энергии</v>
      </c>
      <c r="N27" s="697" t="str">
        <f t="shared" si="6"/>
        <v/>
      </c>
      <c r="O27" s="153" t="s">
        <v>747</v>
      </c>
      <c r="P27" s="153" t="s">
        <v>741</v>
      </c>
      <c r="Q27" s="153" t="s">
        <v>2200</v>
      </c>
      <c r="R27" s="153" t="s">
        <v>741</v>
      </c>
      <c r="S27" s="153"/>
      <c r="T27" s="704" t="s">
        <v>2201</v>
      </c>
      <c r="U27" s="704" t="s">
        <v>2201</v>
      </c>
      <c r="V27" s="704" t="s">
        <v>2201</v>
      </c>
      <c r="W27" s="704" t="s">
        <v>2201</v>
      </c>
      <c r="X27" s="147"/>
      <c r="Y27" s="148"/>
      <c r="Z27" s="138"/>
      <c r="AA27" s="694"/>
      <c r="AB27" s="138"/>
      <c r="AC27" s="138"/>
      <c r="AD27" s="138"/>
    </row>
    <row r="28" spans="1:30" ht="27" customHeight="1">
      <c r="A28" s="696"/>
      <c r="B28" s="698">
        <v>11</v>
      </c>
      <c r="C28" s="147">
        <v>7</v>
      </c>
      <c r="D28" s="152"/>
      <c r="E28" s="147"/>
      <c r="F28" s="147"/>
      <c r="G28" s="154"/>
      <c r="H28" s="705"/>
      <c r="I28" s="703">
        <f t="shared" si="1"/>
        <v>0</v>
      </c>
      <c r="J28" s="703">
        <f t="shared" si="2"/>
        <v>0</v>
      </c>
      <c r="K28" s="703">
        <f t="shared" si="3"/>
        <v>0</v>
      </c>
      <c r="L28" s="697" t="str">
        <f t="shared" si="4"/>
        <v/>
      </c>
      <c r="M28" s="697" t="str">
        <f t="shared" si="5"/>
        <v/>
      </c>
      <c r="N28" s="697" t="str">
        <f t="shared" si="6"/>
        <v/>
      </c>
      <c r="O28" s="153" t="s">
        <v>749</v>
      </c>
      <c r="P28" s="153"/>
      <c r="Q28" s="153"/>
      <c r="R28" s="153"/>
      <c r="S28" s="153"/>
      <c r="T28" s="704" t="s">
        <v>2202</v>
      </c>
      <c r="U28" s="138"/>
      <c r="V28" s="138"/>
      <c r="W28" s="138"/>
      <c r="X28" s="147"/>
      <c r="Y28" s="148"/>
      <c r="Z28" s="138"/>
      <c r="AA28" s="694"/>
      <c r="AB28" s="138"/>
      <c r="AC28" s="138"/>
      <c r="AD28" s="138"/>
    </row>
    <row r="29" spans="1:30" ht="27" customHeight="1">
      <c r="A29" s="696"/>
      <c r="B29" s="698">
        <v>12</v>
      </c>
      <c r="C29" s="147">
        <v>8</v>
      </c>
      <c r="D29" s="152"/>
      <c r="E29" s="147"/>
      <c r="F29" s="147"/>
      <c r="G29" s="154"/>
      <c r="H29" s="705"/>
      <c r="I29" s="703" t="str">
        <f t="shared" si="1"/>
        <v>2.3</v>
      </c>
      <c r="J29" s="703" t="str">
        <f t="shared" si="2"/>
        <v>Расходы на химические реагенты, используемые в технологическом процессе</v>
      </c>
      <c r="K29" s="703">
        <f t="shared" si="3"/>
        <v>0</v>
      </c>
      <c r="L29" s="697" t="str">
        <f t="shared" si="4"/>
        <v>2.3</v>
      </c>
      <c r="M29" s="697" t="str">
        <f t="shared" si="5"/>
        <v>Расходы на химические реагенты, используемые в технологическом процессе</v>
      </c>
      <c r="N29" s="697" t="str">
        <f t="shared" si="6"/>
        <v/>
      </c>
      <c r="O29" s="153" t="s">
        <v>756</v>
      </c>
      <c r="P29" s="153" t="s">
        <v>321</v>
      </c>
      <c r="Q29" s="153"/>
      <c r="R29" s="153" t="s">
        <v>321</v>
      </c>
      <c r="S29" s="153"/>
      <c r="T29" s="70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138" t="s">
        <v>2203</v>
      </c>
      <c r="V29" s="138"/>
      <c r="W29" s="138" t="s">
        <v>2203</v>
      </c>
      <c r="X29" s="147"/>
      <c r="Y29" s="148"/>
      <c r="Z29" s="138"/>
      <c r="AA29" s="694"/>
      <c r="AB29" s="138"/>
      <c r="AC29" s="138"/>
      <c r="AD29" s="138"/>
    </row>
    <row r="30" spans="1:30" ht="54" customHeight="1">
      <c r="A30" s="696"/>
      <c r="B30" s="698">
        <v>13</v>
      </c>
      <c r="C30" s="147">
        <v>9</v>
      </c>
      <c r="D30" s="152"/>
      <c r="E30" s="147"/>
      <c r="F30" s="147"/>
      <c r="G30" s="154"/>
      <c r="H30" s="705"/>
      <c r="I30" s="703" t="str">
        <f t="shared" si="1"/>
        <v>2.4</v>
      </c>
      <c r="J30" s="70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703" t="str">
        <f t="shared" si="3"/>
        <v>Указывается общая сумма расходов на оплату труда и отчислений на социальные нужды основного производственного персонала.</v>
      </c>
      <c r="L30" s="697" t="str">
        <f t="shared" si="4"/>
        <v>2.4</v>
      </c>
      <c r="M30" s="697"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697" t="str">
        <f t="shared" si="6"/>
        <v>Указывается общая сумма расходов на оплату труда и отчислений на социальные нужды основного производственного персонала.</v>
      </c>
      <c r="O30" s="153" t="s">
        <v>758</v>
      </c>
      <c r="P30" s="153" t="s">
        <v>749</v>
      </c>
      <c r="Q30" s="153" t="s">
        <v>758</v>
      </c>
      <c r="R30" s="153" t="s">
        <v>749</v>
      </c>
      <c r="S30" s="153"/>
      <c r="T30" s="704" t="s">
        <v>2204</v>
      </c>
      <c r="U30" s="138" t="s">
        <v>2204</v>
      </c>
      <c r="V30" s="138" t="s">
        <v>2204</v>
      </c>
      <c r="W30" s="138" t="s">
        <v>2204</v>
      </c>
      <c r="X30" s="147"/>
      <c r="Y30" s="148"/>
      <c r="Z30" s="138"/>
      <c r="AA30" s="694" t="s">
        <v>2205</v>
      </c>
      <c r="AB30" s="694" t="s">
        <v>2205</v>
      </c>
      <c r="AC30" s="694" t="s">
        <v>2205</v>
      </c>
      <c r="AD30" s="138"/>
    </row>
    <row r="31" spans="1:30" ht="18" customHeight="1">
      <c r="A31" s="696"/>
      <c r="B31" s="698">
        <v>14</v>
      </c>
      <c r="C31" s="147" t="s">
        <v>2206</v>
      </c>
      <c r="D31" s="152"/>
      <c r="E31" s="147"/>
      <c r="F31" s="147"/>
      <c r="G31" s="154"/>
      <c r="H31" s="705"/>
      <c r="I31" s="703" t="str">
        <f t="shared" si="1"/>
        <v>2.4.1</v>
      </c>
      <c r="J31" s="703" t="str">
        <f t="shared" si="2"/>
        <v>Расходы на оплату труда основного производственного персонала</v>
      </c>
      <c r="K31" s="703">
        <f t="shared" si="3"/>
        <v>0</v>
      </c>
      <c r="L31" s="697" t="str">
        <f t="shared" si="4"/>
        <v>2.4.1</v>
      </c>
      <c r="M31" s="697" t="str">
        <f t="shared" si="5"/>
        <v>Расходы на оплату труда основного производственного персонала</v>
      </c>
      <c r="N31" s="697" t="str">
        <f t="shared" si="6"/>
        <v/>
      </c>
      <c r="O31" s="153" t="s">
        <v>2207</v>
      </c>
      <c r="P31" s="153" t="s">
        <v>752</v>
      </c>
      <c r="Q31" s="153" t="s">
        <v>2207</v>
      </c>
      <c r="R31" s="153" t="s">
        <v>752</v>
      </c>
      <c r="S31" s="153"/>
      <c r="T31" s="706" t="s">
        <v>2208</v>
      </c>
      <c r="U31" s="138" t="s">
        <v>2208</v>
      </c>
      <c r="V31" s="138" t="s">
        <v>2208</v>
      </c>
      <c r="W31" s="138" t="s">
        <v>2208</v>
      </c>
      <c r="X31" s="147"/>
      <c r="Y31" s="148"/>
      <c r="Z31" s="138"/>
      <c r="AA31" s="694"/>
      <c r="AB31" s="694"/>
      <c r="AC31" s="694"/>
      <c r="AD31" s="138"/>
    </row>
    <row r="32" spans="1:30" ht="36" customHeight="1">
      <c r="A32" s="696"/>
      <c r="B32" s="698">
        <v>15</v>
      </c>
      <c r="C32" s="147" t="s">
        <v>2209</v>
      </c>
      <c r="D32" s="152"/>
      <c r="E32" s="147"/>
      <c r="F32" s="147"/>
      <c r="G32" s="154"/>
      <c r="H32" s="705"/>
      <c r="I32" s="703" t="str">
        <f t="shared" si="1"/>
        <v>2.4.2</v>
      </c>
      <c r="J32" s="703" t="str">
        <f t="shared" si="2"/>
        <v>Страховые взносы на обязательное социальное страхование, выплачиваемые из фонда оплаты труда основного производственного персонала</v>
      </c>
      <c r="K32" s="703">
        <f t="shared" si="3"/>
        <v>0</v>
      </c>
      <c r="L32" s="697" t="str">
        <f t="shared" si="4"/>
        <v>2.4.2</v>
      </c>
      <c r="M32" s="697" t="str">
        <f t="shared" si="5"/>
        <v>Страховые взносы на обязательное социальное страхование, выплачиваемые из фонда оплаты труда основного производственного персонала</v>
      </c>
      <c r="N32" s="697" t="str">
        <f t="shared" si="6"/>
        <v/>
      </c>
      <c r="O32" s="153" t="s">
        <v>2210</v>
      </c>
      <c r="P32" s="153" t="s">
        <v>754</v>
      </c>
      <c r="Q32" s="153" t="s">
        <v>2210</v>
      </c>
      <c r="R32" s="153" t="s">
        <v>754</v>
      </c>
      <c r="S32" s="153"/>
      <c r="T32" s="70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138" t="s">
        <v>2211</v>
      </c>
      <c r="V32" s="138" t="s">
        <v>2211</v>
      </c>
      <c r="W32" s="138" t="s">
        <v>2211</v>
      </c>
      <c r="X32" s="147"/>
      <c r="Y32" s="148"/>
      <c r="Z32" s="138"/>
      <c r="AA32" s="694"/>
      <c r="AB32" s="694"/>
      <c r="AC32" s="694"/>
      <c r="AD32" s="138"/>
    </row>
    <row r="33" spans="1:30" ht="45" customHeight="1">
      <c r="A33" s="696"/>
      <c r="B33" s="698">
        <v>16</v>
      </c>
      <c r="C33" s="147">
        <v>10</v>
      </c>
      <c r="D33" s="152"/>
      <c r="E33" s="147"/>
      <c r="F33" s="147"/>
      <c r="G33" s="154"/>
      <c r="H33" s="705"/>
      <c r="I33" s="703" t="str">
        <f t="shared" si="1"/>
        <v>2.5</v>
      </c>
      <c r="J33" s="70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703" t="str">
        <f t="shared" si="3"/>
        <v>Указывается общая сумма расходов на оплату труда и отчислений на социальные нужды административно-управленческого персонала.</v>
      </c>
      <c r="L33" s="697" t="str">
        <f t="shared" si="4"/>
        <v>2.5</v>
      </c>
      <c r="M33" s="697"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697" t="str">
        <f t="shared" si="6"/>
        <v>Указывается общая сумма расходов на оплату труда и отчислений на социальные нужды административно-управленческого персонала.</v>
      </c>
      <c r="O33" s="153" t="s">
        <v>760</v>
      </c>
      <c r="P33" s="153" t="s">
        <v>756</v>
      </c>
      <c r="Q33" s="153" t="s">
        <v>760</v>
      </c>
      <c r="R33" s="153" t="s">
        <v>756</v>
      </c>
      <c r="S33" s="153"/>
      <c r="T33" s="70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138" t="s">
        <v>2212</v>
      </c>
      <c r="V33" s="138" t="s">
        <v>2212</v>
      </c>
      <c r="W33" s="138" t="s">
        <v>2213</v>
      </c>
      <c r="X33" s="147"/>
      <c r="Y33" s="148"/>
      <c r="Z33" s="138"/>
      <c r="AA33" s="694" t="s">
        <v>2214</v>
      </c>
      <c r="AB33" s="694" t="s">
        <v>2214</v>
      </c>
      <c r="AC33" s="694" t="s">
        <v>2214</v>
      </c>
      <c r="AD33" s="138"/>
    </row>
    <row r="34" spans="1:30" ht="27" customHeight="1">
      <c r="A34" s="696"/>
      <c r="B34" s="698">
        <v>17</v>
      </c>
      <c r="C34" s="147" t="s">
        <v>2215</v>
      </c>
      <c r="D34" s="152"/>
      <c r="E34" s="147"/>
      <c r="F34" s="147"/>
      <c r="G34" s="154"/>
      <c r="H34" s="705"/>
      <c r="I34" s="703" t="str">
        <f t="shared" si="1"/>
        <v>2.5.1</v>
      </c>
      <c r="J34" s="703" t="str">
        <f t="shared" si="2"/>
        <v>Расходы на оплату труда административно-управленческого персонала</v>
      </c>
      <c r="K34" s="703">
        <f t="shared" si="3"/>
        <v>0</v>
      </c>
      <c r="L34" s="697" t="str">
        <f t="shared" si="4"/>
        <v>2.5.1</v>
      </c>
      <c r="M34" s="697" t="str">
        <f t="shared" si="5"/>
        <v>Расходы на оплату труда административно-управленческого персонала</v>
      </c>
      <c r="N34" s="697" t="str">
        <f t="shared" si="6"/>
        <v/>
      </c>
      <c r="O34" s="153" t="s">
        <v>2216</v>
      </c>
      <c r="P34" s="153" t="s">
        <v>2198</v>
      </c>
      <c r="Q34" s="153" t="s">
        <v>2216</v>
      </c>
      <c r="R34" s="153" t="s">
        <v>2198</v>
      </c>
      <c r="S34" s="153"/>
      <c r="T34" s="707" t="s">
        <v>2217</v>
      </c>
      <c r="U34" s="138" t="s">
        <v>2217</v>
      </c>
      <c r="V34" s="138" t="s">
        <v>2217</v>
      </c>
      <c r="W34" s="138" t="s">
        <v>2218</v>
      </c>
      <c r="X34" s="147"/>
      <c r="Y34" s="148"/>
      <c r="Z34" s="138"/>
      <c r="AA34" s="694"/>
      <c r="AB34" s="138"/>
      <c r="AC34" s="138"/>
      <c r="AD34" s="138"/>
    </row>
    <row r="35" spans="1:30" ht="45" customHeight="1">
      <c r="A35" s="696"/>
      <c r="B35" s="698">
        <v>18</v>
      </c>
      <c r="C35" s="147" t="s">
        <v>2219</v>
      </c>
      <c r="D35" s="152"/>
      <c r="E35" s="147"/>
      <c r="F35" s="147"/>
      <c r="G35" s="154"/>
      <c r="H35" s="705"/>
      <c r="I35" s="703" t="str">
        <f t="shared" si="1"/>
        <v>2.5.2</v>
      </c>
      <c r="J35" s="70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703">
        <f t="shared" si="3"/>
        <v>0</v>
      </c>
      <c r="L35" s="697" t="str">
        <f t="shared" si="4"/>
        <v>2.5.2</v>
      </c>
      <c r="M35" s="697"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697" t="str">
        <f t="shared" si="6"/>
        <v/>
      </c>
      <c r="O35" s="153" t="s">
        <v>2220</v>
      </c>
      <c r="P35" s="153" t="s">
        <v>2200</v>
      </c>
      <c r="Q35" s="153" t="s">
        <v>2220</v>
      </c>
      <c r="R35" s="153" t="s">
        <v>2200</v>
      </c>
      <c r="S35" s="153"/>
      <c r="T35" s="70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138" t="s">
        <v>2221</v>
      </c>
      <c r="V35" s="138" t="s">
        <v>2221</v>
      </c>
      <c r="W35" s="138" t="s">
        <v>2221</v>
      </c>
      <c r="X35" s="147"/>
      <c r="Y35" s="148"/>
      <c r="Z35" s="138"/>
      <c r="AA35" s="694"/>
      <c r="AB35" s="138"/>
      <c r="AC35" s="138"/>
      <c r="AD35" s="138"/>
    </row>
    <row r="36" spans="1:30" ht="18" customHeight="1">
      <c r="A36" s="696"/>
      <c r="B36" s="698">
        <v>19</v>
      </c>
      <c r="C36" s="147">
        <v>11</v>
      </c>
      <c r="D36" s="152"/>
      <c r="E36" s="147"/>
      <c r="F36" s="147"/>
      <c r="G36" s="154"/>
      <c r="H36" s="705"/>
      <c r="I36" s="703" t="str">
        <f t="shared" si="1"/>
        <v>2.6</v>
      </c>
      <c r="J36" s="703" t="str">
        <f t="shared" si="2"/>
        <v>Расходы на амортизацию основных средств и нематериальных активов</v>
      </c>
      <c r="K36" s="703">
        <f t="shared" si="3"/>
        <v>0</v>
      </c>
      <c r="L36" s="697" t="str">
        <f t="shared" si="4"/>
        <v>2.6</v>
      </c>
      <c r="M36" s="697" t="str">
        <f t="shared" si="5"/>
        <v>Расходы на амортизацию основных средств и нематериальных активов</v>
      </c>
      <c r="N36" s="697" t="str">
        <f t="shared" si="6"/>
        <v/>
      </c>
      <c r="O36" s="153" t="s">
        <v>762</v>
      </c>
      <c r="P36" s="153" t="s">
        <v>758</v>
      </c>
      <c r="Q36" s="153" t="s">
        <v>762</v>
      </c>
      <c r="R36" s="153" t="s">
        <v>758</v>
      </c>
      <c r="S36" s="153"/>
      <c r="T36" s="704" t="s">
        <v>2222</v>
      </c>
      <c r="U36" s="138" t="s">
        <v>2222</v>
      </c>
      <c r="V36" s="138" t="s">
        <v>2222</v>
      </c>
      <c r="W36" s="138" t="s">
        <v>2222</v>
      </c>
      <c r="X36" s="147"/>
      <c r="Y36" s="148"/>
      <c r="Z36" s="138"/>
      <c r="AA36" s="694"/>
      <c r="AB36" s="138"/>
      <c r="AC36" s="138"/>
      <c r="AD36" s="138"/>
    </row>
    <row r="37" spans="1:30" ht="18" customHeight="1">
      <c r="A37" s="696"/>
      <c r="B37" s="698">
        <v>20</v>
      </c>
      <c r="C37" s="147" t="s">
        <v>2223</v>
      </c>
      <c r="D37" s="152"/>
      <c r="E37" s="147"/>
      <c r="F37" s="147"/>
      <c r="G37" s="154"/>
      <c r="H37" s="705"/>
      <c r="I37" s="703" t="str">
        <f t="shared" si="1"/>
        <v>2.6.1</v>
      </c>
      <c r="J37" s="703" t="str">
        <f t="shared" si="2"/>
        <v>Расходы на амортизацию основных средств</v>
      </c>
      <c r="K37" s="703">
        <f t="shared" si="3"/>
        <v>0</v>
      </c>
      <c r="L37" s="697" t="str">
        <f t="shared" si="4"/>
        <v>2.6.1</v>
      </c>
      <c r="M37" s="697" t="str">
        <f t="shared" si="5"/>
        <v>Расходы на амортизацию основных средств</v>
      </c>
      <c r="N37" s="697" t="str">
        <f t="shared" si="6"/>
        <v/>
      </c>
      <c r="O37" s="153" t="s">
        <v>2224</v>
      </c>
      <c r="P37" s="153" t="s">
        <v>2207</v>
      </c>
      <c r="Q37" s="153" t="s">
        <v>2224</v>
      </c>
      <c r="R37" s="153" t="s">
        <v>2207</v>
      </c>
      <c r="S37" s="153"/>
      <c r="T37" s="704" t="s">
        <v>2225</v>
      </c>
      <c r="U37" s="138" t="s">
        <v>2225</v>
      </c>
      <c r="V37" s="138" t="s">
        <v>2225</v>
      </c>
      <c r="W37" s="138" t="s">
        <v>2225</v>
      </c>
      <c r="X37" s="147"/>
      <c r="Y37" s="148"/>
      <c r="Z37" s="138"/>
      <c r="AA37" s="694"/>
      <c r="AB37" s="138"/>
      <c r="AC37" s="138"/>
      <c r="AD37" s="138"/>
    </row>
    <row r="38" spans="1:30" ht="18" customHeight="1">
      <c r="A38" s="696"/>
      <c r="B38" s="698">
        <v>21</v>
      </c>
      <c r="C38" s="147" t="s">
        <v>2226</v>
      </c>
      <c r="D38" s="152"/>
      <c r="E38" s="147"/>
      <c r="F38" s="147"/>
      <c r="G38" s="154"/>
      <c r="H38" s="705"/>
      <c r="I38" s="703" t="str">
        <f t="shared" si="1"/>
        <v>2.6.2</v>
      </c>
      <c r="J38" s="703" t="str">
        <f t="shared" si="2"/>
        <v>Расходы на амортизацию нематериальных активов</v>
      </c>
      <c r="K38" s="703">
        <f t="shared" si="3"/>
        <v>0</v>
      </c>
      <c r="L38" s="697" t="str">
        <f t="shared" si="4"/>
        <v>2.6.2</v>
      </c>
      <c r="M38" s="697" t="str">
        <f t="shared" si="5"/>
        <v>Расходы на амортизацию нематериальных активов</v>
      </c>
      <c r="N38" s="697" t="str">
        <f t="shared" si="6"/>
        <v/>
      </c>
      <c r="O38" s="153" t="s">
        <v>2227</v>
      </c>
      <c r="P38" s="153" t="s">
        <v>2210</v>
      </c>
      <c r="Q38" s="153" t="s">
        <v>2227</v>
      </c>
      <c r="R38" s="153" t="s">
        <v>2210</v>
      </c>
      <c r="S38" s="153"/>
      <c r="T38" s="704" t="s">
        <v>2228</v>
      </c>
      <c r="U38" s="138" t="s">
        <v>2228</v>
      </c>
      <c r="V38" s="138" t="s">
        <v>2228</v>
      </c>
      <c r="W38" s="138" t="s">
        <v>2228</v>
      </c>
      <c r="X38" s="147"/>
      <c r="Y38" s="148"/>
      <c r="Z38" s="138"/>
      <c r="AA38" s="694"/>
      <c r="AB38" s="138"/>
      <c r="AC38" s="138"/>
      <c r="AD38" s="138"/>
    </row>
    <row r="39" spans="1:30" ht="36" customHeight="1">
      <c r="A39" s="696"/>
      <c r="B39" s="698">
        <v>22</v>
      </c>
      <c r="C39" s="147">
        <v>12</v>
      </c>
      <c r="D39" s="152"/>
      <c r="E39" s="147"/>
      <c r="F39" s="147"/>
      <c r="G39" s="154"/>
      <c r="H39" s="705"/>
      <c r="I39" s="703" t="str">
        <f t="shared" si="1"/>
        <v>2.7</v>
      </c>
      <c r="J39" s="703" t="str">
        <f t="shared" si="2"/>
        <v>Расходы на аренду имущества, используемого для осуществления регулируемых видов деятельности в сфере холодного водоснабжения</v>
      </c>
      <c r="K39" s="703">
        <f t="shared" si="3"/>
        <v>0</v>
      </c>
      <c r="L39" s="697" t="str">
        <f t="shared" si="4"/>
        <v>2.7</v>
      </c>
      <c r="M39" s="697" t="str">
        <f t="shared" si="5"/>
        <v>Расходы на аренду имущества, используемого для осуществления регулируемых видов деятельности в сфере холодного водоснабжения</v>
      </c>
      <c r="N39" s="697" t="str">
        <f t="shared" si="6"/>
        <v/>
      </c>
      <c r="O39" s="153" t="s">
        <v>766</v>
      </c>
      <c r="P39" s="153" t="s">
        <v>760</v>
      </c>
      <c r="Q39" s="153" t="s">
        <v>766</v>
      </c>
      <c r="R39" s="153" t="s">
        <v>760</v>
      </c>
      <c r="S39" s="153"/>
      <c r="T39" s="704" t="s">
        <v>2229</v>
      </c>
      <c r="U39" s="138" t="s">
        <v>2230</v>
      </c>
      <c r="V39" s="138" t="s">
        <v>2231</v>
      </c>
      <c r="W39" s="138" t="s">
        <v>2232</v>
      </c>
      <c r="X39" s="147"/>
      <c r="Y39" s="148"/>
      <c r="Z39" s="138"/>
      <c r="AA39" s="694"/>
      <c r="AB39" s="138"/>
      <c r="AC39" s="138"/>
      <c r="AD39" s="138"/>
    </row>
    <row r="40" spans="1:30" ht="18" customHeight="1">
      <c r="A40" s="696"/>
      <c r="B40" s="698">
        <v>23</v>
      </c>
      <c r="C40" s="147">
        <v>13</v>
      </c>
      <c r="D40" s="152"/>
      <c r="E40" s="147"/>
      <c r="F40" s="147"/>
      <c r="G40" s="147"/>
      <c r="H40" s="155"/>
      <c r="I40" s="703" t="str">
        <f t="shared" si="1"/>
        <v>2.8</v>
      </c>
      <c r="J40" s="703" t="str">
        <f t="shared" si="2"/>
        <v>Общепроизводственные расходы, в том числе:</v>
      </c>
      <c r="K40" s="703" t="str">
        <f t="shared" si="3"/>
        <v>Указывается общая сумма общепроизводственных расходов.</v>
      </c>
      <c r="L40" s="697" t="str">
        <f t="shared" si="4"/>
        <v>2.8</v>
      </c>
      <c r="M40" s="697" t="str">
        <f t="shared" si="5"/>
        <v>Общепроизводственные расходы, в том числе:</v>
      </c>
      <c r="N40" s="697" t="str">
        <f t="shared" si="6"/>
        <v>Указывается общая сумма общепроизводственных расходов.</v>
      </c>
      <c r="O40" s="153" t="s">
        <v>2233</v>
      </c>
      <c r="P40" s="153" t="s">
        <v>762</v>
      </c>
      <c r="Q40" s="153" t="s">
        <v>2233</v>
      </c>
      <c r="R40" s="153" t="s">
        <v>762</v>
      </c>
      <c r="S40" s="153"/>
      <c r="T40" s="147" t="s">
        <v>2234</v>
      </c>
      <c r="U40" s="147" t="s">
        <v>2234</v>
      </c>
      <c r="V40" s="147" t="s">
        <v>2234</v>
      </c>
      <c r="W40" s="147" t="s">
        <v>2234</v>
      </c>
      <c r="X40" s="147"/>
      <c r="Y40" s="148"/>
      <c r="Z40" s="138" t="s">
        <v>2235</v>
      </c>
      <c r="AA40" s="694" t="s">
        <v>2235</v>
      </c>
      <c r="AB40" s="694" t="s">
        <v>2235</v>
      </c>
      <c r="AC40" s="694" t="s">
        <v>2235</v>
      </c>
      <c r="AD40" s="138"/>
    </row>
    <row r="41" spans="1:30" ht="27" customHeight="1">
      <c r="A41" s="696"/>
      <c r="B41" s="698">
        <v>24</v>
      </c>
      <c r="C41" s="147" t="s">
        <v>2236</v>
      </c>
      <c r="D41" s="152"/>
      <c r="E41" s="147"/>
      <c r="F41" s="147"/>
      <c r="G41" s="147"/>
      <c r="H41" s="154"/>
      <c r="I41" s="703" t="str">
        <f t="shared" si="1"/>
        <v>2.8.1</v>
      </c>
      <c r="J41" s="703" t="str">
        <f t="shared" si="2"/>
        <v>Расходы на текущий ремонт</v>
      </c>
      <c r="K41" s="703" t="str">
        <f t="shared" si="3"/>
        <v>Указываются расходы на текущий ремонт, отнесенные к общепроизводственным расходам.</v>
      </c>
      <c r="L41" s="697" t="str">
        <f t="shared" si="4"/>
        <v>2.8.1</v>
      </c>
      <c r="M41" s="697" t="str">
        <f t="shared" si="5"/>
        <v>Расходы на текущий ремонт</v>
      </c>
      <c r="N41" s="697" t="str">
        <f t="shared" si="6"/>
        <v>Указываются расходы на текущий ремонт, отнесенные к общепроизводственным расходам.</v>
      </c>
      <c r="O41" s="153" t="s">
        <v>2237</v>
      </c>
      <c r="P41" s="153" t="s">
        <v>2224</v>
      </c>
      <c r="Q41" s="153" t="s">
        <v>2237</v>
      </c>
      <c r="R41" s="153" t="s">
        <v>2224</v>
      </c>
      <c r="S41" s="153"/>
      <c r="T41" s="147" t="s">
        <v>2238</v>
      </c>
      <c r="U41" s="147" t="s">
        <v>2238</v>
      </c>
      <c r="V41" s="147" t="s">
        <v>2238</v>
      </c>
      <c r="W41" s="147" t="s">
        <v>2238</v>
      </c>
      <c r="X41" s="147"/>
      <c r="Y41" s="148"/>
      <c r="Z41" s="138" t="s">
        <v>2239</v>
      </c>
      <c r="AA41" s="138" t="s">
        <v>2239</v>
      </c>
      <c r="AB41" s="138" t="s">
        <v>2239</v>
      </c>
      <c r="AC41" s="138" t="s">
        <v>2239</v>
      </c>
      <c r="AD41" s="138"/>
    </row>
    <row r="42" spans="1:30" ht="27" customHeight="1">
      <c r="A42" s="696"/>
      <c r="B42" s="698">
        <v>25</v>
      </c>
      <c r="C42" s="147" t="s">
        <v>2240</v>
      </c>
      <c r="D42" s="152"/>
      <c r="E42" s="147"/>
      <c r="F42" s="147"/>
      <c r="G42" s="147"/>
      <c r="H42" s="154"/>
      <c r="I42" s="703" t="str">
        <f t="shared" si="1"/>
        <v>2.8.2</v>
      </c>
      <c r="J42" s="703" t="str">
        <f t="shared" si="2"/>
        <v>Расходы на капитальный ремонт</v>
      </c>
      <c r="K42" s="703" t="str">
        <f t="shared" si="3"/>
        <v>Указываются расходы на капитальный ремонт, отнесенные к общепроизводственным расходам.</v>
      </c>
      <c r="L42" s="697" t="str">
        <f t="shared" si="4"/>
        <v>2.8.2</v>
      </c>
      <c r="M42" s="697" t="str">
        <f t="shared" si="5"/>
        <v>Расходы на капитальный ремонт</v>
      </c>
      <c r="N42" s="697" t="str">
        <f t="shared" si="6"/>
        <v>Указываются расходы на капитальный ремонт, отнесенные к общепроизводственным расходам.</v>
      </c>
      <c r="O42" s="153" t="s">
        <v>2241</v>
      </c>
      <c r="P42" s="153" t="s">
        <v>2227</v>
      </c>
      <c r="Q42" s="153" t="s">
        <v>2241</v>
      </c>
      <c r="R42" s="153" t="s">
        <v>2227</v>
      </c>
      <c r="S42" s="153"/>
      <c r="T42" s="147" t="s">
        <v>2242</v>
      </c>
      <c r="U42" s="147" t="s">
        <v>2242</v>
      </c>
      <c r="V42" s="147" t="s">
        <v>2242</v>
      </c>
      <c r="W42" s="147" t="s">
        <v>2242</v>
      </c>
      <c r="X42" s="147"/>
      <c r="Y42" s="148"/>
      <c r="Z42" s="138" t="s">
        <v>2243</v>
      </c>
      <c r="AA42" s="138" t="s">
        <v>2243</v>
      </c>
      <c r="AB42" s="138" t="s">
        <v>2243</v>
      </c>
      <c r="AC42" s="138" t="s">
        <v>2243</v>
      </c>
      <c r="AD42" s="138"/>
    </row>
    <row r="43" spans="1:30" ht="18" customHeight="1">
      <c r="A43" s="696"/>
      <c r="B43" s="698">
        <v>26</v>
      </c>
      <c r="C43" s="147">
        <v>14</v>
      </c>
      <c r="D43" s="152"/>
      <c r="E43" s="147"/>
      <c r="F43" s="147"/>
      <c r="G43" s="147"/>
      <c r="H43" s="154"/>
      <c r="I43" s="703" t="str">
        <f t="shared" si="1"/>
        <v>2.9</v>
      </c>
      <c r="J43" s="703" t="str">
        <f t="shared" si="2"/>
        <v>Общехозяйственные расходы, в том числе:</v>
      </c>
      <c r="K43" s="703" t="str">
        <f t="shared" si="3"/>
        <v>Указывается общая сумма общехозяйственных расходов.</v>
      </c>
      <c r="L43" s="697" t="str">
        <f t="shared" si="4"/>
        <v>2.9</v>
      </c>
      <c r="M43" s="697" t="str">
        <f t="shared" si="5"/>
        <v>Общехозяйственные расходы, в том числе:</v>
      </c>
      <c r="N43" s="697" t="str">
        <f t="shared" si="6"/>
        <v>Указывается общая сумма общехозяйственных расходов.</v>
      </c>
      <c r="O43" s="153" t="s">
        <v>2244</v>
      </c>
      <c r="P43" s="153" t="s">
        <v>766</v>
      </c>
      <c r="Q43" s="153" t="s">
        <v>2244</v>
      </c>
      <c r="R43" s="153" t="s">
        <v>766</v>
      </c>
      <c r="S43" s="153"/>
      <c r="T43" s="147" t="s">
        <v>2245</v>
      </c>
      <c r="U43" s="147" t="s">
        <v>2245</v>
      </c>
      <c r="V43" s="147" t="s">
        <v>2245</v>
      </c>
      <c r="W43" s="147" t="s">
        <v>2245</v>
      </c>
      <c r="X43" s="147"/>
      <c r="Y43" s="148"/>
      <c r="Z43" s="138" t="s">
        <v>2246</v>
      </c>
      <c r="AA43" s="138" t="s">
        <v>2246</v>
      </c>
      <c r="AB43" s="138" t="s">
        <v>2246</v>
      </c>
      <c r="AC43" s="138" t="s">
        <v>2246</v>
      </c>
      <c r="AD43" s="138"/>
    </row>
    <row r="44" spans="1:30" ht="27" customHeight="1">
      <c r="A44" s="696"/>
      <c r="B44" s="698">
        <v>27</v>
      </c>
      <c r="C44" s="147" t="s">
        <v>2247</v>
      </c>
      <c r="D44" s="152"/>
      <c r="E44" s="147"/>
      <c r="F44" s="147"/>
      <c r="G44" s="147"/>
      <c r="H44" s="154"/>
      <c r="I44" s="703" t="str">
        <f t="shared" si="1"/>
        <v>2.9.1</v>
      </c>
      <c r="J44" s="703" t="str">
        <f t="shared" si="2"/>
        <v>Расходы на текущий ремонт</v>
      </c>
      <c r="K44" s="703" t="str">
        <f t="shared" si="3"/>
        <v>Указываются расходы на текущий ремонт, отнесенные к общехозяйственным расходам.</v>
      </c>
      <c r="L44" s="697" t="str">
        <f t="shared" si="4"/>
        <v>2.9.1</v>
      </c>
      <c r="M44" s="697" t="str">
        <f t="shared" si="5"/>
        <v>Расходы на текущий ремонт</v>
      </c>
      <c r="N44" s="697" t="str">
        <f t="shared" si="6"/>
        <v>Указываются расходы на текущий ремонт, отнесенные к общехозяйственным расходам.</v>
      </c>
      <c r="O44" s="153" t="s">
        <v>2248</v>
      </c>
      <c r="P44" s="153" t="s">
        <v>2249</v>
      </c>
      <c r="Q44" s="153" t="s">
        <v>2248</v>
      </c>
      <c r="R44" s="153" t="s">
        <v>2249</v>
      </c>
      <c r="S44" s="153"/>
      <c r="T44" s="147" t="s">
        <v>2238</v>
      </c>
      <c r="U44" s="147" t="s">
        <v>2238</v>
      </c>
      <c r="V44" s="147" t="s">
        <v>2238</v>
      </c>
      <c r="W44" s="147" t="s">
        <v>2238</v>
      </c>
      <c r="X44" s="147"/>
      <c r="Y44" s="148"/>
      <c r="Z44" s="138" t="s">
        <v>2250</v>
      </c>
      <c r="AA44" s="138" t="s">
        <v>2250</v>
      </c>
      <c r="AB44" s="138" t="s">
        <v>2250</v>
      </c>
      <c r="AC44" s="138" t="s">
        <v>2250</v>
      </c>
      <c r="AD44" s="138"/>
    </row>
    <row r="45" spans="1:30" ht="27" customHeight="1">
      <c r="A45" s="696"/>
      <c r="B45" s="698">
        <v>28</v>
      </c>
      <c r="C45" s="147" t="s">
        <v>2251</v>
      </c>
      <c r="D45" s="152"/>
      <c r="E45" s="147"/>
      <c r="F45" s="147"/>
      <c r="G45" s="147"/>
      <c r="H45" s="154"/>
      <c r="I45" s="703" t="str">
        <f t="shared" si="1"/>
        <v>2.9.2</v>
      </c>
      <c r="J45" s="703" t="str">
        <f t="shared" si="2"/>
        <v>Расходы на капитальный ремонт</v>
      </c>
      <c r="K45" s="703" t="str">
        <f t="shared" si="3"/>
        <v>Указываются расходы на капитальный ремонт, отнесенные к общехозяйственным расходам.</v>
      </c>
      <c r="L45" s="697" t="str">
        <f t="shared" si="4"/>
        <v>2.9.2</v>
      </c>
      <c r="M45" s="697" t="str">
        <f t="shared" si="5"/>
        <v>Расходы на капитальный ремонт</v>
      </c>
      <c r="N45" s="697" t="str">
        <f t="shared" si="6"/>
        <v>Указываются расходы на капитальный ремонт, отнесенные к общехозяйственным расходам.</v>
      </c>
      <c r="O45" s="153" t="s">
        <v>2252</v>
      </c>
      <c r="P45" s="153" t="s">
        <v>2253</v>
      </c>
      <c r="Q45" s="153" t="s">
        <v>2252</v>
      </c>
      <c r="R45" s="153" t="s">
        <v>2253</v>
      </c>
      <c r="S45" s="153"/>
      <c r="T45" s="147" t="s">
        <v>2242</v>
      </c>
      <c r="U45" s="147" t="s">
        <v>2242</v>
      </c>
      <c r="V45" s="147" t="s">
        <v>2242</v>
      </c>
      <c r="W45" s="147" t="s">
        <v>2242</v>
      </c>
      <c r="X45" s="147"/>
      <c r="Y45" s="148"/>
      <c r="Z45" s="138" t="s">
        <v>2254</v>
      </c>
      <c r="AA45" s="138" t="s">
        <v>2254</v>
      </c>
      <c r="AB45" s="138" t="s">
        <v>2254</v>
      </c>
      <c r="AC45" s="138" t="s">
        <v>2254</v>
      </c>
      <c r="AD45" s="138"/>
    </row>
    <row r="46" spans="1:30" ht="54" customHeight="1">
      <c r="A46" s="696"/>
      <c r="B46" s="698">
        <v>29</v>
      </c>
      <c r="C46" s="147">
        <v>15</v>
      </c>
      <c r="D46" s="152"/>
      <c r="E46" s="147"/>
      <c r="F46" s="147"/>
      <c r="G46" s="147"/>
      <c r="H46" s="154"/>
      <c r="I46" s="703" t="str">
        <f t="shared" si="1"/>
        <v>2.10</v>
      </c>
      <c r="J46" s="703" t="str">
        <f t="shared" si="2"/>
        <v>Расходы на капитальный и текущий ремонт основных средств</v>
      </c>
      <c r="K46" s="70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697" t="str">
        <f t="shared" si="4"/>
        <v>2.10</v>
      </c>
      <c r="M46" s="697" t="str">
        <f t="shared" si="5"/>
        <v>Расходы на капитальный и текущий ремонт основных средств</v>
      </c>
      <c r="N46" s="697"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53" t="s">
        <v>2255</v>
      </c>
      <c r="P46" s="153" t="s">
        <v>2233</v>
      </c>
      <c r="Q46" s="153" t="s">
        <v>2255</v>
      </c>
      <c r="R46" s="153" t="s">
        <v>2233</v>
      </c>
      <c r="S46" s="153"/>
      <c r="T46" s="69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147" t="s">
        <v>2256</v>
      </c>
      <c r="V46" s="147" t="s">
        <v>2256</v>
      </c>
      <c r="W46" s="147" t="s">
        <v>2256</v>
      </c>
      <c r="X46" s="147"/>
      <c r="Y46" s="148"/>
      <c r="Z46" s="138" t="s">
        <v>2257</v>
      </c>
      <c r="AA46" s="138" t="s">
        <v>2258</v>
      </c>
      <c r="AB46" s="138" t="s">
        <v>2258</v>
      </c>
      <c r="AC46" s="138" t="s">
        <v>2258</v>
      </c>
      <c r="AD46" s="138"/>
    </row>
    <row r="47" spans="1:30" ht="54" customHeight="1">
      <c r="A47" s="696"/>
      <c r="B47" s="698">
        <v>30</v>
      </c>
      <c r="C47" s="147" t="s">
        <v>2259</v>
      </c>
      <c r="D47" s="152"/>
      <c r="E47" s="147"/>
      <c r="F47" s="147"/>
      <c r="G47" s="147"/>
      <c r="H47" s="154"/>
      <c r="I47" s="703" t="str">
        <f t="shared" si="1"/>
        <v>2.10.1</v>
      </c>
      <c r="J47" s="70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703">
        <f t="shared" si="3"/>
        <v>0</v>
      </c>
      <c r="L47" s="697" t="str">
        <f t="shared" si="4"/>
        <v>2.10.1</v>
      </c>
      <c r="M47" s="697"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697" t="str">
        <f t="shared" si="6"/>
        <v/>
      </c>
      <c r="O47" s="153" t="s">
        <v>2260</v>
      </c>
      <c r="P47" s="153" t="s">
        <v>2237</v>
      </c>
      <c r="Q47" s="153" t="s">
        <v>2260</v>
      </c>
      <c r="R47" s="153" t="s">
        <v>2237</v>
      </c>
      <c r="S47" s="153"/>
      <c r="T47" s="147" t="s">
        <v>2261</v>
      </c>
      <c r="U47" s="147" t="s">
        <v>2261</v>
      </c>
      <c r="V47" s="147" t="s">
        <v>2261</v>
      </c>
      <c r="W47" s="147" t="s">
        <v>2261</v>
      </c>
      <c r="X47" s="147"/>
      <c r="Y47" s="148"/>
      <c r="Z47" s="138"/>
      <c r="AA47" s="694"/>
      <c r="AB47" s="694"/>
      <c r="AC47" s="694"/>
      <c r="AD47" s="138"/>
    </row>
    <row r="48" spans="1:30" ht="54" customHeight="1">
      <c r="A48" s="696"/>
      <c r="B48" s="698">
        <v>31</v>
      </c>
      <c r="C48" s="147">
        <v>16</v>
      </c>
      <c r="D48" s="152"/>
      <c r="E48" s="147"/>
      <c r="F48" s="147"/>
      <c r="G48" s="147"/>
      <c r="H48" s="154"/>
      <c r="I48" s="703" t="str">
        <f t="shared" si="1"/>
        <v>2.11</v>
      </c>
      <c r="J48" s="703"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70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697" t="str">
        <f t="shared" si="4"/>
        <v>2.11</v>
      </c>
      <c r="M48" s="697"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697"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53"/>
      <c r="P48" s="153" t="s">
        <v>2244</v>
      </c>
      <c r="Q48" s="153" t="s">
        <v>2262</v>
      </c>
      <c r="R48" s="153" t="s">
        <v>2244</v>
      </c>
      <c r="S48" s="153"/>
      <c r="T48" s="147"/>
      <c r="U48" s="147" t="s">
        <v>2263</v>
      </c>
      <c r="V48" s="147" t="s">
        <v>2264</v>
      </c>
      <c r="W48" s="147" t="s">
        <v>2264</v>
      </c>
      <c r="X48" s="147"/>
      <c r="Y48" s="148"/>
      <c r="Z48" s="138"/>
      <c r="AA48" s="694" t="s">
        <v>2258</v>
      </c>
      <c r="AB48" s="694" t="s">
        <v>2258</v>
      </c>
      <c r="AC48" s="694" t="s">
        <v>2258</v>
      </c>
      <c r="AD48" s="138"/>
    </row>
    <row r="49" spans="1:30" ht="54" customHeight="1">
      <c r="A49" s="696"/>
      <c r="B49" s="698">
        <v>32</v>
      </c>
      <c r="C49" s="147" t="s">
        <v>2265</v>
      </c>
      <c r="D49" s="152"/>
      <c r="E49" s="147"/>
      <c r="F49" s="147"/>
      <c r="G49" s="147"/>
      <c r="H49" s="154"/>
      <c r="I49" s="703" t="str">
        <f t="shared" si="1"/>
        <v>2.11.1</v>
      </c>
      <c r="J49" s="70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703">
        <f t="shared" si="3"/>
        <v>0</v>
      </c>
      <c r="L49" s="697" t="str">
        <f t="shared" si="4"/>
        <v>2.11.1</v>
      </c>
      <c r="M49" s="697"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697" t="str">
        <f t="shared" si="6"/>
        <v/>
      </c>
      <c r="O49" s="153"/>
      <c r="P49" s="153" t="s">
        <v>2248</v>
      </c>
      <c r="Q49" s="153" t="s">
        <v>2266</v>
      </c>
      <c r="R49" s="153" t="s">
        <v>2248</v>
      </c>
      <c r="S49" s="153"/>
      <c r="T49" s="147"/>
      <c r="U49" s="147" t="s">
        <v>2261</v>
      </c>
      <c r="V49" s="147" t="s">
        <v>2261</v>
      </c>
      <c r="W49" s="147" t="s">
        <v>2261</v>
      </c>
      <c r="X49" s="147"/>
      <c r="Y49" s="148"/>
      <c r="Z49" s="138"/>
      <c r="AA49" s="694"/>
      <c r="AB49" s="694"/>
      <c r="AC49" s="694"/>
      <c r="AD49" s="138"/>
    </row>
    <row r="50" spans="1:30" ht="126" customHeight="1">
      <c r="A50" s="696"/>
      <c r="B50" s="698">
        <v>33</v>
      </c>
      <c r="C50" s="147">
        <v>17</v>
      </c>
      <c r="D50" s="152"/>
      <c r="E50" s="147"/>
      <c r="F50" s="147"/>
      <c r="G50" s="147"/>
      <c r="H50" s="154"/>
      <c r="I50" s="703" t="str">
        <f t="shared" ref="I50:I81" si="7">INDEX(TEMPLATE_NUMBER_POINT_FHD,B50,MATCH(TEMPLATE_SPHERE,TEMPLATE_SPHERE_LIST_FOR_NOTE,0))</f>
        <v>2.12</v>
      </c>
      <c r="J50" s="703"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70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697" t="str">
        <f t="shared" ref="L50:L81" si="10">IF(I50=0,"",I50)</f>
        <v>2.12</v>
      </c>
      <c r="M50" s="697"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697"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53" t="s">
        <v>2262</v>
      </c>
      <c r="P50" s="153" t="s">
        <v>2255</v>
      </c>
      <c r="Q50" s="153" t="s">
        <v>2267</v>
      </c>
      <c r="R50" s="153" t="s">
        <v>2255</v>
      </c>
      <c r="S50" s="153"/>
      <c r="T50" s="147" t="s">
        <v>2268</v>
      </c>
      <c r="U50" s="147" t="s">
        <v>2269</v>
      </c>
      <c r="V50" s="147" t="s">
        <v>2270</v>
      </c>
      <c r="W50" s="147" t="s">
        <v>2271</v>
      </c>
      <c r="X50" s="147"/>
      <c r="Y50" s="148"/>
      <c r="Z50" s="138" t="s">
        <v>2272</v>
      </c>
      <c r="AA50" s="694" t="s">
        <v>2273</v>
      </c>
      <c r="AB50" s="694" t="s">
        <v>2273</v>
      </c>
      <c r="AC50" s="694" t="s">
        <v>2273</v>
      </c>
      <c r="AD50" s="138"/>
    </row>
    <row r="51" spans="1:30" ht="27" customHeight="1">
      <c r="A51" s="696"/>
      <c r="B51" s="698">
        <v>34</v>
      </c>
      <c r="C51" s="147" t="s">
        <v>2274</v>
      </c>
      <c r="D51" s="152"/>
      <c r="E51" s="147"/>
      <c r="F51" s="147"/>
      <c r="G51" s="147"/>
      <c r="H51" s="154"/>
      <c r="I51" s="703">
        <f t="shared" si="7"/>
        <v>0</v>
      </c>
      <c r="J51" s="703">
        <f t="shared" si="8"/>
        <v>0</v>
      </c>
      <c r="K51" s="703">
        <f t="shared" si="9"/>
        <v>0</v>
      </c>
      <c r="L51" s="697" t="str">
        <f t="shared" si="10"/>
        <v/>
      </c>
      <c r="M51" s="697" t="str">
        <f t="shared" si="11"/>
        <v/>
      </c>
      <c r="N51" s="697" t="str">
        <f t="shared" si="12"/>
        <v/>
      </c>
      <c r="O51" s="153" t="s">
        <v>89</v>
      </c>
      <c r="P51" s="153"/>
      <c r="Q51" s="153"/>
      <c r="R51" s="153"/>
      <c r="S51" s="153"/>
      <c r="T51" s="147" t="s">
        <v>2275</v>
      </c>
      <c r="U51" s="147"/>
      <c r="V51" s="147"/>
      <c r="W51" s="147"/>
      <c r="X51" s="147"/>
      <c r="Y51" s="148"/>
      <c r="Z51" s="138"/>
      <c r="AA51" s="694"/>
      <c r="AB51" s="694"/>
      <c r="AC51" s="694"/>
      <c r="AD51" s="138"/>
    </row>
    <row r="52" spans="1:30" ht="36" customHeight="1">
      <c r="A52" s="696"/>
      <c r="B52" s="698">
        <v>35</v>
      </c>
      <c r="C52" s="147" t="s">
        <v>2168</v>
      </c>
      <c r="D52" s="152" t="s">
        <v>2168</v>
      </c>
      <c r="E52" s="147" t="s">
        <v>2168</v>
      </c>
      <c r="F52" s="147" t="s">
        <v>2168</v>
      </c>
      <c r="G52" s="147"/>
      <c r="H52" s="154"/>
      <c r="I52" s="703" t="str">
        <f t="shared" si="7"/>
        <v>3</v>
      </c>
      <c r="J52" s="703" t="str">
        <f t="shared" si="8"/>
        <v>Чистая прибыль, полученная от регулируемого вида деятельности в сфере холодного водоснабжения, в том числе:</v>
      </c>
      <c r="K52" s="703" t="str">
        <f t="shared" si="9"/>
        <v>Указывается общая сумма чистой прибыли, полученной от регулируемого вида деятельности.</v>
      </c>
      <c r="L52" s="697" t="str">
        <f t="shared" si="10"/>
        <v>3</v>
      </c>
      <c r="M52" s="697" t="str">
        <f t="shared" si="11"/>
        <v>Чистая прибыль, полученная от регулируемого вида деятельности в сфере холодного водоснабжения, в том числе:</v>
      </c>
      <c r="N52" s="697" t="str">
        <f t="shared" si="12"/>
        <v>Указывается общая сумма чистой прибыли, полученной от регулируемого вида деятельности.</v>
      </c>
      <c r="O52" s="153" t="s">
        <v>90</v>
      </c>
      <c r="P52" s="153" t="s">
        <v>89</v>
      </c>
      <c r="Q52" s="153" t="s">
        <v>89</v>
      </c>
      <c r="R52" s="153" t="s">
        <v>89</v>
      </c>
      <c r="S52" s="153"/>
      <c r="T52" s="147" t="s">
        <v>2276</v>
      </c>
      <c r="U52" s="147" t="s">
        <v>2277</v>
      </c>
      <c r="V52" s="147" t="s">
        <v>2278</v>
      </c>
      <c r="W52" s="147" t="s">
        <v>2279</v>
      </c>
      <c r="X52" s="147"/>
      <c r="Y52" s="148"/>
      <c r="Z52" s="138" t="s">
        <v>770</v>
      </c>
      <c r="AA52" s="694" t="s">
        <v>770</v>
      </c>
      <c r="AB52" s="694" t="s">
        <v>770</v>
      </c>
      <c r="AC52" s="694" t="s">
        <v>770</v>
      </c>
      <c r="AD52" s="138"/>
    </row>
    <row r="53" spans="1:30" ht="36" customHeight="1">
      <c r="A53" s="696"/>
      <c r="B53" s="698">
        <v>36</v>
      </c>
      <c r="C53" s="147">
        <v>1</v>
      </c>
      <c r="D53" s="152"/>
      <c r="E53" s="147"/>
      <c r="F53" s="147"/>
      <c r="G53" s="147"/>
      <c r="H53" s="154"/>
      <c r="I53" s="703" t="str">
        <f t="shared" si="7"/>
        <v>3.1</v>
      </c>
      <c r="J53" s="70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703">
        <f t="shared" si="9"/>
        <v>0</v>
      </c>
      <c r="L53" s="697" t="str">
        <f t="shared" si="10"/>
        <v>3.1</v>
      </c>
      <c r="M53" s="697"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697" t="str">
        <f t="shared" si="12"/>
        <v/>
      </c>
      <c r="O53" s="153" t="s">
        <v>774</v>
      </c>
      <c r="P53" s="153" t="s">
        <v>335</v>
      </c>
      <c r="Q53" s="153" t="s">
        <v>335</v>
      </c>
      <c r="R53" s="153" t="s">
        <v>335</v>
      </c>
      <c r="S53" s="153"/>
      <c r="T53" s="147" t="s">
        <v>2280</v>
      </c>
      <c r="U53" s="147" t="s">
        <v>2280</v>
      </c>
      <c r="V53" s="147" t="s">
        <v>2280</v>
      </c>
      <c r="W53" s="147" t="s">
        <v>2280</v>
      </c>
      <c r="X53" s="147"/>
      <c r="Y53" s="148"/>
      <c r="Z53" s="138"/>
      <c r="AA53" s="694"/>
      <c r="AB53" s="138"/>
      <c r="AC53" s="138"/>
      <c r="AD53" s="138"/>
    </row>
    <row r="54" spans="1:30" ht="18" customHeight="1">
      <c r="A54" s="696"/>
      <c r="B54" s="698">
        <v>37</v>
      </c>
      <c r="C54" s="147" t="s">
        <v>2174</v>
      </c>
      <c r="D54" s="152" t="s">
        <v>2174</v>
      </c>
      <c r="E54" s="147" t="s">
        <v>2174</v>
      </c>
      <c r="F54" s="147" t="s">
        <v>2174</v>
      </c>
      <c r="G54" s="147"/>
      <c r="H54" s="154"/>
      <c r="I54" s="703" t="str">
        <f t="shared" si="7"/>
        <v>4</v>
      </c>
      <c r="J54" s="703" t="str">
        <f t="shared" si="8"/>
        <v>Изменение стоимости основных фондов, в том числе:</v>
      </c>
      <c r="K54" s="703" t="str">
        <f t="shared" si="9"/>
        <v>Указывается общее изменение стоимости основных фондов.</v>
      </c>
      <c r="L54" s="697" t="str">
        <f t="shared" si="10"/>
        <v>4</v>
      </c>
      <c r="M54" s="697" t="str">
        <f t="shared" si="11"/>
        <v>Изменение стоимости основных фондов, в том числе:</v>
      </c>
      <c r="N54" s="697" t="str">
        <f t="shared" si="12"/>
        <v>Указывается общее изменение стоимости основных фондов.</v>
      </c>
      <c r="O54" s="153" t="s">
        <v>115</v>
      </c>
      <c r="P54" s="153" t="s">
        <v>90</v>
      </c>
      <c r="Q54" s="153" t="s">
        <v>90</v>
      </c>
      <c r="R54" s="153" t="s">
        <v>90</v>
      </c>
      <c r="S54" s="153"/>
      <c r="T54" s="147" t="s">
        <v>772</v>
      </c>
      <c r="U54" s="147" t="s">
        <v>772</v>
      </c>
      <c r="V54" s="147" t="s">
        <v>772</v>
      </c>
      <c r="W54" s="147" t="s">
        <v>772</v>
      </c>
      <c r="X54" s="147"/>
      <c r="Y54" s="148"/>
      <c r="Z54" s="138" t="s">
        <v>773</v>
      </c>
      <c r="AA54" s="138" t="s">
        <v>773</v>
      </c>
      <c r="AB54" s="138" t="s">
        <v>773</v>
      </c>
      <c r="AC54" s="138" t="s">
        <v>773</v>
      </c>
      <c r="AD54" s="138"/>
    </row>
    <row r="55" spans="1:30" ht="36" customHeight="1">
      <c r="A55" s="696"/>
      <c r="B55" s="698">
        <v>38</v>
      </c>
      <c r="C55" s="147">
        <v>1</v>
      </c>
      <c r="D55" s="152"/>
      <c r="E55" s="147"/>
      <c r="F55" s="147"/>
      <c r="G55" s="147"/>
      <c r="H55" s="154"/>
      <c r="I55" s="703" t="str">
        <f t="shared" si="7"/>
        <v>4.1</v>
      </c>
      <c r="J55" s="703" t="str">
        <f t="shared" si="8"/>
        <v>Изменение стоимости основных фондов за счет их ввода в эксплуатацию (вывода из эксплуатации)</v>
      </c>
      <c r="K55" s="703" t="str">
        <f t="shared" si="9"/>
        <v>Указываются общее изменение стоимости основных фондов за счет их ввода в эксплуатацию и вывода из эксплуатации.</v>
      </c>
      <c r="L55" s="697" t="str">
        <f t="shared" si="10"/>
        <v>4.1</v>
      </c>
      <c r="M55" s="697" t="str">
        <f t="shared" si="11"/>
        <v>Изменение стоимости основных фондов за счет их ввода в эксплуатацию (вывода из эксплуатации)</v>
      </c>
      <c r="N55" s="697" t="str">
        <f t="shared" si="12"/>
        <v>Указываются общее изменение стоимости основных фондов за счет их ввода в эксплуатацию и вывода из эксплуатации.</v>
      </c>
      <c r="O55" s="153" t="s">
        <v>324</v>
      </c>
      <c r="P55" s="153" t="s">
        <v>774</v>
      </c>
      <c r="Q55" s="153" t="s">
        <v>774</v>
      </c>
      <c r="R55" s="153" t="s">
        <v>774</v>
      </c>
      <c r="S55" s="153"/>
      <c r="T55" s="697"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147" t="s">
        <v>2281</v>
      </c>
      <c r="V55" s="147" t="s">
        <v>2281</v>
      </c>
      <c r="W55" s="147" t="s">
        <v>2281</v>
      </c>
      <c r="X55" s="147"/>
      <c r="Y55" s="148"/>
      <c r="Z55" s="138" t="s">
        <v>2282</v>
      </c>
      <c r="AA55" s="138" t="s">
        <v>2282</v>
      </c>
      <c r="AB55" s="138" t="s">
        <v>2282</v>
      </c>
      <c r="AC55" s="138" t="s">
        <v>2282</v>
      </c>
      <c r="AD55" s="138"/>
    </row>
    <row r="56" spans="1:30" ht="27" customHeight="1">
      <c r="A56" s="696"/>
      <c r="B56" s="698">
        <v>39</v>
      </c>
      <c r="C56" s="147" t="s">
        <v>1196</v>
      </c>
      <c r="D56" s="152"/>
      <c r="E56" s="147"/>
      <c r="F56" s="147"/>
      <c r="G56" s="147"/>
      <c r="H56" s="154"/>
      <c r="I56" s="703" t="str">
        <f t="shared" si="7"/>
        <v>4.1.1</v>
      </c>
      <c r="J56" s="703" t="str">
        <f t="shared" si="8"/>
        <v>Изменение стоимости основных фондов за счет их ввода в эксплуатацию</v>
      </c>
      <c r="K56" s="703" t="str">
        <f t="shared" si="9"/>
        <v>Указываются изменение стоимости основных фондов за счет их ввода в эксплуатацию.</v>
      </c>
      <c r="L56" s="697" t="str">
        <f t="shared" si="10"/>
        <v>4.1.1</v>
      </c>
      <c r="M56" s="697" t="str">
        <f t="shared" si="11"/>
        <v>Изменение стоимости основных фондов за счет их ввода в эксплуатацию</v>
      </c>
      <c r="N56" s="697" t="str">
        <f t="shared" si="12"/>
        <v>Указываются изменение стоимости основных фондов за счет их ввода в эксплуатацию.</v>
      </c>
      <c r="O56" s="153" t="s">
        <v>1316</v>
      </c>
      <c r="P56" s="153" t="s">
        <v>777</v>
      </c>
      <c r="Q56" s="153" t="s">
        <v>777</v>
      </c>
      <c r="R56" s="153" t="s">
        <v>777</v>
      </c>
      <c r="S56" s="153"/>
      <c r="T56" s="697"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147" t="s">
        <v>2283</v>
      </c>
      <c r="V56" s="147" t="s">
        <v>2283</v>
      </c>
      <c r="W56" s="147" t="s">
        <v>2283</v>
      </c>
      <c r="X56" s="147"/>
      <c r="Y56" s="148"/>
      <c r="Z56" s="138" t="s">
        <v>779</v>
      </c>
      <c r="AA56" s="138" t="s">
        <v>779</v>
      </c>
      <c r="AB56" s="138" t="s">
        <v>779</v>
      </c>
      <c r="AC56" s="138" t="s">
        <v>779</v>
      </c>
      <c r="AD56" s="138"/>
    </row>
    <row r="57" spans="1:30" ht="27" customHeight="1">
      <c r="A57" s="696"/>
      <c r="B57" s="698">
        <v>40</v>
      </c>
      <c r="C57" s="147" t="s">
        <v>1198</v>
      </c>
      <c r="D57" s="152"/>
      <c r="E57" s="147"/>
      <c r="F57" s="147"/>
      <c r="G57" s="147"/>
      <c r="H57" s="154"/>
      <c r="I57" s="703" t="str">
        <f t="shared" si="7"/>
        <v>4.1.2</v>
      </c>
      <c r="J57" s="703" t="str">
        <f t="shared" si="8"/>
        <v>Изменение стоимости основных фондов за счет их вывода в эксплуатацию</v>
      </c>
      <c r="K57" s="703" t="str">
        <f t="shared" si="9"/>
        <v>Указываются изменение стоимости основных фондов за счет их вывода из эксплуатации.</v>
      </c>
      <c r="L57" s="697" t="str">
        <f t="shared" si="10"/>
        <v>4.1.2</v>
      </c>
      <c r="M57" s="697" t="str">
        <f t="shared" si="11"/>
        <v>Изменение стоимости основных фондов за счет их вывода в эксплуатацию</v>
      </c>
      <c r="N57" s="697" t="str">
        <f t="shared" si="12"/>
        <v>Указываются изменение стоимости основных фондов за счет их вывода из эксплуатации.</v>
      </c>
      <c r="O57" s="153" t="s">
        <v>2284</v>
      </c>
      <c r="P57" s="153" t="s">
        <v>780</v>
      </c>
      <c r="Q57" s="153" t="s">
        <v>780</v>
      </c>
      <c r="R57" s="153" t="s">
        <v>780</v>
      </c>
      <c r="S57" s="153"/>
      <c r="T57" s="697"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147" t="s">
        <v>2285</v>
      </c>
      <c r="V57" s="147" t="s">
        <v>2285</v>
      </c>
      <c r="W57" s="147" t="s">
        <v>2285</v>
      </c>
      <c r="X57" s="147"/>
      <c r="Y57" s="148"/>
      <c r="Z57" s="138" t="s">
        <v>782</v>
      </c>
      <c r="AA57" s="138" t="s">
        <v>782</v>
      </c>
      <c r="AB57" s="138" t="s">
        <v>782</v>
      </c>
      <c r="AC57" s="138" t="s">
        <v>782</v>
      </c>
      <c r="AD57" s="138"/>
    </row>
    <row r="58" spans="1:30" ht="18" customHeight="1">
      <c r="A58" s="696"/>
      <c r="B58" s="698">
        <v>41</v>
      </c>
      <c r="C58" s="147">
        <v>2</v>
      </c>
      <c r="D58" s="152"/>
      <c r="E58" s="147"/>
      <c r="F58" s="147"/>
      <c r="G58" s="147"/>
      <c r="H58" s="154"/>
      <c r="I58" s="703" t="str">
        <f t="shared" si="7"/>
        <v>4.2</v>
      </c>
      <c r="J58" s="703" t="str">
        <f t="shared" si="8"/>
        <v>Изменение стоимости основных фондов за счет их переоценки</v>
      </c>
      <c r="K58" s="703">
        <f t="shared" si="9"/>
        <v>0</v>
      </c>
      <c r="L58" s="697" t="str">
        <f t="shared" si="10"/>
        <v>4.2</v>
      </c>
      <c r="M58" s="697" t="str">
        <f t="shared" si="11"/>
        <v>Изменение стоимости основных фондов за счет их переоценки</v>
      </c>
      <c r="N58" s="697" t="str">
        <f t="shared" si="12"/>
        <v/>
      </c>
      <c r="O58" s="153" t="s">
        <v>902</v>
      </c>
      <c r="P58" s="153" t="s">
        <v>816</v>
      </c>
      <c r="Q58" s="153" t="s">
        <v>816</v>
      </c>
      <c r="R58" s="153" t="s">
        <v>816</v>
      </c>
      <c r="S58" s="153"/>
      <c r="T58" s="697" t="str">
        <f>IF(TITLE_TYPE_ORG="Регулируемая организация","Изменение стоимости основных фондов за счет их переоценки","за счет их переоценки")</f>
        <v>за счет их переоценки</v>
      </c>
      <c r="U58" s="147" t="s">
        <v>2286</v>
      </c>
      <c r="V58" s="147" t="s">
        <v>2286</v>
      </c>
      <c r="W58" s="147" t="s">
        <v>2286</v>
      </c>
      <c r="X58" s="147"/>
      <c r="Y58" s="148"/>
      <c r="Z58" s="138"/>
      <c r="AA58" s="694"/>
      <c r="AB58" s="138"/>
      <c r="AC58" s="138"/>
      <c r="AD58" s="138"/>
    </row>
    <row r="59" spans="1:30" ht="36" customHeight="1">
      <c r="A59" s="696"/>
      <c r="B59" s="698">
        <v>42</v>
      </c>
      <c r="C59" s="147">
        <v>3</v>
      </c>
      <c r="D59" s="152" t="s">
        <v>2274</v>
      </c>
      <c r="E59" s="147" t="s">
        <v>2274</v>
      </c>
      <c r="F59" s="147" t="s">
        <v>2274</v>
      </c>
      <c r="G59" s="147"/>
      <c r="H59" s="154"/>
      <c r="I59" s="703" t="str">
        <f t="shared" si="7"/>
        <v>5</v>
      </c>
      <c r="J59" s="703" t="str">
        <f t="shared" si="8"/>
        <v>Валовая прибыль (убытки) от продажи товаров и услуг по регулируемым видам деятельности в сфере холодного водоснабжения</v>
      </c>
      <c r="K59" s="703">
        <f t="shared" si="9"/>
        <v>0</v>
      </c>
      <c r="L59" s="697" t="str">
        <f t="shared" si="10"/>
        <v>5</v>
      </c>
      <c r="M59" s="697" t="str">
        <f t="shared" si="11"/>
        <v>Валовая прибыль (убытки) от продажи товаров и услуг по регулируемым видам деятельности в сфере холодного водоснабжения</v>
      </c>
      <c r="N59" s="697" t="str">
        <f t="shared" si="12"/>
        <v/>
      </c>
      <c r="O59" s="153"/>
      <c r="P59" s="153" t="s">
        <v>115</v>
      </c>
      <c r="Q59" s="153" t="s">
        <v>115</v>
      </c>
      <c r="R59" s="153" t="s">
        <v>115</v>
      </c>
      <c r="S59" s="153"/>
      <c r="T59" s="147"/>
      <c r="U59" s="147" t="s">
        <v>2287</v>
      </c>
      <c r="V59" s="147" t="s">
        <v>2288</v>
      </c>
      <c r="W59" s="147" t="s">
        <v>2289</v>
      </c>
      <c r="X59" s="147"/>
      <c r="Y59" s="148"/>
      <c r="Z59" s="138"/>
      <c r="AA59" s="694"/>
      <c r="AB59" s="138"/>
      <c r="AC59" s="138"/>
      <c r="AD59" s="138"/>
    </row>
    <row r="60" spans="1:30" ht="81" customHeight="1">
      <c r="A60" s="696"/>
      <c r="B60" s="698">
        <v>43</v>
      </c>
      <c r="C60" s="147" t="s">
        <v>2290</v>
      </c>
      <c r="D60" s="152" t="s">
        <v>2290</v>
      </c>
      <c r="E60" s="147" t="s">
        <v>2290</v>
      </c>
      <c r="F60" s="147" t="s">
        <v>2290</v>
      </c>
      <c r="G60" s="147"/>
      <c r="H60" s="154"/>
      <c r="I60" s="703" t="str">
        <f t="shared" si="7"/>
        <v>6</v>
      </c>
      <c r="J60" s="703" t="str">
        <f t="shared" si="8"/>
        <v>Годовая бухгалтерская (финансовая) отчетность, включая бухгалтерский баланс и приложения к нему</v>
      </c>
      <c r="K60" s="703"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697" t="str">
        <f t="shared" si="10"/>
        <v>6</v>
      </c>
      <c r="M60" s="697" t="str">
        <f t="shared" si="11"/>
        <v>Годовая бухгалтерская (финансовая) отчетность, включая бухгалтерский баланс и приложения к нему</v>
      </c>
      <c r="N60" s="697"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153" t="s">
        <v>91</v>
      </c>
      <c r="P60" s="153" t="s">
        <v>91</v>
      </c>
      <c r="Q60" s="153" t="s">
        <v>91</v>
      </c>
      <c r="R60" s="153" t="s">
        <v>91</v>
      </c>
      <c r="S60" s="153"/>
      <c r="T60" s="147" t="s">
        <v>650</v>
      </c>
      <c r="U60" s="147" t="s">
        <v>650</v>
      </c>
      <c r="V60" s="147" t="s">
        <v>650</v>
      </c>
      <c r="W60" s="147" t="s">
        <v>650</v>
      </c>
      <c r="X60" s="147"/>
      <c r="Y60" s="148"/>
      <c r="Z60" s="138" t="s">
        <v>2291</v>
      </c>
      <c r="AA60" s="694" t="s">
        <v>2292</v>
      </c>
      <c r="AB60" s="138" t="s">
        <v>2293</v>
      </c>
      <c r="AC60" s="138" t="s">
        <v>2292</v>
      </c>
      <c r="AD60" s="138"/>
    </row>
    <row r="61" spans="1:30" ht="9" customHeight="1">
      <c r="A61" s="696"/>
      <c r="B61" s="698">
        <v>44</v>
      </c>
      <c r="C61" s="147"/>
      <c r="D61" s="152" t="s">
        <v>2294</v>
      </c>
      <c r="E61" s="147"/>
      <c r="F61" s="147"/>
      <c r="G61" s="147"/>
      <c r="H61" s="154"/>
      <c r="I61" s="703" t="str">
        <f t="shared" si="7"/>
        <v>7</v>
      </c>
      <c r="J61" s="703" t="str">
        <f t="shared" si="8"/>
        <v>Объём поднятой воды</v>
      </c>
      <c r="K61" s="703">
        <f t="shared" si="9"/>
        <v>0</v>
      </c>
      <c r="L61" s="697" t="str">
        <f t="shared" si="10"/>
        <v>7</v>
      </c>
      <c r="M61" s="697" t="str">
        <f t="shared" si="11"/>
        <v>Объём поднятой воды</v>
      </c>
      <c r="N61" s="697" t="str">
        <f t="shared" si="12"/>
        <v/>
      </c>
      <c r="O61" s="153"/>
      <c r="P61" s="153" t="s">
        <v>92</v>
      </c>
      <c r="Q61" s="153"/>
      <c r="R61" s="153"/>
      <c r="S61" s="153"/>
      <c r="T61" s="147"/>
      <c r="U61" s="147" t="s">
        <v>2295</v>
      </c>
      <c r="V61" s="147"/>
      <c r="W61" s="147"/>
      <c r="X61" s="147"/>
      <c r="Y61" s="148"/>
      <c r="Z61" s="138"/>
      <c r="AA61" s="694"/>
      <c r="AB61" s="138"/>
      <c r="AC61" s="138"/>
      <c r="AD61" s="138"/>
    </row>
    <row r="62" spans="1:30" ht="9" customHeight="1">
      <c r="A62" s="696"/>
      <c r="B62" s="698">
        <v>45</v>
      </c>
      <c r="C62" s="147"/>
      <c r="D62" s="152" t="s">
        <v>2296</v>
      </c>
      <c r="E62" s="147"/>
      <c r="F62" s="147"/>
      <c r="G62" s="147"/>
      <c r="H62" s="154"/>
      <c r="I62" s="703" t="str">
        <f t="shared" si="7"/>
        <v>8</v>
      </c>
      <c r="J62" s="703" t="str">
        <f t="shared" si="8"/>
        <v>Объём покупной воды</v>
      </c>
      <c r="K62" s="703">
        <f t="shared" si="9"/>
        <v>0</v>
      </c>
      <c r="L62" s="697" t="str">
        <f t="shared" si="10"/>
        <v>8</v>
      </c>
      <c r="M62" s="697" t="str">
        <f t="shared" si="11"/>
        <v>Объём покупной воды</v>
      </c>
      <c r="N62" s="697" t="str">
        <f t="shared" si="12"/>
        <v/>
      </c>
      <c r="O62" s="153"/>
      <c r="P62" s="153" t="s">
        <v>116</v>
      </c>
      <c r="Q62" s="153"/>
      <c r="R62" s="153"/>
      <c r="S62" s="153"/>
      <c r="T62" s="147"/>
      <c r="U62" s="147" t="s">
        <v>2297</v>
      </c>
      <c r="V62" s="147"/>
      <c r="W62" s="147"/>
      <c r="X62" s="147"/>
      <c r="Y62" s="148"/>
      <c r="Z62" s="138"/>
      <c r="AA62" s="694"/>
      <c r="AB62" s="138"/>
      <c r="AC62" s="138"/>
      <c r="AD62" s="138"/>
    </row>
    <row r="63" spans="1:30" ht="18" customHeight="1">
      <c r="A63" s="696"/>
      <c r="B63" s="698">
        <v>46</v>
      </c>
      <c r="C63" s="147"/>
      <c r="D63" s="152" t="s">
        <v>2298</v>
      </c>
      <c r="E63" s="147"/>
      <c r="F63" s="147"/>
      <c r="G63" s="147"/>
      <c r="H63" s="154"/>
      <c r="I63" s="703" t="str">
        <f t="shared" si="7"/>
        <v>9</v>
      </c>
      <c r="J63" s="703" t="str">
        <f t="shared" si="8"/>
        <v>Объём воды, пропущенной через очистные сооружения</v>
      </c>
      <c r="K63" s="703">
        <f t="shared" si="9"/>
        <v>0</v>
      </c>
      <c r="L63" s="697" t="str">
        <f t="shared" si="10"/>
        <v>9</v>
      </c>
      <c r="M63" s="697" t="str">
        <f t="shared" si="11"/>
        <v>Объём воды, пропущенной через очистные сооружения</v>
      </c>
      <c r="N63" s="697" t="str">
        <f t="shared" si="12"/>
        <v/>
      </c>
      <c r="O63" s="153"/>
      <c r="P63" s="153" t="s">
        <v>161</v>
      </c>
      <c r="Q63" s="153"/>
      <c r="R63" s="153"/>
      <c r="S63" s="153"/>
      <c r="T63" s="147"/>
      <c r="U63" s="147" t="s">
        <v>2299</v>
      </c>
      <c r="V63" s="147"/>
      <c r="W63" s="147"/>
      <c r="X63" s="147"/>
      <c r="Y63" s="148"/>
      <c r="Z63" s="138"/>
      <c r="AA63" s="694"/>
      <c r="AB63" s="138"/>
      <c r="AC63" s="138"/>
      <c r="AD63" s="138"/>
    </row>
    <row r="64" spans="1:30" ht="18" customHeight="1">
      <c r="A64" s="696"/>
      <c r="B64" s="698">
        <v>47</v>
      </c>
      <c r="C64" s="147"/>
      <c r="D64" s="152" t="s">
        <v>2300</v>
      </c>
      <c r="E64" s="147"/>
      <c r="F64" s="147"/>
      <c r="G64" s="147"/>
      <c r="H64" s="154"/>
      <c r="I64" s="703" t="str">
        <f t="shared" si="7"/>
        <v>10</v>
      </c>
      <c r="J64" s="703" t="str">
        <f t="shared" si="8"/>
        <v>Объём отпущенной потребителям воды, в том числе:</v>
      </c>
      <c r="K64" s="703" t="str">
        <f t="shared" si="9"/>
        <v>Указывается общий объем отпущенной потребителям воды.</v>
      </c>
      <c r="L64" s="697" t="str">
        <f t="shared" si="10"/>
        <v>10</v>
      </c>
      <c r="M64" s="697" t="str">
        <f t="shared" si="11"/>
        <v>Объём отпущенной потребителям воды, в том числе:</v>
      </c>
      <c r="N64" s="697" t="str">
        <f t="shared" si="12"/>
        <v>Указывается общий объем отпущенной потребителям воды.</v>
      </c>
      <c r="O64" s="153"/>
      <c r="P64" s="153" t="s">
        <v>162</v>
      </c>
      <c r="Q64" s="153"/>
      <c r="R64" s="153"/>
      <c r="S64" s="153"/>
      <c r="T64" s="147"/>
      <c r="U64" s="147" t="s">
        <v>2301</v>
      </c>
      <c r="V64" s="147"/>
      <c r="W64" s="147"/>
      <c r="X64" s="147"/>
      <c r="Y64" s="148"/>
      <c r="Z64" s="138"/>
      <c r="AA64" s="694" t="s">
        <v>2302</v>
      </c>
      <c r="AB64" s="138"/>
      <c r="AC64" s="138"/>
      <c r="AD64" s="138"/>
    </row>
    <row r="65" spans="1:30" ht="18" customHeight="1">
      <c r="A65" s="696"/>
      <c r="B65" s="698">
        <v>48</v>
      </c>
      <c r="C65" s="147"/>
      <c r="D65" s="152"/>
      <c r="E65" s="147"/>
      <c r="F65" s="147"/>
      <c r="G65" s="147"/>
      <c r="H65" s="154"/>
      <c r="I65" s="703" t="str">
        <f t="shared" si="7"/>
        <v>10.1</v>
      </c>
      <c r="J65" s="703" t="str">
        <f t="shared" si="8"/>
        <v>Объём отпущенной потребителям воды, определенный по приборам учета</v>
      </c>
      <c r="K65" s="703">
        <f t="shared" si="9"/>
        <v>0</v>
      </c>
      <c r="L65" s="697" t="str">
        <f t="shared" si="10"/>
        <v>10.1</v>
      </c>
      <c r="M65" s="697" t="str">
        <f t="shared" si="11"/>
        <v>Объём отпущенной потребителям воды, определенный по приборам учета</v>
      </c>
      <c r="N65" s="697" t="str">
        <f t="shared" si="12"/>
        <v/>
      </c>
      <c r="O65" s="153"/>
      <c r="P65" s="153" t="s">
        <v>2215</v>
      </c>
      <c r="Q65" s="153"/>
      <c r="R65" s="153"/>
      <c r="S65" s="153"/>
      <c r="T65" s="147"/>
      <c r="U65" s="147" t="s">
        <v>2303</v>
      </c>
      <c r="V65" s="147"/>
      <c r="W65" s="147"/>
      <c r="X65" s="147"/>
      <c r="Y65" s="148"/>
      <c r="Z65" s="138"/>
      <c r="AA65" s="694"/>
      <c r="AB65" s="138"/>
      <c r="AC65" s="138"/>
      <c r="AD65" s="138"/>
    </row>
    <row r="66" spans="1:30" ht="18" customHeight="1">
      <c r="A66" s="696"/>
      <c r="B66" s="698">
        <v>49</v>
      </c>
      <c r="C66" s="147"/>
      <c r="D66" s="152"/>
      <c r="E66" s="147"/>
      <c r="F66" s="147"/>
      <c r="G66" s="147"/>
      <c r="H66" s="154"/>
      <c r="I66" s="703" t="str">
        <f t="shared" si="7"/>
        <v>10.2</v>
      </c>
      <c r="J66" s="703" t="str">
        <f t="shared" si="8"/>
        <v>Объём отпущенной потребителям воды, определенный расчетным способом</v>
      </c>
      <c r="K66" s="703">
        <f t="shared" si="9"/>
        <v>0</v>
      </c>
      <c r="L66" s="697" t="str">
        <f t="shared" si="10"/>
        <v>10.2</v>
      </c>
      <c r="M66" s="697" t="str">
        <f t="shared" si="11"/>
        <v>Объём отпущенной потребителям воды, определенный расчетным способом</v>
      </c>
      <c r="N66" s="697" t="str">
        <f t="shared" si="12"/>
        <v/>
      </c>
      <c r="O66" s="153"/>
      <c r="P66" s="153" t="s">
        <v>2219</v>
      </c>
      <c r="Q66" s="153"/>
      <c r="R66" s="153"/>
      <c r="S66" s="153"/>
      <c r="T66" s="147"/>
      <c r="U66" s="147" t="s">
        <v>2304</v>
      </c>
      <c r="V66" s="147"/>
      <c r="W66" s="147"/>
      <c r="X66" s="147"/>
      <c r="Y66" s="148"/>
      <c r="Z66" s="138"/>
      <c r="AA66" s="694"/>
      <c r="AB66" s="138"/>
      <c r="AC66" s="138"/>
      <c r="AD66" s="138"/>
    </row>
    <row r="67" spans="1:30" ht="27" customHeight="1">
      <c r="A67" s="696"/>
      <c r="B67" s="698">
        <v>50</v>
      </c>
      <c r="C67" s="147"/>
      <c r="D67" s="152"/>
      <c r="E67" s="147"/>
      <c r="F67" s="147"/>
      <c r="G67" s="147"/>
      <c r="H67" s="154"/>
      <c r="I67" s="703" t="str">
        <f t="shared" si="7"/>
        <v>10.2.1</v>
      </c>
      <c r="J67" s="703" t="str">
        <f t="shared" si="8"/>
        <v>Объём отпущенной потребителям воды, определенный по нормативам потребления коммунальных услуг</v>
      </c>
      <c r="K67" s="703">
        <f t="shared" si="9"/>
        <v>0</v>
      </c>
      <c r="L67" s="697" t="str">
        <f t="shared" si="10"/>
        <v>10.2.1</v>
      </c>
      <c r="M67" s="697" t="str">
        <f t="shared" si="11"/>
        <v>Объём отпущенной потребителям воды, определенный по нормативам потребления коммунальных услуг</v>
      </c>
      <c r="N67" s="697" t="str">
        <f t="shared" si="12"/>
        <v/>
      </c>
      <c r="O67" s="153"/>
      <c r="P67" s="153" t="s">
        <v>2305</v>
      </c>
      <c r="Q67" s="153"/>
      <c r="R67" s="153"/>
      <c r="S67" s="153"/>
      <c r="T67" s="147"/>
      <c r="U67" s="147" t="s">
        <v>2306</v>
      </c>
      <c r="V67" s="147"/>
      <c r="W67" s="147"/>
      <c r="X67" s="147"/>
      <c r="Y67" s="148"/>
      <c r="Z67" s="138"/>
      <c r="AA67" s="694"/>
      <c r="AB67" s="138"/>
      <c r="AC67" s="138"/>
      <c r="AD67" s="138"/>
    </row>
    <row r="68" spans="1:30" ht="27" customHeight="1">
      <c r="A68" s="696"/>
      <c r="B68" s="698">
        <v>51</v>
      </c>
      <c r="C68" s="147"/>
      <c r="D68" s="152"/>
      <c r="E68" s="147"/>
      <c r="F68" s="147"/>
      <c r="G68" s="147"/>
      <c r="H68" s="154"/>
      <c r="I68" s="703" t="str">
        <f t="shared" si="7"/>
        <v>10.2.2</v>
      </c>
      <c r="J68" s="703" t="str">
        <f t="shared" si="8"/>
        <v xml:space="preserve">Объём отпущенной потребителям воды, определенный по нормативам потребления коммунальных ресурсов </v>
      </c>
      <c r="K68" s="703">
        <f t="shared" si="9"/>
        <v>0</v>
      </c>
      <c r="L68" s="697" t="str">
        <f t="shared" si="10"/>
        <v>10.2.2</v>
      </c>
      <c r="M68" s="697" t="str">
        <f t="shared" si="11"/>
        <v xml:space="preserve">Объём отпущенной потребителям воды, определенный по нормативам потребления коммунальных ресурсов </v>
      </c>
      <c r="N68" s="697" t="str">
        <f t="shared" si="12"/>
        <v/>
      </c>
      <c r="O68" s="153"/>
      <c r="P68" s="153" t="s">
        <v>2307</v>
      </c>
      <c r="Q68" s="153"/>
      <c r="R68" s="153"/>
      <c r="S68" s="153"/>
      <c r="T68" s="147"/>
      <c r="U68" s="147" t="s">
        <v>2308</v>
      </c>
      <c r="V68" s="147"/>
      <c r="W68" s="147"/>
      <c r="X68" s="147"/>
      <c r="Y68" s="148"/>
      <c r="Z68" s="138"/>
      <c r="AA68" s="694"/>
      <c r="AB68" s="138"/>
      <c r="AC68" s="138"/>
      <c r="AD68" s="138"/>
    </row>
    <row r="69" spans="1:30" ht="9" customHeight="1">
      <c r="A69" s="696"/>
      <c r="B69" s="698">
        <v>52</v>
      </c>
      <c r="C69" s="147"/>
      <c r="D69" s="152" t="s">
        <v>2309</v>
      </c>
      <c r="E69" s="147"/>
      <c r="F69" s="147"/>
      <c r="G69" s="147"/>
      <c r="H69" s="154"/>
      <c r="I69" s="703" t="str">
        <f t="shared" si="7"/>
        <v>11</v>
      </c>
      <c r="J69" s="703" t="str">
        <f t="shared" si="8"/>
        <v>Потери воды в сетях</v>
      </c>
      <c r="K69" s="703">
        <f t="shared" si="9"/>
        <v>0</v>
      </c>
      <c r="L69" s="697" t="str">
        <f t="shared" si="10"/>
        <v>11</v>
      </c>
      <c r="M69" s="697" t="str">
        <f t="shared" si="11"/>
        <v>Потери воды в сетях</v>
      </c>
      <c r="N69" s="697" t="str">
        <f t="shared" si="12"/>
        <v/>
      </c>
      <c r="O69" s="153"/>
      <c r="P69" s="153" t="s">
        <v>163</v>
      </c>
      <c r="Q69" s="153"/>
      <c r="R69" s="153"/>
      <c r="S69" s="153"/>
      <c r="T69" s="147"/>
      <c r="U69" s="147" t="s">
        <v>2310</v>
      </c>
      <c r="V69" s="147"/>
      <c r="W69" s="147"/>
      <c r="X69" s="147"/>
      <c r="Y69" s="148"/>
      <c r="Z69" s="138"/>
      <c r="AA69" s="694"/>
      <c r="AB69" s="138"/>
      <c r="AC69" s="138"/>
      <c r="AD69" s="138"/>
    </row>
    <row r="70" spans="1:30" ht="27" customHeight="1">
      <c r="A70" s="696"/>
      <c r="B70" s="698">
        <v>53</v>
      </c>
      <c r="C70" s="147"/>
      <c r="D70" s="152"/>
      <c r="E70" s="147" t="s">
        <v>2294</v>
      </c>
      <c r="F70" s="147"/>
      <c r="G70" s="147"/>
      <c r="H70" s="154"/>
      <c r="I70" s="703">
        <f t="shared" si="7"/>
        <v>0</v>
      </c>
      <c r="J70" s="703">
        <f t="shared" si="8"/>
        <v>0</v>
      </c>
      <c r="K70" s="703">
        <f t="shared" si="9"/>
        <v>0</v>
      </c>
      <c r="L70" s="697" t="str">
        <f t="shared" si="10"/>
        <v/>
      </c>
      <c r="M70" s="697" t="str">
        <f t="shared" si="11"/>
        <v/>
      </c>
      <c r="N70" s="697" t="str">
        <f t="shared" si="12"/>
        <v/>
      </c>
      <c r="O70" s="153"/>
      <c r="P70" s="153"/>
      <c r="Q70" s="153" t="s">
        <v>92</v>
      </c>
      <c r="R70" s="153"/>
      <c r="S70" s="153"/>
      <c r="T70" s="147"/>
      <c r="U70" s="147"/>
      <c r="V70" s="147" t="s">
        <v>2311</v>
      </c>
      <c r="W70" s="147"/>
      <c r="X70" s="147"/>
      <c r="Y70" s="148"/>
      <c r="Z70" s="138"/>
      <c r="AA70" s="694"/>
      <c r="AB70" s="138"/>
      <c r="AC70" s="138"/>
      <c r="AD70" s="138"/>
    </row>
    <row r="71" spans="1:30" ht="36" customHeight="1">
      <c r="A71" s="696"/>
      <c r="B71" s="698">
        <v>54</v>
      </c>
      <c r="C71" s="147"/>
      <c r="D71" s="152"/>
      <c r="E71" s="147" t="s">
        <v>2296</v>
      </c>
      <c r="F71" s="147"/>
      <c r="G71" s="147"/>
      <c r="H71" s="154"/>
      <c r="I71" s="703">
        <f t="shared" si="7"/>
        <v>0</v>
      </c>
      <c r="J71" s="703">
        <f t="shared" si="8"/>
        <v>0</v>
      </c>
      <c r="K71" s="703">
        <f t="shared" si="9"/>
        <v>0</v>
      </c>
      <c r="L71" s="697" t="str">
        <f t="shared" si="10"/>
        <v/>
      </c>
      <c r="M71" s="697" t="str">
        <f t="shared" si="11"/>
        <v/>
      </c>
      <c r="N71" s="697" t="str">
        <f t="shared" si="12"/>
        <v/>
      </c>
      <c r="O71" s="153"/>
      <c r="P71" s="153"/>
      <c r="Q71" s="153" t="s">
        <v>116</v>
      </c>
      <c r="R71" s="153"/>
      <c r="S71" s="153"/>
      <c r="T71" s="147"/>
      <c r="U71" s="147"/>
      <c r="V71" s="147" t="s">
        <v>2312</v>
      </c>
      <c r="W71" s="147"/>
      <c r="X71" s="147"/>
      <c r="Y71" s="148"/>
      <c r="Z71" s="138"/>
      <c r="AA71" s="694"/>
      <c r="AB71" s="138"/>
      <c r="AC71" s="138"/>
      <c r="AD71" s="138"/>
    </row>
    <row r="72" spans="1:30" ht="27" customHeight="1">
      <c r="A72" s="696"/>
      <c r="B72" s="698">
        <v>55</v>
      </c>
      <c r="C72" s="147"/>
      <c r="D72" s="152"/>
      <c r="E72" s="147" t="s">
        <v>2298</v>
      </c>
      <c r="F72" s="147"/>
      <c r="G72" s="147"/>
      <c r="H72" s="154"/>
      <c r="I72" s="703">
        <f t="shared" si="7"/>
        <v>0</v>
      </c>
      <c r="J72" s="703">
        <f t="shared" si="8"/>
        <v>0</v>
      </c>
      <c r="K72" s="703">
        <f t="shared" si="9"/>
        <v>0</v>
      </c>
      <c r="L72" s="697" t="str">
        <f t="shared" si="10"/>
        <v/>
      </c>
      <c r="M72" s="697" t="str">
        <f t="shared" si="11"/>
        <v/>
      </c>
      <c r="N72" s="697" t="str">
        <f t="shared" si="12"/>
        <v/>
      </c>
      <c r="O72" s="153"/>
      <c r="P72" s="153"/>
      <c r="Q72" s="153" t="s">
        <v>161</v>
      </c>
      <c r="R72" s="153"/>
      <c r="S72" s="153"/>
      <c r="T72" s="147"/>
      <c r="U72" s="147"/>
      <c r="V72" s="147" t="s">
        <v>2313</v>
      </c>
      <c r="W72" s="147"/>
      <c r="X72" s="147"/>
      <c r="Y72" s="148"/>
      <c r="Z72" s="138"/>
      <c r="AA72" s="694"/>
      <c r="AB72" s="138"/>
      <c r="AC72" s="138"/>
      <c r="AD72" s="138"/>
    </row>
    <row r="73" spans="1:30" ht="36" customHeight="1">
      <c r="A73" s="696"/>
      <c r="B73" s="698">
        <v>56</v>
      </c>
      <c r="C73" s="147"/>
      <c r="D73" s="152"/>
      <c r="E73" s="147" t="s">
        <v>2300</v>
      </c>
      <c r="F73" s="147"/>
      <c r="G73" s="147"/>
      <c r="H73" s="154"/>
      <c r="I73" s="703">
        <f t="shared" si="7"/>
        <v>0</v>
      </c>
      <c r="J73" s="703">
        <f t="shared" si="8"/>
        <v>0</v>
      </c>
      <c r="K73" s="703">
        <f t="shared" si="9"/>
        <v>0</v>
      </c>
      <c r="L73" s="697" t="str">
        <f t="shared" si="10"/>
        <v/>
      </c>
      <c r="M73" s="697" t="str">
        <f t="shared" si="11"/>
        <v/>
      </c>
      <c r="N73" s="697" t="str">
        <f t="shared" si="12"/>
        <v/>
      </c>
      <c r="O73" s="153"/>
      <c r="P73" s="153"/>
      <c r="Q73" s="153" t="s">
        <v>162</v>
      </c>
      <c r="R73" s="153"/>
      <c r="S73" s="153"/>
      <c r="T73" s="147"/>
      <c r="U73" s="147"/>
      <c r="V73" s="147" t="s">
        <v>2314</v>
      </c>
      <c r="W73" s="147"/>
      <c r="X73" s="147"/>
      <c r="Y73" s="148"/>
      <c r="Z73" s="138"/>
      <c r="AA73" s="694"/>
      <c r="AB73" s="138"/>
      <c r="AC73" s="138"/>
      <c r="AD73" s="138"/>
    </row>
    <row r="74" spans="1:30" ht="18" customHeight="1">
      <c r="A74" s="696"/>
      <c r="B74" s="698">
        <v>57</v>
      </c>
      <c r="C74" s="147"/>
      <c r="D74" s="152"/>
      <c r="E74" s="147" t="s">
        <v>2309</v>
      </c>
      <c r="F74" s="147"/>
      <c r="G74" s="147"/>
      <c r="H74" s="154"/>
      <c r="I74" s="703">
        <f t="shared" si="7"/>
        <v>0</v>
      </c>
      <c r="J74" s="703">
        <f t="shared" si="8"/>
        <v>0</v>
      </c>
      <c r="K74" s="703">
        <f t="shared" si="9"/>
        <v>0</v>
      </c>
      <c r="L74" s="697" t="str">
        <f t="shared" si="10"/>
        <v/>
      </c>
      <c r="M74" s="697" t="str">
        <f t="shared" si="11"/>
        <v/>
      </c>
      <c r="N74" s="697" t="str">
        <f t="shared" si="12"/>
        <v/>
      </c>
      <c r="O74" s="153"/>
      <c r="P74" s="153"/>
      <c r="Q74" s="153" t="s">
        <v>163</v>
      </c>
      <c r="R74" s="153"/>
      <c r="S74" s="153"/>
      <c r="T74" s="147"/>
      <c r="U74" s="147"/>
      <c r="V74" s="147" t="s">
        <v>2315</v>
      </c>
      <c r="W74" s="147"/>
      <c r="X74" s="147"/>
      <c r="Y74" s="148"/>
      <c r="Z74" s="138"/>
      <c r="AA74" s="694"/>
      <c r="AB74" s="138"/>
      <c r="AC74" s="138"/>
      <c r="AD74" s="138"/>
    </row>
    <row r="75" spans="1:30" ht="18" customHeight="1">
      <c r="A75" s="696"/>
      <c r="B75" s="698">
        <v>58</v>
      </c>
      <c r="C75" s="147"/>
      <c r="D75" s="152"/>
      <c r="E75" s="147"/>
      <c r="F75" s="147" t="s">
        <v>2294</v>
      </c>
      <c r="G75" s="147"/>
      <c r="H75" s="154"/>
      <c r="I75" s="703">
        <f t="shared" si="7"/>
        <v>0</v>
      </c>
      <c r="J75" s="703">
        <f t="shared" si="8"/>
        <v>0</v>
      </c>
      <c r="K75" s="703">
        <f t="shared" si="9"/>
        <v>0</v>
      </c>
      <c r="L75" s="697" t="str">
        <f t="shared" si="10"/>
        <v/>
      </c>
      <c r="M75" s="697" t="str">
        <f t="shared" si="11"/>
        <v/>
      </c>
      <c r="N75" s="697" t="str">
        <f t="shared" si="12"/>
        <v/>
      </c>
      <c r="O75" s="153"/>
      <c r="P75" s="153"/>
      <c r="Q75" s="153"/>
      <c r="R75" s="153" t="s">
        <v>92</v>
      </c>
      <c r="S75" s="153"/>
      <c r="T75" s="147"/>
      <c r="U75" s="147"/>
      <c r="V75" s="147"/>
      <c r="W75" s="147" t="s">
        <v>2316</v>
      </c>
      <c r="X75" s="147"/>
      <c r="Y75" s="148"/>
      <c r="Z75" s="138"/>
      <c r="AA75" s="694"/>
      <c r="AB75" s="138"/>
      <c r="AC75" s="138"/>
      <c r="AD75" s="138"/>
    </row>
    <row r="76" spans="1:30" ht="36" customHeight="1">
      <c r="A76" s="696"/>
      <c r="B76" s="698">
        <v>59</v>
      </c>
      <c r="C76" s="147"/>
      <c r="D76" s="152"/>
      <c r="E76" s="147"/>
      <c r="F76" s="147" t="s">
        <v>2296</v>
      </c>
      <c r="G76" s="147"/>
      <c r="H76" s="154"/>
      <c r="I76" s="703">
        <f t="shared" si="7"/>
        <v>0</v>
      </c>
      <c r="J76" s="703">
        <f t="shared" si="8"/>
        <v>0</v>
      </c>
      <c r="K76" s="703">
        <f t="shared" si="9"/>
        <v>0</v>
      </c>
      <c r="L76" s="697" t="str">
        <f t="shared" si="10"/>
        <v/>
      </c>
      <c r="M76" s="697" t="str">
        <f t="shared" si="11"/>
        <v/>
      </c>
      <c r="N76" s="697" t="str">
        <f t="shared" si="12"/>
        <v/>
      </c>
      <c r="O76" s="153"/>
      <c r="P76" s="153"/>
      <c r="Q76" s="153"/>
      <c r="R76" s="153" t="s">
        <v>116</v>
      </c>
      <c r="S76" s="153"/>
      <c r="T76" s="147"/>
      <c r="U76" s="147"/>
      <c r="V76" s="147"/>
      <c r="W76" s="147" t="s">
        <v>2317</v>
      </c>
      <c r="X76" s="147"/>
      <c r="Y76" s="148"/>
      <c r="Z76" s="138"/>
      <c r="AA76" s="694"/>
      <c r="AB76" s="138"/>
      <c r="AC76" s="138"/>
      <c r="AD76" s="138"/>
    </row>
    <row r="77" spans="1:30" ht="18" customHeight="1">
      <c r="A77" s="696"/>
      <c r="B77" s="698">
        <v>60</v>
      </c>
      <c r="C77" s="147"/>
      <c r="D77" s="152"/>
      <c r="E77" s="147"/>
      <c r="F77" s="147" t="s">
        <v>2298</v>
      </c>
      <c r="G77" s="147"/>
      <c r="H77" s="154"/>
      <c r="I77" s="703">
        <f t="shared" si="7"/>
        <v>0</v>
      </c>
      <c r="J77" s="703">
        <f t="shared" si="8"/>
        <v>0</v>
      </c>
      <c r="K77" s="703">
        <f t="shared" si="9"/>
        <v>0</v>
      </c>
      <c r="L77" s="697" t="str">
        <f t="shared" si="10"/>
        <v/>
      </c>
      <c r="M77" s="697" t="str">
        <f t="shared" si="11"/>
        <v/>
      </c>
      <c r="N77" s="697" t="str">
        <f t="shared" si="12"/>
        <v/>
      </c>
      <c r="O77" s="153"/>
      <c r="P77" s="153"/>
      <c r="Q77" s="153"/>
      <c r="R77" s="153" t="s">
        <v>161</v>
      </c>
      <c r="S77" s="153"/>
      <c r="T77" s="147"/>
      <c r="U77" s="147"/>
      <c r="V77" s="147"/>
      <c r="W77" s="147" t="s">
        <v>2318</v>
      </c>
      <c r="X77" s="147"/>
      <c r="Y77" s="148"/>
      <c r="Z77" s="138"/>
      <c r="AA77" s="694"/>
      <c r="AB77" s="138"/>
      <c r="AC77" s="138"/>
      <c r="AD77" s="138"/>
    </row>
    <row r="78" spans="1:30" ht="72" customHeight="1">
      <c r="A78" s="696"/>
      <c r="B78" s="698">
        <v>61</v>
      </c>
      <c r="C78" s="147" t="s">
        <v>2294</v>
      </c>
      <c r="D78" s="152"/>
      <c r="E78" s="147"/>
      <c r="F78" s="147"/>
      <c r="G78" s="147"/>
      <c r="H78" s="154"/>
      <c r="I78" s="703">
        <f t="shared" si="7"/>
        <v>0</v>
      </c>
      <c r="J78" s="703">
        <f t="shared" si="8"/>
        <v>0</v>
      </c>
      <c r="K78" s="703">
        <f t="shared" si="9"/>
        <v>0</v>
      </c>
      <c r="L78" s="697" t="str">
        <f t="shared" si="10"/>
        <v/>
      </c>
      <c r="M78" s="697" t="str">
        <f t="shared" si="11"/>
        <v/>
      </c>
      <c r="N78" s="697" t="str">
        <f t="shared" si="12"/>
        <v/>
      </c>
      <c r="O78" s="153" t="s">
        <v>92</v>
      </c>
      <c r="P78" s="153"/>
      <c r="Q78" s="153"/>
      <c r="R78" s="153"/>
      <c r="S78" s="153"/>
      <c r="T78" s="147" t="s">
        <v>655</v>
      </c>
      <c r="U78" s="147"/>
      <c r="V78" s="147"/>
      <c r="W78" s="147"/>
      <c r="X78" s="147"/>
      <c r="Y78" s="148"/>
      <c r="Z78" s="138" t="s">
        <v>2319</v>
      </c>
      <c r="AA78" s="694"/>
      <c r="AB78" s="138"/>
      <c r="AC78" s="138"/>
      <c r="AD78" s="138"/>
    </row>
    <row r="79" spans="1:30" ht="36" customHeight="1">
      <c r="A79" s="696"/>
      <c r="B79" s="698">
        <v>62</v>
      </c>
      <c r="C79" s="147" t="s">
        <v>2296</v>
      </c>
      <c r="D79" s="152"/>
      <c r="E79" s="147"/>
      <c r="F79" s="147"/>
      <c r="G79" s="147"/>
      <c r="H79" s="154"/>
      <c r="I79" s="703">
        <f t="shared" si="7"/>
        <v>0</v>
      </c>
      <c r="J79" s="703">
        <f t="shared" si="8"/>
        <v>0</v>
      </c>
      <c r="K79" s="703">
        <f t="shared" si="9"/>
        <v>0</v>
      </c>
      <c r="L79" s="697" t="str">
        <f t="shared" si="10"/>
        <v/>
      </c>
      <c r="M79" s="697" t="str">
        <f t="shared" si="11"/>
        <v/>
      </c>
      <c r="N79" s="697" t="str">
        <f t="shared" si="12"/>
        <v/>
      </c>
      <c r="O79" s="153" t="s">
        <v>116</v>
      </c>
      <c r="P79" s="153"/>
      <c r="Q79" s="153"/>
      <c r="R79" s="153"/>
      <c r="S79" s="153"/>
      <c r="T79" s="147" t="s">
        <v>2320</v>
      </c>
      <c r="U79" s="147"/>
      <c r="V79" s="147"/>
      <c r="W79" s="147"/>
      <c r="X79" s="147"/>
      <c r="Y79" s="148"/>
      <c r="Z79" s="138" t="s">
        <v>2321</v>
      </c>
      <c r="AA79" s="694"/>
      <c r="AB79" s="138"/>
      <c r="AC79" s="138"/>
      <c r="AD79" s="138"/>
    </row>
    <row r="80" spans="1:30" ht="45" customHeight="1">
      <c r="A80" s="696"/>
      <c r="B80" s="698">
        <v>63</v>
      </c>
      <c r="C80" s="147" t="s">
        <v>2298</v>
      </c>
      <c r="D80" s="152"/>
      <c r="E80" s="147"/>
      <c r="F80" s="147"/>
      <c r="G80" s="147"/>
      <c r="H80" s="154"/>
      <c r="I80" s="703">
        <f t="shared" si="7"/>
        <v>0</v>
      </c>
      <c r="J80" s="703">
        <f t="shared" si="8"/>
        <v>0</v>
      </c>
      <c r="K80" s="703">
        <f t="shared" si="9"/>
        <v>0</v>
      </c>
      <c r="L80" s="697" t="str">
        <f t="shared" si="10"/>
        <v/>
      </c>
      <c r="M80" s="697" t="str">
        <f t="shared" si="11"/>
        <v/>
      </c>
      <c r="N80" s="697" t="str">
        <f t="shared" si="12"/>
        <v/>
      </c>
      <c r="O80" s="153" t="s">
        <v>161</v>
      </c>
      <c r="P80" s="153"/>
      <c r="Q80" s="153"/>
      <c r="R80" s="153"/>
      <c r="S80" s="153"/>
      <c r="T80" s="147" t="s">
        <v>2322</v>
      </c>
      <c r="U80" s="147"/>
      <c r="V80" s="147"/>
      <c r="W80" s="147"/>
      <c r="X80" s="147"/>
      <c r="Y80" s="148"/>
      <c r="Z80" s="138" t="s">
        <v>2323</v>
      </c>
      <c r="AA80" s="694"/>
      <c r="AB80" s="138"/>
      <c r="AC80" s="138"/>
      <c r="AD80" s="138"/>
    </row>
    <row r="81" spans="1:30" ht="36" customHeight="1">
      <c r="A81" s="696"/>
      <c r="B81" s="698">
        <v>64</v>
      </c>
      <c r="C81" s="147" t="s">
        <v>2300</v>
      </c>
      <c r="D81" s="152"/>
      <c r="E81" s="147"/>
      <c r="F81" s="147"/>
      <c r="G81" s="147"/>
      <c r="H81" s="154"/>
      <c r="I81" s="703">
        <f t="shared" si="7"/>
        <v>0</v>
      </c>
      <c r="J81" s="703">
        <f t="shared" si="8"/>
        <v>0</v>
      </c>
      <c r="K81" s="703">
        <f t="shared" si="9"/>
        <v>0</v>
      </c>
      <c r="L81" s="697" t="str">
        <f t="shared" si="10"/>
        <v/>
      </c>
      <c r="M81" s="697" t="str">
        <f t="shared" si="11"/>
        <v/>
      </c>
      <c r="N81" s="697" t="str">
        <f t="shared" si="12"/>
        <v/>
      </c>
      <c r="O81" s="153" t="s">
        <v>2206</v>
      </c>
      <c r="P81" s="153"/>
      <c r="Q81" s="153"/>
      <c r="R81" s="153"/>
      <c r="S81" s="153"/>
      <c r="T81" s="147" t="s">
        <v>2324</v>
      </c>
      <c r="U81" s="147"/>
      <c r="V81" s="147"/>
      <c r="W81" s="147"/>
      <c r="X81" s="147"/>
      <c r="Y81" s="148"/>
      <c r="Z81" s="138" t="s">
        <v>2325</v>
      </c>
      <c r="AA81" s="694"/>
      <c r="AB81" s="138"/>
      <c r="AC81" s="138"/>
      <c r="AD81" s="138"/>
    </row>
    <row r="82" spans="1:30" ht="90" customHeight="1">
      <c r="A82" s="696"/>
      <c r="B82" s="698">
        <v>65</v>
      </c>
      <c r="C82" s="147" t="s">
        <v>2309</v>
      </c>
      <c r="D82" s="152"/>
      <c r="E82" s="147"/>
      <c r="F82" s="147"/>
      <c r="G82" s="147"/>
      <c r="H82" s="154"/>
      <c r="I82" s="703">
        <f t="shared" ref="I82:I101" si="13">INDEX(TEMPLATE_NUMBER_POINT_FHD,B82,MATCH(TEMPLATE_SPHERE,TEMPLATE_SPHERE_LIST_FOR_NOTE,0))</f>
        <v>0</v>
      </c>
      <c r="J82" s="703">
        <f t="shared" ref="J82:J101" si="14">INDEX(TEMPLATE_DATA_POINT_FHD,B82,MATCH(TEMPLATE_SPHERE,TEMPLATE_SPHERE_LIST_FOR_NOTE,0))</f>
        <v>0</v>
      </c>
      <c r="K82" s="703">
        <f t="shared" ref="K82:K101" si="15">INDEX(TEMPLATE_NOTE_POINT_FHD,B82,MATCH(TEMPLATE_SPHERE,TEMPLATE_SPHERE_LIST_FOR_NOTE,0))</f>
        <v>0</v>
      </c>
      <c r="L82" s="697" t="str">
        <f t="shared" ref="L82:L101" si="16">IF(I82=0,"",I82)</f>
        <v/>
      </c>
      <c r="M82" s="697" t="str">
        <f t="shared" ref="M82:M101" si="17">IF(J82=0,"",J82)</f>
        <v/>
      </c>
      <c r="N82" s="697" t="str">
        <f t="shared" ref="N82:N101" si="18">IF(K82=0,"",K82)</f>
        <v/>
      </c>
      <c r="O82" s="153" t="s">
        <v>162</v>
      </c>
      <c r="P82" s="153"/>
      <c r="Q82" s="153"/>
      <c r="R82" s="153"/>
      <c r="S82" s="153"/>
      <c r="T82" s="147" t="s">
        <v>2326</v>
      </c>
      <c r="U82" s="147"/>
      <c r="V82" s="147"/>
      <c r="W82" s="147"/>
      <c r="X82" s="147"/>
      <c r="Y82" s="148"/>
      <c r="Z82" s="138" t="s">
        <v>2327</v>
      </c>
      <c r="AA82" s="694"/>
      <c r="AB82" s="138"/>
      <c r="AC82" s="138"/>
      <c r="AD82" s="138"/>
    </row>
    <row r="83" spans="1:30" ht="9" customHeight="1">
      <c r="A83" s="696"/>
      <c r="B83" s="698">
        <v>66</v>
      </c>
      <c r="C83" s="147"/>
      <c r="D83" s="152"/>
      <c r="E83" s="147"/>
      <c r="F83" s="147"/>
      <c r="G83" s="147"/>
      <c r="H83" s="154"/>
      <c r="I83" s="703">
        <f t="shared" si="13"/>
        <v>0</v>
      </c>
      <c r="J83" s="703">
        <f t="shared" si="14"/>
        <v>0</v>
      </c>
      <c r="K83" s="703">
        <f t="shared" si="15"/>
        <v>0</v>
      </c>
      <c r="L83" s="697" t="str">
        <f t="shared" si="16"/>
        <v/>
      </c>
      <c r="M83" s="697" t="str">
        <f t="shared" si="17"/>
        <v/>
      </c>
      <c r="N83" s="697" t="str">
        <f t="shared" si="18"/>
        <v/>
      </c>
      <c r="O83" s="153" t="s">
        <v>2215</v>
      </c>
      <c r="P83" s="153"/>
      <c r="Q83" s="153"/>
      <c r="R83" s="153"/>
      <c r="S83" s="153"/>
      <c r="T83" s="147" t="s">
        <v>2328</v>
      </c>
      <c r="U83" s="147"/>
      <c r="V83" s="147"/>
      <c r="W83" s="147"/>
      <c r="X83" s="147"/>
      <c r="Y83" s="148"/>
      <c r="Z83" s="138"/>
      <c r="AA83" s="694"/>
      <c r="AB83" s="138"/>
      <c r="AC83" s="138"/>
      <c r="AD83" s="138"/>
    </row>
    <row r="84" spans="1:30" ht="54" customHeight="1">
      <c r="A84" s="696"/>
      <c r="B84" s="698">
        <v>67</v>
      </c>
      <c r="C84" s="147"/>
      <c r="D84" s="152"/>
      <c r="E84" s="147"/>
      <c r="F84" s="147"/>
      <c r="G84" s="147"/>
      <c r="H84" s="154"/>
      <c r="I84" s="703">
        <f t="shared" si="13"/>
        <v>0</v>
      </c>
      <c r="J84" s="703">
        <f t="shared" si="14"/>
        <v>0</v>
      </c>
      <c r="K84" s="703">
        <f t="shared" si="15"/>
        <v>0</v>
      </c>
      <c r="L84" s="697" t="str">
        <f t="shared" si="16"/>
        <v/>
      </c>
      <c r="M84" s="697" t="str">
        <f t="shared" si="17"/>
        <v/>
      </c>
      <c r="N84" s="697" t="str">
        <f t="shared" si="18"/>
        <v/>
      </c>
      <c r="O84" s="153" t="s">
        <v>2329</v>
      </c>
      <c r="P84" s="153"/>
      <c r="Q84" s="153"/>
      <c r="R84" s="153"/>
      <c r="S84" s="153"/>
      <c r="T84" s="147" t="s">
        <v>2330</v>
      </c>
      <c r="U84" s="147"/>
      <c r="V84" s="147"/>
      <c r="W84" s="147"/>
      <c r="X84" s="147"/>
      <c r="Y84" s="148"/>
      <c r="Z84" s="138"/>
      <c r="AA84" s="694"/>
      <c r="AB84" s="138"/>
      <c r="AC84" s="138"/>
      <c r="AD84" s="138"/>
    </row>
    <row r="85" spans="1:30" ht="9" customHeight="1">
      <c r="A85" s="696"/>
      <c r="B85" s="698">
        <v>68</v>
      </c>
      <c r="C85" s="147"/>
      <c r="D85" s="152"/>
      <c r="E85" s="147"/>
      <c r="F85" s="147"/>
      <c r="G85" s="147"/>
      <c r="H85" s="154"/>
      <c r="I85" s="703">
        <f t="shared" si="13"/>
        <v>0</v>
      </c>
      <c r="J85" s="703">
        <f t="shared" si="14"/>
        <v>0</v>
      </c>
      <c r="K85" s="703">
        <f t="shared" si="15"/>
        <v>0</v>
      </c>
      <c r="L85" s="697" t="str">
        <f t="shared" si="16"/>
        <v/>
      </c>
      <c r="M85" s="697" t="str">
        <f t="shared" si="17"/>
        <v/>
      </c>
      <c r="N85" s="697" t="str">
        <f t="shared" si="18"/>
        <v/>
      </c>
      <c r="O85" s="153" t="s">
        <v>2219</v>
      </c>
      <c r="P85" s="153"/>
      <c r="Q85" s="153"/>
      <c r="R85" s="153"/>
      <c r="S85" s="153"/>
      <c r="T85" s="147" t="s">
        <v>2331</v>
      </c>
      <c r="U85" s="147"/>
      <c r="V85" s="147"/>
      <c r="W85" s="147"/>
      <c r="X85" s="147"/>
      <c r="Y85" s="148"/>
      <c r="Z85" s="138"/>
      <c r="AA85" s="694"/>
      <c r="AB85" s="138"/>
      <c r="AC85" s="138"/>
      <c r="AD85" s="138"/>
    </row>
    <row r="86" spans="1:30" ht="27" customHeight="1">
      <c r="A86" s="696"/>
      <c r="B86" s="698">
        <v>69</v>
      </c>
      <c r="C86" s="147"/>
      <c r="D86" s="152"/>
      <c r="E86" s="147"/>
      <c r="F86" s="147"/>
      <c r="G86" s="147"/>
      <c r="H86" s="154"/>
      <c r="I86" s="703">
        <f t="shared" si="13"/>
        <v>0</v>
      </c>
      <c r="J86" s="703">
        <f t="shared" si="14"/>
        <v>0</v>
      </c>
      <c r="K86" s="703">
        <f t="shared" si="15"/>
        <v>0</v>
      </c>
      <c r="L86" s="697" t="str">
        <f t="shared" si="16"/>
        <v/>
      </c>
      <c r="M86" s="697" t="str">
        <f t="shared" si="17"/>
        <v/>
      </c>
      <c r="N86" s="697" t="str">
        <f t="shared" si="18"/>
        <v/>
      </c>
      <c r="O86" s="153" t="s">
        <v>2332</v>
      </c>
      <c r="P86" s="153"/>
      <c r="Q86" s="153"/>
      <c r="R86" s="153"/>
      <c r="S86" s="153"/>
      <c r="T86" s="147" t="s">
        <v>2333</v>
      </c>
      <c r="U86" s="147"/>
      <c r="V86" s="147"/>
      <c r="W86" s="147"/>
      <c r="X86" s="147"/>
      <c r="Y86" s="148"/>
      <c r="Z86" s="138"/>
      <c r="AA86" s="694"/>
      <c r="AB86" s="138"/>
      <c r="AC86" s="138"/>
      <c r="AD86" s="138"/>
    </row>
    <row r="87" spans="1:30" ht="36" customHeight="1">
      <c r="A87" s="696"/>
      <c r="B87" s="698">
        <v>70</v>
      </c>
      <c r="C87" s="147" t="s">
        <v>2334</v>
      </c>
      <c r="D87" s="152"/>
      <c r="E87" s="147"/>
      <c r="F87" s="147"/>
      <c r="G87" s="147"/>
      <c r="H87" s="154"/>
      <c r="I87" s="703">
        <f t="shared" si="13"/>
        <v>0</v>
      </c>
      <c r="J87" s="703">
        <f t="shared" si="14"/>
        <v>0</v>
      </c>
      <c r="K87" s="703">
        <f t="shared" si="15"/>
        <v>0</v>
      </c>
      <c r="L87" s="697" t="str">
        <f t="shared" si="16"/>
        <v/>
      </c>
      <c r="M87" s="697" t="str">
        <f t="shared" si="17"/>
        <v/>
      </c>
      <c r="N87" s="697" t="str">
        <f t="shared" si="18"/>
        <v/>
      </c>
      <c r="O87" s="153" t="s">
        <v>163</v>
      </c>
      <c r="P87" s="153"/>
      <c r="Q87" s="153"/>
      <c r="R87" s="153"/>
      <c r="S87" s="153"/>
      <c r="T87" s="147" t="s">
        <v>2335</v>
      </c>
      <c r="U87" s="147"/>
      <c r="V87" s="147"/>
      <c r="W87" s="147"/>
      <c r="X87" s="147"/>
      <c r="Y87" s="148"/>
      <c r="Z87" s="138"/>
      <c r="AA87" s="694"/>
      <c r="AB87" s="138"/>
      <c r="AC87" s="138"/>
      <c r="AD87" s="138"/>
    </row>
    <row r="88" spans="1:30" ht="18" customHeight="1">
      <c r="A88" s="696"/>
      <c r="B88" s="698">
        <v>71</v>
      </c>
      <c r="C88" s="147" t="s">
        <v>2336</v>
      </c>
      <c r="D88" s="152"/>
      <c r="E88" s="147"/>
      <c r="F88" s="147"/>
      <c r="G88" s="147"/>
      <c r="H88" s="154"/>
      <c r="I88" s="703">
        <f t="shared" si="13"/>
        <v>0</v>
      </c>
      <c r="J88" s="703">
        <f t="shared" si="14"/>
        <v>0</v>
      </c>
      <c r="K88" s="703">
        <f t="shared" si="15"/>
        <v>0</v>
      </c>
      <c r="L88" s="697" t="str">
        <f t="shared" si="16"/>
        <v/>
      </c>
      <c r="M88" s="697" t="str">
        <f t="shared" si="17"/>
        <v/>
      </c>
      <c r="N88" s="697" t="str">
        <f t="shared" si="18"/>
        <v/>
      </c>
      <c r="O88" s="153" t="s">
        <v>164</v>
      </c>
      <c r="P88" s="153"/>
      <c r="Q88" s="153"/>
      <c r="R88" s="153"/>
      <c r="S88" s="153"/>
      <c r="T88" s="147" t="s">
        <v>687</v>
      </c>
      <c r="U88" s="147"/>
      <c r="V88" s="147"/>
      <c r="W88" s="147"/>
      <c r="X88" s="147"/>
      <c r="Y88" s="148"/>
      <c r="Z88" s="138"/>
      <c r="AA88" s="694"/>
      <c r="AB88" s="138"/>
      <c r="AC88" s="138"/>
      <c r="AD88" s="138"/>
    </row>
    <row r="89" spans="1:30" ht="18" customHeight="1">
      <c r="A89" s="696"/>
      <c r="B89" s="698">
        <v>72</v>
      </c>
      <c r="C89" s="147" t="s">
        <v>2337</v>
      </c>
      <c r="D89" s="152" t="s">
        <v>2334</v>
      </c>
      <c r="E89" s="147" t="s">
        <v>2334</v>
      </c>
      <c r="F89" s="147" t="s">
        <v>2300</v>
      </c>
      <c r="G89" s="147"/>
      <c r="H89" s="154"/>
      <c r="I89" s="703" t="str">
        <f t="shared" si="13"/>
        <v>12</v>
      </c>
      <c r="J89" s="703" t="str">
        <f t="shared" si="14"/>
        <v>Среднесписочная численность основного производственного персонала</v>
      </c>
      <c r="K89" s="703">
        <f t="shared" si="15"/>
        <v>0</v>
      </c>
      <c r="L89" s="697" t="str">
        <f t="shared" si="16"/>
        <v>12</v>
      </c>
      <c r="M89" s="697" t="str">
        <f t="shared" si="17"/>
        <v>Среднесписочная численность основного производственного персонала</v>
      </c>
      <c r="N89" s="697" t="str">
        <f t="shared" si="18"/>
        <v/>
      </c>
      <c r="O89" s="153" t="s">
        <v>165</v>
      </c>
      <c r="P89" s="153" t="s">
        <v>164</v>
      </c>
      <c r="Q89" s="153" t="s">
        <v>164</v>
      </c>
      <c r="R89" s="153" t="s">
        <v>162</v>
      </c>
      <c r="S89" s="153"/>
      <c r="T89" s="147" t="s">
        <v>695</v>
      </c>
      <c r="U89" s="147" t="s">
        <v>695</v>
      </c>
      <c r="V89" s="147" t="s">
        <v>695</v>
      </c>
      <c r="W89" s="147" t="s">
        <v>695</v>
      </c>
      <c r="X89" s="147"/>
      <c r="Y89" s="148"/>
      <c r="Z89" s="138"/>
      <c r="AA89" s="694"/>
      <c r="AB89" s="138"/>
      <c r="AC89" s="138"/>
      <c r="AD89" s="138"/>
    </row>
    <row r="90" spans="1:30" ht="27" customHeight="1">
      <c r="A90" s="696"/>
      <c r="B90" s="698">
        <v>73</v>
      </c>
      <c r="C90" s="147" t="s">
        <v>2338</v>
      </c>
      <c r="D90" s="152"/>
      <c r="E90" s="147"/>
      <c r="F90" s="147"/>
      <c r="G90" s="147"/>
      <c r="H90" s="154"/>
      <c r="I90" s="703">
        <f t="shared" si="13"/>
        <v>0</v>
      </c>
      <c r="J90" s="703">
        <f t="shared" si="14"/>
        <v>0</v>
      </c>
      <c r="K90" s="703">
        <f t="shared" si="15"/>
        <v>0</v>
      </c>
      <c r="L90" s="697" t="str">
        <f t="shared" si="16"/>
        <v/>
      </c>
      <c r="M90" s="697" t="str">
        <f t="shared" si="17"/>
        <v/>
      </c>
      <c r="N90" s="697" t="str">
        <f t="shared" si="18"/>
        <v/>
      </c>
      <c r="O90" s="153" t="s">
        <v>166</v>
      </c>
      <c r="P90" s="153"/>
      <c r="Q90" s="153"/>
      <c r="R90" s="153"/>
      <c r="S90" s="153"/>
      <c r="T90" s="147" t="s">
        <v>697</v>
      </c>
      <c r="U90" s="147"/>
      <c r="V90" s="147"/>
      <c r="W90" s="147"/>
      <c r="X90" s="147"/>
      <c r="Y90" s="148"/>
      <c r="Z90" s="138"/>
      <c r="AA90" s="694"/>
      <c r="AB90" s="138"/>
      <c r="AC90" s="138"/>
      <c r="AD90" s="138"/>
    </row>
    <row r="91" spans="1:30" ht="18" customHeight="1">
      <c r="A91" s="696"/>
      <c r="B91" s="698">
        <v>74</v>
      </c>
      <c r="C91" s="147"/>
      <c r="D91" s="152" t="s">
        <v>2336</v>
      </c>
      <c r="E91" s="147" t="s">
        <v>2336</v>
      </c>
      <c r="F91" s="147"/>
      <c r="G91" s="147"/>
      <c r="H91" s="154"/>
      <c r="I91" s="703" t="str">
        <f t="shared" si="13"/>
        <v>13</v>
      </c>
      <c r="J91" s="703" t="str">
        <f t="shared" si="14"/>
        <v>Удельный расход электрической энергии на подачу воды в сеть</v>
      </c>
      <c r="K91" s="703">
        <f t="shared" si="15"/>
        <v>0</v>
      </c>
      <c r="L91" s="697" t="str">
        <f t="shared" si="16"/>
        <v>13</v>
      </c>
      <c r="M91" s="697" t="str">
        <f t="shared" si="17"/>
        <v>Удельный расход электрической энергии на подачу воды в сеть</v>
      </c>
      <c r="N91" s="697" t="str">
        <f t="shared" si="18"/>
        <v/>
      </c>
      <c r="O91" s="153"/>
      <c r="P91" s="153" t="s">
        <v>165</v>
      </c>
      <c r="Q91" s="153" t="s">
        <v>165</v>
      </c>
      <c r="R91" s="153"/>
      <c r="S91" s="153"/>
      <c r="T91" s="147"/>
      <c r="U91" s="147" t="s">
        <v>2339</v>
      </c>
      <c r="V91" s="147" t="s">
        <v>2339</v>
      </c>
      <c r="W91" s="147"/>
      <c r="X91" s="147"/>
      <c r="Y91" s="148"/>
      <c r="Z91" s="138"/>
      <c r="AA91" s="694"/>
      <c r="AB91" s="138"/>
      <c r="AC91" s="138"/>
      <c r="AD91" s="138"/>
    </row>
    <row r="92" spans="1:30" ht="27" customHeight="1">
      <c r="A92" s="696"/>
      <c r="B92" s="698">
        <v>75</v>
      </c>
      <c r="C92" s="147"/>
      <c r="D92" s="152" t="s">
        <v>2337</v>
      </c>
      <c r="E92" s="147"/>
      <c r="F92" s="147"/>
      <c r="G92" s="147"/>
      <c r="H92" s="154"/>
      <c r="I92" s="703" t="str">
        <f t="shared" si="13"/>
        <v>14</v>
      </c>
      <c r="J92" s="703" t="str">
        <f t="shared" si="14"/>
        <v>Расход воды на собственные нужды, в том числе:</v>
      </c>
      <c r="K92" s="703" t="str">
        <f t="shared" si="15"/>
        <v>Указывается доля общего расхода воды на собственные нужны от объема отпуска воды потребителям.</v>
      </c>
      <c r="L92" s="697" t="str">
        <f t="shared" si="16"/>
        <v>14</v>
      </c>
      <c r="M92" s="697" t="str">
        <f t="shared" si="17"/>
        <v>Расход воды на собственные нужды, в том числе:</v>
      </c>
      <c r="N92" s="697" t="str">
        <f t="shared" si="18"/>
        <v>Указывается доля общего расхода воды на собственные нужны от объема отпуска воды потребителям.</v>
      </c>
      <c r="O92" s="153"/>
      <c r="P92" s="153" t="s">
        <v>166</v>
      </c>
      <c r="Q92" s="153"/>
      <c r="R92" s="153"/>
      <c r="S92" s="153"/>
      <c r="T92" s="147"/>
      <c r="U92" s="147" t="s">
        <v>2340</v>
      </c>
      <c r="V92" s="147"/>
      <c r="W92" s="147"/>
      <c r="X92" s="147"/>
      <c r="Y92" s="148"/>
      <c r="Z92" s="138"/>
      <c r="AA92" s="694" t="s">
        <v>2341</v>
      </c>
      <c r="AB92" s="138"/>
      <c r="AC92" s="138"/>
      <c r="AD92" s="138"/>
    </row>
    <row r="93" spans="1:30" ht="27" customHeight="1">
      <c r="A93" s="696"/>
      <c r="B93" s="698">
        <v>76</v>
      </c>
      <c r="C93" s="147"/>
      <c r="D93" s="152"/>
      <c r="E93" s="147"/>
      <c r="F93" s="147"/>
      <c r="G93" s="147"/>
      <c r="H93" s="154"/>
      <c r="I93" s="703" t="str">
        <f t="shared" si="13"/>
        <v>14.1</v>
      </c>
      <c r="J93" s="703" t="str">
        <f t="shared" si="14"/>
        <v>Расход воды на хозяйственно-бытовые нужды</v>
      </c>
      <c r="K93" s="703" t="str">
        <f t="shared" si="15"/>
        <v>Указывается доля расхода воды на хозяйственно-бытовые нужны от объема отпуска воды потребителям.</v>
      </c>
      <c r="L93" s="697" t="str">
        <f t="shared" si="16"/>
        <v>14.1</v>
      </c>
      <c r="M93" s="697" t="str">
        <f t="shared" si="17"/>
        <v>Расход воды на хозяйственно-бытовые нужды</v>
      </c>
      <c r="N93" s="697" t="str">
        <f t="shared" si="18"/>
        <v>Указывается доля расхода воды на хозяйственно-бытовые нужны от объема отпуска воды потребителям.</v>
      </c>
      <c r="O93" s="153"/>
      <c r="P93" s="153" t="s">
        <v>2247</v>
      </c>
      <c r="Q93" s="153"/>
      <c r="R93" s="153"/>
      <c r="S93" s="153"/>
      <c r="T93" s="147"/>
      <c r="U93" s="147" t="s">
        <v>2342</v>
      </c>
      <c r="V93" s="147"/>
      <c r="W93" s="147"/>
      <c r="X93" s="147"/>
      <c r="Y93" s="148"/>
      <c r="Z93" s="138"/>
      <c r="AA93" s="694" t="s">
        <v>2343</v>
      </c>
      <c r="AB93" s="138"/>
      <c r="AC93" s="138"/>
      <c r="AD93" s="138"/>
    </row>
    <row r="94" spans="1:30" ht="45" customHeight="1">
      <c r="A94" s="696"/>
      <c r="B94" s="698">
        <v>77</v>
      </c>
      <c r="C94" s="147"/>
      <c r="D94" s="152" t="s">
        <v>2338</v>
      </c>
      <c r="E94" s="147"/>
      <c r="F94" s="147"/>
      <c r="G94" s="147"/>
      <c r="H94" s="154"/>
      <c r="I94" s="703" t="str">
        <f t="shared" si="13"/>
        <v>15</v>
      </c>
      <c r="J94" s="703" t="str">
        <f t="shared" si="14"/>
        <v>Показатель использования производственных объектов (по объему перекачки), в том числе:</v>
      </c>
      <c r="K94" s="703"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697" t="str">
        <f t="shared" si="16"/>
        <v>15</v>
      </c>
      <c r="M94" s="697" t="str">
        <f t="shared" si="17"/>
        <v>Показатель использования производственных объектов (по объему перекачки), в том числе:</v>
      </c>
      <c r="N94" s="697"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153"/>
      <c r="P94" s="153" t="s">
        <v>1112</v>
      </c>
      <c r="Q94" s="153"/>
      <c r="R94" s="153"/>
      <c r="S94" s="153"/>
      <c r="T94" s="147"/>
      <c r="U94" s="147" t="s">
        <v>2344</v>
      </c>
      <c r="V94" s="147"/>
      <c r="W94" s="147"/>
      <c r="X94" s="147"/>
      <c r="Y94" s="148"/>
      <c r="Z94" s="138"/>
      <c r="AA94" s="694" t="s">
        <v>2345</v>
      </c>
      <c r="AB94" s="138"/>
      <c r="AC94" s="138"/>
      <c r="AD94" s="138"/>
    </row>
    <row r="95" spans="1:30" ht="99" customHeight="1">
      <c r="A95" s="696"/>
      <c r="B95" s="698">
        <v>78</v>
      </c>
      <c r="C95" s="147" t="s">
        <v>2346</v>
      </c>
      <c r="D95" s="152"/>
      <c r="E95" s="147"/>
      <c r="F95" s="147"/>
      <c r="G95" s="147"/>
      <c r="H95" s="154"/>
      <c r="I95" s="703">
        <f t="shared" si="13"/>
        <v>0</v>
      </c>
      <c r="J95" s="703">
        <f t="shared" si="14"/>
        <v>0</v>
      </c>
      <c r="K95" s="703">
        <f t="shared" si="15"/>
        <v>0</v>
      </c>
      <c r="L95" s="697" t="str">
        <f t="shared" si="16"/>
        <v/>
      </c>
      <c r="M95" s="697" t="str">
        <f t="shared" si="17"/>
        <v/>
      </c>
      <c r="N95" s="697" t="str">
        <f t="shared" si="18"/>
        <v/>
      </c>
      <c r="O95" s="153" t="s">
        <v>1112</v>
      </c>
      <c r="P95" s="153"/>
      <c r="Q95" s="153"/>
      <c r="R95" s="153"/>
      <c r="S95" s="153"/>
      <c r="T95" s="147" t="s">
        <v>2347</v>
      </c>
      <c r="U95" s="147"/>
      <c r="V95" s="147"/>
      <c r="W95" s="147"/>
      <c r="X95" s="147"/>
      <c r="Y95" s="148"/>
      <c r="Z95" s="138"/>
      <c r="AA95" s="694"/>
      <c r="AB95" s="138"/>
      <c r="AC95" s="138"/>
      <c r="AD95" s="138"/>
    </row>
    <row r="96" spans="1:30" ht="99" customHeight="1">
      <c r="A96" s="696"/>
      <c r="B96" s="698">
        <v>79</v>
      </c>
      <c r="C96" s="147" t="s">
        <v>1325</v>
      </c>
      <c r="D96" s="152"/>
      <c r="E96" s="147"/>
      <c r="F96" s="147"/>
      <c r="G96" s="147"/>
      <c r="H96" s="154"/>
      <c r="I96" s="703">
        <f t="shared" si="13"/>
        <v>0</v>
      </c>
      <c r="J96" s="703">
        <f t="shared" si="14"/>
        <v>0</v>
      </c>
      <c r="K96" s="703">
        <f t="shared" si="15"/>
        <v>0</v>
      </c>
      <c r="L96" s="697" t="str">
        <f t="shared" si="16"/>
        <v/>
      </c>
      <c r="M96" s="697" t="str">
        <f t="shared" si="17"/>
        <v/>
      </c>
      <c r="N96" s="697" t="str">
        <f t="shared" si="18"/>
        <v/>
      </c>
      <c r="O96" s="153" t="s">
        <v>1118</v>
      </c>
      <c r="P96" s="153"/>
      <c r="Q96" s="153"/>
      <c r="R96" s="153"/>
      <c r="S96" s="153"/>
      <c r="T96" s="147" t="s">
        <v>2348</v>
      </c>
      <c r="U96" s="147"/>
      <c r="V96" s="147"/>
      <c r="W96" s="147"/>
      <c r="X96" s="147"/>
      <c r="Y96" s="148"/>
      <c r="Z96" s="138" t="s">
        <v>2349</v>
      </c>
      <c r="AA96" s="694"/>
      <c r="AB96" s="138"/>
      <c r="AC96" s="138"/>
      <c r="AD96" s="138"/>
    </row>
    <row r="97" spans="1:30" ht="63" customHeight="1">
      <c r="A97" s="696"/>
      <c r="B97" s="698">
        <v>80</v>
      </c>
      <c r="C97" s="147" t="s">
        <v>2350</v>
      </c>
      <c r="D97" s="152"/>
      <c r="E97" s="147"/>
      <c r="F97" s="147"/>
      <c r="G97" s="147"/>
      <c r="H97" s="154"/>
      <c r="I97" s="703">
        <f t="shared" si="13"/>
        <v>0</v>
      </c>
      <c r="J97" s="703">
        <f t="shared" si="14"/>
        <v>0</v>
      </c>
      <c r="K97" s="703">
        <f t="shared" si="15"/>
        <v>0</v>
      </c>
      <c r="L97" s="697" t="str">
        <f t="shared" si="16"/>
        <v/>
      </c>
      <c r="M97" s="697" t="str">
        <f t="shared" si="17"/>
        <v/>
      </c>
      <c r="N97" s="697" t="str">
        <f t="shared" si="18"/>
        <v/>
      </c>
      <c r="O97" s="153" t="s">
        <v>1120</v>
      </c>
      <c r="P97" s="153"/>
      <c r="Q97" s="153"/>
      <c r="R97" s="153"/>
      <c r="S97" s="153"/>
      <c r="T97" s="147" t="s">
        <v>2351</v>
      </c>
      <c r="U97" s="147"/>
      <c r="V97" s="147"/>
      <c r="W97" s="147"/>
      <c r="X97" s="147"/>
      <c r="Y97" s="148"/>
      <c r="Z97" s="138" t="s">
        <v>2352</v>
      </c>
      <c r="AA97" s="694"/>
      <c r="AB97" s="138"/>
      <c r="AC97" s="138"/>
      <c r="AD97" s="138"/>
    </row>
    <row r="98" spans="1:30" ht="63" customHeight="1">
      <c r="A98" s="696"/>
      <c r="B98" s="698">
        <v>81</v>
      </c>
      <c r="C98" s="147" t="s">
        <v>2353</v>
      </c>
      <c r="D98" s="152"/>
      <c r="E98" s="147"/>
      <c r="F98" s="147"/>
      <c r="G98" s="147"/>
      <c r="H98" s="154"/>
      <c r="I98" s="703">
        <f t="shared" si="13"/>
        <v>0</v>
      </c>
      <c r="J98" s="703">
        <f t="shared" si="14"/>
        <v>0</v>
      </c>
      <c r="K98" s="703">
        <f t="shared" si="15"/>
        <v>0</v>
      </c>
      <c r="L98" s="697" t="str">
        <f t="shared" si="16"/>
        <v/>
      </c>
      <c r="M98" s="697" t="str">
        <f t="shared" si="17"/>
        <v/>
      </c>
      <c r="N98" s="697" t="str">
        <f t="shared" si="18"/>
        <v/>
      </c>
      <c r="O98" s="153" t="s">
        <v>1153</v>
      </c>
      <c r="P98" s="153"/>
      <c r="Q98" s="153"/>
      <c r="R98" s="153"/>
      <c r="S98" s="153"/>
      <c r="T98" s="147" t="s">
        <v>2354</v>
      </c>
      <c r="U98" s="147"/>
      <c r="V98" s="147"/>
      <c r="W98" s="147"/>
      <c r="X98" s="147"/>
      <c r="Y98" s="148"/>
      <c r="Z98" s="138" t="s">
        <v>2352</v>
      </c>
      <c r="AA98" s="694"/>
      <c r="AB98" s="138"/>
      <c r="AC98" s="138"/>
      <c r="AD98" s="138"/>
    </row>
    <row r="99" spans="1:30" ht="90" customHeight="1">
      <c r="A99" s="696"/>
      <c r="B99" s="698">
        <v>82</v>
      </c>
      <c r="C99" s="147" t="s">
        <v>2355</v>
      </c>
      <c r="D99" s="152"/>
      <c r="E99" s="147"/>
      <c r="F99" s="147"/>
      <c r="G99" s="147"/>
      <c r="H99" s="154"/>
      <c r="I99" s="703">
        <f t="shared" si="13"/>
        <v>0</v>
      </c>
      <c r="J99" s="703">
        <f t="shared" si="14"/>
        <v>0</v>
      </c>
      <c r="K99" s="703">
        <f t="shared" si="15"/>
        <v>0</v>
      </c>
      <c r="L99" s="697" t="str">
        <f t="shared" si="16"/>
        <v/>
      </c>
      <c r="M99" s="697" t="str">
        <f t="shared" si="17"/>
        <v/>
      </c>
      <c r="N99" s="697" t="str">
        <f t="shared" si="18"/>
        <v/>
      </c>
      <c r="O99" s="153" t="s">
        <v>1155</v>
      </c>
      <c r="P99" s="153"/>
      <c r="Q99" s="153"/>
      <c r="R99" s="153"/>
      <c r="S99" s="153"/>
      <c r="T99" s="147" t="s">
        <v>2356</v>
      </c>
      <c r="U99" s="147"/>
      <c r="V99" s="147"/>
      <c r="W99" s="147"/>
      <c r="X99" s="147"/>
      <c r="Y99" s="148"/>
      <c r="Z99" s="138" t="s">
        <v>652</v>
      </c>
      <c r="AA99" s="694"/>
      <c r="AB99" s="138"/>
      <c r="AC99" s="138"/>
      <c r="AD99" s="138"/>
    </row>
    <row r="100" spans="1:30" ht="27" customHeight="1">
      <c r="A100" s="696"/>
      <c r="B100" s="698">
        <v>83</v>
      </c>
      <c r="C100" s="147"/>
      <c r="D100" s="152"/>
      <c r="E100" s="147"/>
      <c r="F100" s="147"/>
      <c r="G100" s="147"/>
      <c r="H100" s="154"/>
      <c r="I100" s="703">
        <f t="shared" si="13"/>
        <v>0</v>
      </c>
      <c r="J100" s="703">
        <f t="shared" si="14"/>
        <v>0</v>
      </c>
      <c r="K100" s="703">
        <f t="shared" si="15"/>
        <v>0</v>
      </c>
      <c r="L100" s="697" t="str">
        <f t="shared" si="16"/>
        <v/>
      </c>
      <c r="M100" s="697" t="str">
        <f t="shared" si="17"/>
        <v/>
      </c>
      <c r="N100" s="697" t="str">
        <f t="shared" si="18"/>
        <v/>
      </c>
      <c r="O100" s="153" t="s">
        <v>2357</v>
      </c>
      <c r="P100" s="153"/>
      <c r="Q100" s="153"/>
      <c r="R100" s="153"/>
      <c r="S100" s="153"/>
      <c r="T100" s="147" t="s">
        <v>2358</v>
      </c>
      <c r="U100" s="147"/>
      <c r="V100" s="147"/>
      <c r="W100" s="147"/>
      <c r="X100" s="147"/>
      <c r="Y100" s="148"/>
      <c r="Z100" s="138" t="s">
        <v>652</v>
      </c>
      <c r="AA100" s="694"/>
      <c r="AB100" s="138"/>
      <c r="AC100" s="138"/>
      <c r="AD100" s="138"/>
    </row>
    <row r="101" spans="1:30" ht="27" customHeight="1">
      <c r="A101" s="696"/>
      <c r="B101" s="698">
        <v>84</v>
      </c>
      <c r="C101" s="147"/>
      <c r="D101" s="152"/>
      <c r="E101" s="147"/>
      <c r="F101" s="147"/>
      <c r="G101" s="147"/>
      <c r="H101" s="154"/>
      <c r="I101" s="703">
        <f t="shared" si="13"/>
        <v>0</v>
      </c>
      <c r="J101" s="703">
        <f t="shared" si="14"/>
        <v>0</v>
      </c>
      <c r="K101" s="703">
        <f t="shared" si="15"/>
        <v>0</v>
      </c>
      <c r="L101" s="697" t="str">
        <f t="shared" si="16"/>
        <v/>
      </c>
      <c r="M101" s="697" t="str">
        <f t="shared" si="17"/>
        <v/>
      </c>
      <c r="N101" s="697" t="str">
        <f t="shared" si="18"/>
        <v/>
      </c>
      <c r="O101" s="153" t="s">
        <v>2359</v>
      </c>
      <c r="P101" s="153"/>
      <c r="Q101" s="153"/>
      <c r="R101" s="153"/>
      <c r="S101" s="153"/>
      <c r="T101" s="147" t="s">
        <v>2360</v>
      </c>
      <c r="U101" s="147"/>
      <c r="V101" s="147"/>
      <c r="W101" s="147"/>
      <c r="X101" s="147"/>
      <c r="Y101" s="148"/>
      <c r="Z101" s="138" t="s">
        <v>652</v>
      </c>
      <c r="AA101" s="694"/>
      <c r="AB101" s="138"/>
      <c r="AC101" s="138"/>
      <c r="AD101" s="138"/>
    </row>
    <row r="102" spans="1:30" ht="9" customHeight="1">
      <c r="A102" s="696"/>
      <c r="B102" s="696"/>
      <c r="C102" s="147"/>
      <c r="D102" s="147"/>
      <c r="E102" s="147"/>
      <c r="F102" s="147"/>
      <c r="G102" s="147"/>
      <c r="H102" s="154"/>
      <c r="I102" s="154"/>
      <c r="J102" s="154"/>
      <c r="K102" s="154"/>
      <c r="L102" s="154"/>
      <c r="M102" s="147"/>
      <c r="N102" s="156"/>
      <c r="O102" s="153"/>
      <c r="P102" s="153"/>
      <c r="Q102" s="153"/>
      <c r="R102" s="153"/>
      <c r="S102" s="147"/>
      <c r="T102" s="147"/>
      <c r="U102" s="147"/>
      <c r="V102" s="147"/>
      <c r="W102" s="147"/>
      <c r="X102" s="147"/>
      <c r="Y102" s="148"/>
      <c r="Z102" s="138"/>
      <c r="AA102" s="694"/>
      <c r="AB102" s="138"/>
      <c r="AC102" s="138"/>
      <c r="AD102" s="138"/>
    </row>
    <row r="103" spans="1:30" ht="9" customHeight="1">
      <c r="A103" s="696"/>
      <c r="B103" s="696"/>
      <c r="C103" s="147"/>
      <c r="D103" s="147"/>
      <c r="E103" s="147"/>
      <c r="F103" s="147"/>
      <c r="G103" s="147"/>
      <c r="H103" s="154"/>
      <c r="I103" s="154"/>
      <c r="J103" s="154"/>
      <c r="K103" s="154"/>
      <c r="L103" s="154"/>
      <c r="M103" s="147"/>
      <c r="N103" s="156"/>
      <c r="O103" s="153"/>
      <c r="P103" s="153"/>
      <c r="Q103" s="153"/>
      <c r="R103" s="153"/>
      <c r="S103" s="147"/>
      <c r="T103" s="147"/>
      <c r="U103" s="147"/>
      <c r="V103" s="147"/>
      <c r="W103" s="147"/>
      <c r="X103" s="147"/>
      <c r="Y103" s="148"/>
      <c r="Z103" s="138"/>
      <c r="AA103" s="694"/>
      <c r="AB103" s="138"/>
      <c r="AC103" s="138"/>
      <c r="AD103" s="138"/>
    </row>
    <row r="104" spans="1:30" ht="9" customHeight="1">
      <c r="A104" s="696"/>
      <c r="B104" s="696"/>
      <c r="C104" s="147"/>
      <c r="D104" s="147"/>
      <c r="E104" s="147"/>
      <c r="F104" s="147"/>
      <c r="G104" s="147"/>
      <c r="H104" s="154"/>
      <c r="I104" s="154"/>
      <c r="J104" s="154"/>
      <c r="K104" s="154"/>
      <c r="L104" s="154"/>
      <c r="M104" s="147"/>
      <c r="N104" s="156"/>
      <c r="O104" s="153"/>
      <c r="P104" s="153"/>
      <c r="Q104" s="153"/>
      <c r="R104" s="153"/>
      <c r="S104" s="147"/>
      <c r="T104" s="147"/>
      <c r="U104" s="147"/>
      <c r="V104" s="147"/>
      <c r="W104" s="147"/>
      <c r="X104" s="147"/>
      <c r="Y104" s="148"/>
      <c r="Z104" s="138"/>
      <c r="AA104" s="694"/>
      <c r="AB104" s="138"/>
      <c r="AC104" s="138"/>
      <c r="AD104" s="138"/>
    </row>
    <row r="105" spans="1:30" ht="9" customHeight="1">
      <c r="A105" s="696"/>
      <c r="B105" s="696"/>
      <c r="C105" s="147"/>
      <c r="D105" s="147"/>
      <c r="E105" s="147"/>
      <c r="F105" s="147"/>
      <c r="G105" s="147"/>
      <c r="H105" s="154"/>
      <c r="I105" s="154"/>
      <c r="J105" s="154"/>
      <c r="K105" s="154"/>
      <c r="L105" s="154"/>
      <c r="M105" s="147"/>
      <c r="N105" s="156"/>
      <c r="O105" s="153"/>
      <c r="P105" s="153"/>
      <c r="Q105" s="153"/>
      <c r="R105" s="153"/>
      <c r="S105" s="147"/>
      <c r="T105" s="147"/>
      <c r="U105" s="147"/>
      <c r="V105" s="147"/>
      <c r="W105" s="147"/>
      <c r="X105" s="147"/>
      <c r="Y105" s="148"/>
      <c r="Z105" s="138"/>
      <c r="AA105" s="694"/>
      <c r="AB105" s="138"/>
      <c r="AC105" s="138"/>
      <c r="AD105" s="138"/>
    </row>
    <row r="106" spans="1:30" ht="9" customHeight="1">
      <c r="A106" s="696"/>
      <c r="B106" s="696"/>
      <c r="C106" s="147"/>
      <c r="D106" s="147"/>
      <c r="E106" s="147"/>
      <c r="F106" s="147"/>
      <c r="G106" s="147"/>
      <c r="H106" s="154"/>
      <c r="I106" s="154"/>
      <c r="J106" s="154"/>
      <c r="K106" s="154"/>
      <c r="L106" s="154"/>
      <c r="M106" s="147"/>
      <c r="N106" s="156"/>
      <c r="O106" s="153"/>
      <c r="P106" s="153"/>
      <c r="Q106" s="153"/>
      <c r="R106" s="153"/>
      <c r="S106" s="147"/>
      <c r="T106" s="147"/>
      <c r="U106" s="147"/>
      <c r="V106" s="147"/>
      <c r="W106" s="147"/>
      <c r="X106" s="147"/>
      <c r="Y106" s="148"/>
      <c r="Z106" s="138"/>
      <c r="AA106" s="694"/>
      <c r="AB106" s="138"/>
      <c r="AC106" s="138"/>
      <c r="AD106" s="138"/>
    </row>
    <row r="107" spans="1:30" ht="9" customHeight="1">
      <c r="A107" s="696"/>
      <c r="B107" s="696"/>
      <c r="C107" s="147"/>
      <c r="D107" s="147"/>
      <c r="E107" s="147"/>
      <c r="F107" s="147"/>
      <c r="G107" s="147"/>
      <c r="H107" s="154"/>
      <c r="I107" s="154"/>
      <c r="J107" s="154"/>
      <c r="K107" s="154"/>
      <c r="L107" s="154"/>
      <c r="M107" s="147"/>
      <c r="N107" s="156"/>
      <c r="O107" s="153"/>
      <c r="P107" s="153"/>
      <c r="Q107" s="153"/>
      <c r="R107" s="153"/>
      <c r="S107" s="147"/>
      <c r="T107" s="147"/>
      <c r="U107" s="147"/>
      <c r="V107" s="147"/>
      <c r="W107" s="147"/>
      <c r="X107" s="147"/>
      <c r="Y107" s="148"/>
      <c r="Z107" s="138"/>
      <c r="AA107" s="694"/>
      <c r="AB107" s="138"/>
      <c r="AC107" s="138"/>
      <c r="AD107" s="138"/>
    </row>
    <row r="108" spans="1:30" ht="9" customHeight="1">
      <c r="A108" s="696"/>
      <c r="B108" s="696"/>
      <c r="C108" s="147"/>
      <c r="D108" s="147"/>
      <c r="E108" s="147"/>
      <c r="F108" s="147"/>
      <c r="G108" s="147"/>
      <c r="H108" s="154"/>
      <c r="I108" s="154"/>
      <c r="J108" s="154"/>
      <c r="K108" s="154"/>
      <c r="L108" s="154"/>
      <c r="M108" s="147"/>
      <c r="N108" s="156"/>
      <c r="O108" s="153"/>
      <c r="P108" s="153"/>
      <c r="Q108" s="153"/>
      <c r="R108" s="153"/>
      <c r="S108" s="147"/>
      <c r="T108" s="147"/>
      <c r="U108" s="147"/>
      <c r="V108" s="147"/>
      <c r="W108" s="147"/>
      <c r="X108" s="147"/>
      <c r="Y108" s="148"/>
      <c r="Z108" s="138"/>
      <c r="AA108" s="694"/>
      <c r="AB108" s="138"/>
      <c r="AC108" s="138"/>
      <c r="AD108" s="138"/>
    </row>
    <row r="109" spans="1:30" ht="9" customHeight="1">
      <c r="A109" s="696"/>
      <c r="B109" s="696"/>
      <c r="C109" s="147"/>
      <c r="D109" s="147"/>
      <c r="E109" s="147"/>
      <c r="F109" s="147"/>
      <c r="G109" s="147"/>
      <c r="H109" s="154"/>
      <c r="I109" s="154"/>
      <c r="J109" s="154"/>
      <c r="K109" s="154"/>
      <c r="L109" s="154"/>
      <c r="M109" s="147"/>
      <c r="N109" s="156"/>
      <c r="O109" s="153"/>
      <c r="P109" s="153"/>
      <c r="Q109" s="153"/>
      <c r="R109" s="153"/>
      <c r="S109" s="147"/>
      <c r="T109" s="147"/>
      <c r="U109" s="147"/>
      <c r="V109" s="147"/>
      <c r="W109" s="147"/>
      <c r="X109" s="147"/>
      <c r="Y109" s="148"/>
      <c r="Z109" s="138"/>
      <c r="AA109" s="694"/>
      <c r="AB109" s="138"/>
      <c r="AC109" s="138"/>
      <c r="AD109" s="138"/>
    </row>
    <row r="110" spans="1:30" ht="9" customHeight="1">
      <c r="A110" s="696"/>
      <c r="B110" s="696"/>
      <c r="C110" s="147"/>
      <c r="D110" s="147"/>
      <c r="E110" s="147"/>
      <c r="F110" s="147"/>
      <c r="G110" s="147"/>
      <c r="H110" s="154"/>
      <c r="I110" s="154"/>
      <c r="J110" s="154"/>
      <c r="K110" s="154"/>
      <c r="L110" s="154"/>
      <c r="M110" s="147"/>
      <c r="N110" s="156"/>
      <c r="O110" s="153"/>
      <c r="P110" s="153"/>
      <c r="Q110" s="153"/>
      <c r="R110" s="153"/>
      <c r="S110" s="147"/>
      <c r="T110" s="147"/>
      <c r="U110" s="147"/>
      <c r="V110" s="147"/>
      <c r="W110" s="147"/>
      <c r="X110" s="147"/>
      <c r="Y110" s="148"/>
      <c r="Z110" s="138"/>
      <c r="AA110" s="694"/>
      <c r="AB110" s="138"/>
      <c r="AC110" s="138"/>
      <c r="AD110" s="138"/>
    </row>
    <row r="111" spans="1:30" ht="9" customHeight="1">
      <c r="A111" s="696"/>
      <c r="B111" s="696"/>
      <c r="C111" s="147"/>
      <c r="D111" s="147"/>
      <c r="E111" s="147"/>
      <c r="F111" s="147"/>
      <c r="G111" s="147"/>
      <c r="H111" s="154"/>
      <c r="I111" s="154"/>
      <c r="J111" s="154"/>
      <c r="K111" s="154"/>
      <c r="L111" s="154"/>
      <c r="M111" s="147"/>
      <c r="N111" s="156"/>
      <c r="O111" s="153"/>
      <c r="P111" s="153"/>
      <c r="Q111" s="153"/>
      <c r="R111" s="153"/>
      <c r="S111" s="147"/>
      <c r="T111" s="147"/>
      <c r="U111" s="147"/>
      <c r="V111" s="147"/>
      <c r="W111" s="147"/>
      <c r="X111" s="147"/>
      <c r="Y111" s="148"/>
      <c r="Z111" s="138"/>
      <c r="AA111" s="694"/>
      <c r="AB111" s="138"/>
      <c r="AC111" s="138"/>
      <c r="AD111" s="138"/>
    </row>
    <row r="112" spans="1:30" ht="9" customHeight="1">
      <c r="A112" s="696"/>
      <c r="B112" s="696"/>
      <c r="C112" s="147"/>
      <c r="D112" s="147"/>
      <c r="E112" s="147"/>
      <c r="F112" s="147"/>
      <c r="G112" s="147"/>
      <c r="H112" s="154"/>
      <c r="I112" s="154"/>
      <c r="J112" s="154"/>
      <c r="K112" s="154"/>
      <c r="L112" s="154"/>
      <c r="M112" s="147"/>
      <c r="N112" s="156"/>
      <c r="O112" s="153"/>
      <c r="P112" s="153"/>
      <c r="Q112" s="153"/>
      <c r="R112" s="153"/>
      <c r="S112" s="147"/>
      <c r="T112" s="147"/>
      <c r="U112" s="147"/>
      <c r="V112" s="147"/>
      <c r="W112" s="147"/>
      <c r="X112" s="147"/>
      <c r="Y112" s="148"/>
      <c r="Z112" s="138"/>
      <c r="AA112" s="694"/>
      <c r="AB112" s="138"/>
      <c r="AC112" s="138"/>
      <c r="AD112" s="138"/>
    </row>
    <row r="113" spans="1:30" ht="9" customHeight="1">
      <c r="A113" s="696"/>
      <c r="B113" s="696"/>
      <c r="C113" s="147"/>
      <c r="D113" s="147"/>
      <c r="E113" s="147"/>
      <c r="F113" s="147"/>
      <c r="G113" s="147"/>
      <c r="H113" s="154"/>
      <c r="I113" s="154"/>
      <c r="J113" s="154"/>
      <c r="K113" s="154"/>
      <c r="L113" s="154"/>
      <c r="M113" s="147"/>
      <c r="N113" s="156"/>
      <c r="O113" s="153"/>
      <c r="P113" s="153"/>
      <c r="Q113" s="153"/>
      <c r="R113" s="153"/>
      <c r="S113" s="147"/>
      <c r="T113" s="147"/>
      <c r="U113" s="147"/>
      <c r="V113" s="147"/>
      <c r="W113" s="147"/>
      <c r="X113" s="147"/>
      <c r="Y113" s="148"/>
      <c r="Z113" s="138"/>
      <c r="AA113" s="694"/>
      <c r="AB113" s="138"/>
      <c r="AC113" s="138"/>
      <c r="AD113" s="138"/>
    </row>
    <row r="114" spans="1:30" ht="9" customHeight="1">
      <c r="A114" s="696"/>
      <c r="B114" s="696"/>
      <c r="C114" s="147"/>
      <c r="D114" s="147"/>
      <c r="E114" s="147"/>
      <c r="F114" s="147"/>
      <c r="G114" s="147"/>
      <c r="H114" s="154"/>
      <c r="I114" s="154"/>
      <c r="J114" s="154"/>
      <c r="K114" s="154"/>
      <c r="L114" s="154"/>
      <c r="M114" s="147"/>
      <c r="N114" s="156"/>
      <c r="O114" s="153"/>
      <c r="P114" s="153"/>
      <c r="Q114" s="153"/>
      <c r="R114" s="153"/>
      <c r="S114" s="147"/>
      <c r="T114" s="147"/>
      <c r="U114" s="147"/>
      <c r="V114" s="147"/>
      <c r="W114" s="147"/>
      <c r="X114" s="147"/>
      <c r="Y114" s="148"/>
      <c r="Z114" s="138"/>
      <c r="AA114" s="694"/>
      <c r="AB114" s="138"/>
      <c r="AC114" s="138"/>
      <c r="AD114" s="138"/>
    </row>
    <row r="115" spans="1:30" ht="9" customHeight="1">
      <c r="A115" s="696"/>
      <c r="B115" s="696"/>
      <c r="C115" s="147"/>
      <c r="D115" s="147"/>
      <c r="E115" s="147"/>
      <c r="F115" s="147"/>
      <c r="G115" s="147"/>
      <c r="H115" s="154"/>
      <c r="I115" s="154"/>
      <c r="J115" s="154"/>
      <c r="K115" s="154"/>
      <c r="L115" s="154"/>
      <c r="M115" s="147"/>
      <c r="N115" s="156"/>
      <c r="O115" s="153"/>
      <c r="P115" s="153"/>
      <c r="Q115" s="153"/>
      <c r="R115" s="153"/>
      <c r="S115" s="147"/>
      <c r="T115" s="147"/>
      <c r="U115" s="147"/>
      <c r="V115" s="147"/>
      <c r="W115" s="147"/>
      <c r="X115" s="147"/>
      <c r="Y115" s="148"/>
      <c r="Z115" s="138"/>
      <c r="AA115" s="694"/>
      <c r="AB115" s="138"/>
      <c r="AC115" s="138"/>
      <c r="AD115" s="138"/>
    </row>
    <row r="116" spans="1:30" ht="9" customHeight="1">
      <c r="A116" s="696"/>
      <c r="B116" s="696"/>
      <c r="C116" s="147"/>
      <c r="D116" s="147"/>
      <c r="E116" s="147"/>
      <c r="F116" s="147"/>
      <c r="G116" s="147"/>
      <c r="H116" s="154"/>
      <c r="I116" s="154"/>
      <c r="J116" s="154"/>
      <c r="K116" s="154"/>
      <c r="L116" s="154"/>
      <c r="M116" s="147"/>
      <c r="N116" s="156"/>
      <c r="O116" s="153"/>
      <c r="P116" s="153"/>
      <c r="Q116" s="153"/>
      <c r="R116" s="153"/>
      <c r="S116" s="147"/>
      <c r="T116" s="147"/>
      <c r="U116" s="147"/>
      <c r="V116" s="147"/>
      <c r="W116" s="147"/>
      <c r="X116" s="147"/>
      <c r="Y116" s="148"/>
      <c r="Z116" s="138"/>
      <c r="AA116" s="694"/>
      <c r="AB116" s="138"/>
      <c r="AC116" s="138"/>
      <c r="AD116" s="138"/>
    </row>
    <row r="117" spans="1:30" ht="9" customHeight="1">
      <c r="A117" s="696"/>
      <c r="B117" s="696"/>
      <c r="C117" s="147"/>
      <c r="D117" s="147"/>
      <c r="E117" s="147"/>
      <c r="F117" s="147"/>
      <c r="G117" s="147"/>
      <c r="H117" s="154"/>
      <c r="I117" s="154"/>
      <c r="J117" s="154"/>
      <c r="K117" s="154"/>
      <c r="L117" s="154"/>
      <c r="M117" s="147"/>
      <c r="N117" s="156"/>
      <c r="O117" s="153"/>
      <c r="P117" s="153"/>
      <c r="Q117" s="153"/>
      <c r="R117" s="153"/>
      <c r="S117" s="147"/>
      <c r="T117" s="147"/>
      <c r="U117" s="147"/>
      <c r="V117" s="147"/>
      <c r="W117" s="147"/>
      <c r="X117" s="147"/>
      <c r="Y117" s="148"/>
      <c r="Z117" s="138"/>
      <c r="AA117" s="694"/>
      <c r="AB117" s="138"/>
      <c r="AC117" s="138"/>
      <c r="AD117" s="138"/>
    </row>
    <row r="118" spans="1:30" ht="9" customHeight="1">
      <c r="A118" s="696"/>
      <c r="B118" s="696"/>
      <c r="C118" s="147"/>
      <c r="D118" s="147"/>
      <c r="E118" s="147"/>
      <c r="F118" s="147"/>
      <c r="G118" s="147"/>
      <c r="H118" s="154"/>
      <c r="I118" s="154"/>
      <c r="J118" s="154"/>
      <c r="K118" s="154"/>
      <c r="L118" s="154"/>
      <c r="M118" s="147"/>
      <c r="N118" s="156"/>
      <c r="O118" s="153"/>
      <c r="P118" s="153"/>
      <c r="Q118" s="153"/>
      <c r="R118" s="153"/>
      <c r="S118" s="147"/>
      <c r="T118" s="147"/>
      <c r="U118" s="147"/>
      <c r="V118" s="147"/>
      <c r="W118" s="147"/>
      <c r="X118" s="147"/>
      <c r="Y118" s="148"/>
      <c r="Z118" s="138"/>
      <c r="AA118" s="694"/>
      <c r="AB118" s="138"/>
      <c r="AC118" s="138"/>
      <c r="AD118" s="138"/>
    </row>
    <row r="119" spans="1:30" ht="9" customHeight="1">
      <c r="A119" s="696"/>
      <c r="B119" s="696"/>
      <c r="C119" s="147"/>
      <c r="D119" s="147"/>
      <c r="E119" s="147"/>
      <c r="F119" s="147"/>
      <c r="G119" s="147"/>
      <c r="H119" s="154"/>
      <c r="I119" s="154"/>
      <c r="J119" s="154"/>
      <c r="K119" s="154"/>
      <c r="L119" s="154"/>
      <c r="M119" s="147"/>
      <c r="N119" s="156"/>
      <c r="O119" s="153"/>
      <c r="P119" s="153"/>
      <c r="Q119" s="153"/>
      <c r="R119" s="153"/>
      <c r="S119" s="147"/>
      <c r="T119" s="147"/>
      <c r="U119" s="147"/>
      <c r="V119" s="147"/>
      <c r="W119" s="147"/>
      <c r="X119" s="147"/>
      <c r="Y119" s="148"/>
      <c r="Z119" s="138"/>
      <c r="AA119" s="694"/>
      <c r="AB119" s="138"/>
      <c r="AC119" s="138"/>
      <c r="AD119" s="138"/>
    </row>
    <row r="120" spans="1:30" ht="9" customHeight="1">
      <c r="A120" s="696"/>
      <c r="B120" s="696"/>
      <c r="C120" s="147"/>
      <c r="D120" s="147"/>
      <c r="E120" s="147"/>
      <c r="F120" s="147"/>
      <c r="G120" s="147"/>
      <c r="H120" s="154"/>
      <c r="I120" s="154"/>
      <c r="J120" s="154"/>
      <c r="K120" s="154"/>
      <c r="L120" s="154"/>
      <c r="M120" s="147"/>
      <c r="N120" s="156"/>
      <c r="O120" s="153"/>
      <c r="P120" s="153"/>
      <c r="Q120" s="153"/>
      <c r="R120" s="153"/>
      <c r="S120" s="147"/>
      <c r="T120" s="147"/>
      <c r="U120" s="147"/>
      <c r="V120" s="147"/>
      <c r="W120" s="147"/>
      <c r="X120" s="147"/>
      <c r="Y120" s="148"/>
      <c r="Z120" s="138"/>
      <c r="AA120" s="694"/>
      <c r="AB120" s="138"/>
      <c r="AC120" s="138"/>
      <c r="AD120" s="138"/>
    </row>
    <row r="121" spans="1:30" ht="9" customHeight="1">
      <c r="A121" s="696"/>
      <c r="B121" s="696"/>
      <c r="C121" s="147"/>
      <c r="D121" s="147"/>
      <c r="E121" s="147"/>
      <c r="F121" s="147"/>
      <c r="G121" s="147"/>
      <c r="H121" s="154"/>
      <c r="I121" s="154"/>
      <c r="J121" s="154"/>
      <c r="K121" s="154"/>
      <c r="L121" s="154"/>
      <c r="M121" s="147"/>
      <c r="N121" s="156"/>
      <c r="O121" s="153"/>
      <c r="P121" s="153"/>
      <c r="Q121" s="153"/>
      <c r="R121" s="153"/>
      <c r="S121" s="147"/>
      <c r="T121" s="147"/>
      <c r="U121" s="147"/>
      <c r="V121" s="147"/>
      <c r="W121" s="147"/>
      <c r="X121" s="147"/>
      <c r="Y121" s="148"/>
      <c r="Z121" s="138"/>
      <c r="AA121" s="694"/>
      <c r="AB121" s="138"/>
      <c r="AC121" s="138"/>
      <c r="AD121" s="138"/>
    </row>
    <row r="122" spans="1:30" ht="9" customHeight="1">
      <c r="A122" s="696"/>
      <c r="B122" s="696"/>
      <c r="C122" s="147"/>
      <c r="D122" s="147"/>
      <c r="E122" s="147"/>
      <c r="F122" s="147"/>
      <c r="G122" s="147"/>
      <c r="H122" s="154"/>
      <c r="I122" s="154"/>
      <c r="J122" s="154"/>
      <c r="K122" s="154"/>
      <c r="L122" s="154"/>
      <c r="M122" s="147"/>
      <c r="N122" s="156"/>
      <c r="O122" s="153"/>
      <c r="P122" s="153"/>
      <c r="Q122" s="153"/>
      <c r="R122" s="153"/>
      <c r="S122" s="147"/>
      <c r="T122" s="147"/>
      <c r="U122" s="147"/>
      <c r="V122" s="147"/>
      <c r="W122" s="147"/>
      <c r="X122" s="147"/>
      <c r="Y122" s="148"/>
      <c r="Z122" s="138"/>
      <c r="AA122" s="694"/>
      <c r="AB122" s="138"/>
      <c r="AC122" s="138"/>
      <c r="AD122" s="138"/>
    </row>
    <row r="123" spans="1:30" ht="9" customHeight="1">
      <c r="A123" s="696"/>
      <c r="B123" s="696"/>
      <c r="C123" s="147"/>
      <c r="D123" s="147"/>
      <c r="E123" s="147"/>
      <c r="F123" s="147"/>
      <c r="G123" s="147"/>
      <c r="H123" s="154"/>
      <c r="I123" s="154"/>
      <c r="J123" s="154"/>
      <c r="K123" s="154"/>
      <c r="L123" s="154"/>
      <c r="M123" s="147"/>
      <c r="N123" s="156"/>
      <c r="O123" s="153"/>
      <c r="P123" s="153"/>
      <c r="Q123" s="153"/>
      <c r="R123" s="153"/>
      <c r="S123" s="147"/>
      <c r="T123" s="147"/>
      <c r="U123" s="147"/>
      <c r="V123" s="147"/>
      <c r="W123" s="147"/>
      <c r="X123" s="147"/>
      <c r="Y123" s="148"/>
      <c r="Z123" s="138"/>
      <c r="AA123" s="694"/>
      <c r="AB123" s="138"/>
      <c r="AC123" s="138"/>
      <c r="AD123" s="138"/>
    </row>
    <row r="124" spans="1:30" ht="9" customHeight="1">
      <c r="A124" s="696"/>
      <c r="B124" s="696"/>
      <c r="C124" s="147"/>
      <c r="D124" s="147"/>
      <c r="E124" s="147"/>
      <c r="F124" s="147"/>
      <c r="G124" s="147"/>
      <c r="H124" s="154"/>
      <c r="I124" s="154"/>
      <c r="J124" s="154"/>
      <c r="K124" s="154"/>
      <c r="L124" s="154"/>
      <c r="M124" s="147"/>
      <c r="N124" s="156"/>
      <c r="O124" s="153"/>
      <c r="P124" s="153"/>
      <c r="Q124" s="153"/>
      <c r="R124" s="153"/>
      <c r="S124" s="147"/>
      <c r="T124" s="147"/>
      <c r="U124" s="147"/>
      <c r="V124" s="147"/>
      <c r="W124" s="147"/>
      <c r="X124" s="147"/>
      <c r="Y124" s="148"/>
      <c r="Z124" s="138"/>
      <c r="AA124" s="694"/>
      <c r="AB124" s="138"/>
      <c r="AC124" s="138"/>
      <c r="AD124" s="138"/>
    </row>
    <row r="125" spans="1:30" ht="9" customHeight="1">
      <c r="A125" s="696"/>
      <c r="B125" s="696"/>
      <c r="C125" s="147"/>
      <c r="D125" s="147"/>
      <c r="E125" s="147"/>
      <c r="F125" s="147"/>
      <c r="G125" s="147"/>
      <c r="H125" s="154"/>
      <c r="I125" s="154"/>
      <c r="J125" s="154"/>
      <c r="K125" s="154"/>
      <c r="L125" s="154"/>
      <c r="M125" s="147"/>
      <c r="N125" s="156"/>
      <c r="O125" s="153"/>
      <c r="P125" s="153"/>
      <c r="Q125" s="153"/>
      <c r="R125" s="153"/>
      <c r="S125" s="147"/>
      <c r="T125" s="147"/>
      <c r="U125" s="147"/>
      <c r="V125" s="147"/>
      <c r="W125" s="147"/>
      <c r="X125" s="147"/>
      <c r="Y125" s="148"/>
      <c r="Z125" s="138"/>
      <c r="AA125" s="694"/>
      <c r="AB125" s="138"/>
      <c r="AC125" s="138"/>
      <c r="AD125" s="138"/>
    </row>
    <row r="126" spans="1:30" ht="9" customHeight="1">
      <c r="A126" s="696"/>
      <c r="B126" s="696"/>
      <c r="C126" s="147"/>
      <c r="D126" s="147"/>
      <c r="E126" s="147"/>
      <c r="F126" s="147"/>
      <c r="G126" s="147"/>
      <c r="H126" s="154"/>
      <c r="I126" s="154"/>
      <c r="J126" s="154"/>
      <c r="K126" s="154"/>
      <c r="L126" s="154"/>
      <c r="M126" s="147"/>
      <c r="N126" s="156"/>
      <c r="O126" s="153"/>
      <c r="P126" s="153"/>
      <c r="Q126" s="153"/>
      <c r="R126" s="153"/>
      <c r="S126" s="147"/>
      <c r="T126" s="147"/>
      <c r="U126" s="147"/>
      <c r="V126" s="147"/>
      <c r="W126" s="147"/>
      <c r="X126" s="147"/>
      <c r="Y126" s="148"/>
      <c r="Z126" s="138"/>
      <c r="AA126" s="694"/>
      <c r="AB126" s="138"/>
      <c r="AC126" s="138"/>
      <c r="AD126" s="138"/>
    </row>
    <row r="127" spans="1:30" ht="9" customHeight="1">
      <c r="A127" s="696"/>
      <c r="B127" s="696"/>
      <c r="C127" s="147"/>
      <c r="D127" s="147"/>
      <c r="E127" s="147"/>
      <c r="F127" s="147"/>
      <c r="G127" s="147"/>
      <c r="H127" s="154"/>
      <c r="I127" s="154"/>
      <c r="J127" s="154"/>
      <c r="K127" s="154"/>
      <c r="L127" s="154"/>
      <c r="M127" s="147"/>
      <c r="N127" s="156"/>
      <c r="O127" s="153"/>
      <c r="P127" s="153"/>
      <c r="Q127" s="153"/>
      <c r="R127" s="153"/>
      <c r="S127" s="147"/>
      <c r="T127" s="147"/>
      <c r="U127" s="147"/>
      <c r="V127" s="147"/>
      <c r="W127" s="147"/>
      <c r="X127" s="147"/>
      <c r="Y127" s="148"/>
      <c r="Z127" s="138"/>
      <c r="AA127" s="694"/>
      <c r="AB127" s="138"/>
      <c r="AC127" s="138"/>
      <c r="AD127" s="138"/>
    </row>
    <row r="128" spans="1:30" ht="9" customHeight="1">
      <c r="A128" s="696"/>
      <c r="B128" s="696"/>
      <c r="C128" s="147"/>
      <c r="D128" s="147"/>
      <c r="E128" s="147"/>
      <c r="F128" s="147"/>
      <c r="G128" s="147"/>
      <c r="H128" s="154"/>
      <c r="I128" s="154"/>
      <c r="J128" s="154"/>
      <c r="K128" s="154"/>
      <c r="L128" s="154"/>
      <c r="M128" s="147"/>
      <c r="N128" s="156"/>
      <c r="O128" s="153"/>
      <c r="P128" s="153"/>
      <c r="Q128" s="153"/>
      <c r="R128" s="153"/>
      <c r="S128" s="147"/>
      <c r="T128" s="147"/>
      <c r="U128" s="147"/>
      <c r="V128" s="147"/>
      <c r="W128" s="147"/>
      <c r="X128" s="147"/>
      <c r="Y128" s="148"/>
      <c r="Z128" s="138"/>
      <c r="AA128" s="694"/>
      <c r="AB128" s="138"/>
      <c r="AC128" s="138"/>
      <c r="AD128" s="138"/>
    </row>
    <row r="129" spans="1:30" ht="9" customHeight="1">
      <c r="A129" s="696"/>
      <c r="B129" s="696"/>
      <c r="C129" s="147"/>
      <c r="D129" s="147"/>
      <c r="E129" s="147"/>
      <c r="F129" s="147"/>
      <c r="G129" s="147"/>
      <c r="H129" s="154"/>
      <c r="I129" s="154"/>
      <c r="J129" s="154"/>
      <c r="K129" s="154"/>
      <c r="L129" s="154"/>
      <c r="M129" s="147"/>
      <c r="N129" s="156"/>
      <c r="O129" s="153"/>
      <c r="P129" s="153"/>
      <c r="Q129" s="153"/>
      <c r="R129" s="153"/>
      <c r="S129" s="147"/>
      <c r="T129" s="147"/>
      <c r="U129" s="147"/>
      <c r="V129" s="147"/>
      <c r="W129" s="147"/>
      <c r="X129" s="147"/>
      <c r="Y129" s="148"/>
      <c r="Z129" s="138"/>
      <c r="AA129" s="694"/>
      <c r="AB129" s="138"/>
      <c r="AC129" s="138"/>
      <c r="AD129" s="138"/>
    </row>
    <row r="130" spans="1:30" ht="9" customHeight="1">
      <c r="A130" s="696"/>
      <c r="B130" s="696"/>
      <c r="C130" s="147"/>
      <c r="D130" s="147"/>
      <c r="E130" s="147"/>
      <c r="F130" s="147"/>
      <c r="G130" s="147"/>
      <c r="H130" s="154"/>
      <c r="I130" s="154"/>
      <c r="J130" s="154"/>
      <c r="K130" s="154"/>
      <c r="L130" s="154"/>
      <c r="M130" s="147"/>
      <c r="N130" s="156"/>
      <c r="O130" s="157"/>
      <c r="P130" s="157"/>
      <c r="Q130" s="157"/>
      <c r="R130" s="157"/>
      <c r="S130" s="147"/>
      <c r="T130" s="147"/>
      <c r="U130" s="147"/>
      <c r="V130" s="147"/>
      <c r="W130" s="147"/>
      <c r="X130" s="147"/>
      <c r="Y130" s="148"/>
      <c r="Z130" s="138"/>
      <c r="AA130" s="694"/>
      <c r="AB130" s="138"/>
      <c r="AC130" s="138"/>
      <c r="AD130" s="138"/>
    </row>
    <row r="131" spans="1:30" ht="9" customHeight="1">
      <c r="A131" s="696"/>
      <c r="B131" s="696"/>
      <c r="C131" s="147"/>
      <c r="D131" s="147"/>
      <c r="E131" s="147"/>
      <c r="F131" s="147"/>
      <c r="G131" s="147"/>
      <c r="H131" s="154"/>
      <c r="I131" s="154"/>
      <c r="J131" s="154"/>
      <c r="K131" s="154"/>
      <c r="L131" s="154"/>
      <c r="M131" s="147"/>
      <c r="N131" s="156"/>
      <c r="O131" s="158"/>
      <c r="P131" s="158"/>
      <c r="Q131" s="158"/>
      <c r="R131" s="158"/>
      <c r="S131" s="147"/>
      <c r="T131" s="147"/>
      <c r="U131" s="147"/>
      <c r="V131" s="147"/>
      <c r="W131" s="147"/>
      <c r="X131" s="147"/>
      <c r="Y131" s="148"/>
      <c r="Z131" s="138"/>
      <c r="AA131" s="694"/>
      <c r="AB131" s="138"/>
      <c r="AC131" s="138"/>
      <c r="AD131" s="138"/>
    </row>
    <row r="132" spans="1:30" ht="9" customHeight="1">
      <c r="A132" s="696"/>
      <c r="B132" s="696"/>
      <c r="C132" s="147"/>
      <c r="D132" s="147"/>
      <c r="E132" s="147"/>
      <c r="F132" s="147"/>
      <c r="G132" s="147"/>
      <c r="H132" s="154"/>
      <c r="I132" s="154"/>
      <c r="J132" s="154"/>
      <c r="K132" s="154"/>
      <c r="L132" s="154"/>
      <c r="M132" s="147"/>
      <c r="N132" s="156"/>
      <c r="O132" s="157"/>
      <c r="P132" s="157"/>
      <c r="Q132" s="157"/>
      <c r="R132" s="157"/>
      <c r="S132" s="147"/>
      <c r="T132" s="147"/>
      <c r="U132" s="147"/>
      <c r="V132" s="147"/>
      <c r="W132" s="147"/>
      <c r="X132" s="147"/>
      <c r="Y132" s="148"/>
      <c r="Z132" s="138"/>
      <c r="AA132" s="694"/>
      <c r="AB132" s="138"/>
      <c r="AC132" s="138"/>
      <c r="AD132" s="138"/>
    </row>
    <row r="133" spans="1:30" ht="9" customHeight="1">
      <c r="A133" s="696"/>
      <c r="B133" s="696"/>
      <c r="C133" s="147"/>
      <c r="D133" s="147"/>
      <c r="E133" s="147"/>
      <c r="F133" s="147"/>
      <c r="G133" s="147"/>
      <c r="H133" s="154"/>
      <c r="I133" s="154"/>
      <c r="J133" s="154"/>
      <c r="K133" s="154"/>
      <c r="L133" s="154"/>
      <c r="M133" s="147"/>
      <c r="N133" s="156"/>
      <c r="O133" s="158"/>
      <c r="P133" s="158"/>
      <c r="Q133" s="158"/>
      <c r="R133" s="158"/>
      <c r="S133" s="147"/>
      <c r="T133" s="147"/>
      <c r="U133" s="147"/>
      <c r="V133" s="147"/>
      <c r="W133" s="147"/>
      <c r="X133" s="147"/>
      <c r="Y133" s="148"/>
      <c r="Z133" s="138"/>
      <c r="AA133" s="694"/>
      <c r="AB133" s="138"/>
      <c r="AC133" s="138"/>
      <c r="AD133" s="138"/>
    </row>
    <row r="134" spans="1:30" ht="9" customHeight="1">
      <c r="A134" s="696"/>
      <c r="B134" s="696"/>
      <c r="C134" s="147"/>
      <c r="D134" s="147"/>
      <c r="E134" s="147"/>
      <c r="F134" s="147"/>
      <c r="G134" s="147"/>
      <c r="H134" s="154"/>
      <c r="I134" s="154"/>
      <c r="J134" s="154"/>
      <c r="K134" s="154"/>
      <c r="L134" s="154"/>
      <c r="M134" s="147"/>
      <c r="N134" s="156"/>
      <c r="O134" s="153"/>
      <c r="P134" s="153"/>
      <c r="Q134" s="153"/>
      <c r="R134" s="153"/>
      <c r="S134" s="147"/>
      <c r="T134" s="147"/>
      <c r="U134" s="147"/>
      <c r="V134" s="147"/>
      <c r="W134" s="147"/>
      <c r="X134" s="147"/>
      <c r="Y134" s="148"/>
      <c r="Z134" s="138"/>
      <c r="AA134" s="694"/>
      <c r="AB134" s="138"/>
      <c r="AC134" s="138"/>
      <c r="AD134" s="138"/>
    </row>
    <row r="135" spans="1:30" ht="9" customHeight="1">
      <c r="A135" s="696"/>
      <c r="B135" s="696"/>
      <c r="C135" s="147"/>
      <c r="D135" s="147"/>
      <c r="E135" s="147"/>
      <c r="F135" s="147"/>
      <c r="G135" s="147"/>
      <c r="H135" s="154"/>
      <c r="I135" s="154"/>
      <c r="J135" s="154"/>
      <c r="K135" s="154"/>
      <c r="L135" s="154"/>
      <c r="M135" s="147"/>
      <c r="N135" s="156"/>
      <c r="O135" s="153"/>
      <c r="P135" s="153"/>
      <c r="Q135" s="153"/>
      <c r="R135" s="153"/>
      <c r="S135" s="147"/>
      <c r="T135" s="147"/>
      <c r="U135" s="147"/>
      <c r="V135" s="147"/>
      <c r="W135" s="147"/>
      <c r="X135" s="147"/>
      <c r="Y135" s="148"/>
      <c r="Z135" s="138"/>
      <c r="AA135" s="694"/>
      <c r="AB135" s="138"/>
      <c r="AC135" s="138"/>
      <c r="AD135" s="138"/>
    </row>
    <row r="136" spans="1:30" ht="9" customHeight="1">
      <c r="A136" s="696"/>
      <c r="B136" s="696"/>
      <c r="C136" s="147"/>
      <c r="D136" s="147"/>
      <c r="E136" s="147"/>
      <c r="F136" s="147"/>
      <c r="G136" s="147"/>
      <c r="H136" s="154"/>
      <c r="I136" s="154"/>
      <c r="J136" s="154"/>
      <c r="K136" s="154"/>
      <c r="L136" s="154"/>
      <c r="M136" s="147"/>
      <c r="N136" s="156"/>
      <c r="O136" s="153"/>
      <c r="P136" s="153"/>
      <c r="Q136" s="153"/>
      <c r="R136" s="153"/>
      <c r="S136" s="147"/>
      <c r="T136" s="147"/>
      <c r="U136" s="147"/>
      <c r="V136" s="147"/>
      <c r="W136" s="147"/>
      <c r="X136" s="147"/>
      <c r="Y136" s="148"/>
      <c r="Z136" s="138"/>
      <c r="AA136" s="694"/>
      <c r="AB136" s="138"/>
      <c r="AC136" s="138"/>
      <c r="AD136" s="138"/>
    </row>
    <row r="137" spans="1:30" ht="9" customHeight="1">
      <c r="A137" s="696"/>
      <c r="B137" s="696"/>
      <c r="C137" s="147"/>
      <c r="D137" s="147"/>
      <c r="E137" s="147"/>
      <c r="F137" s="147"/>
      <c r="G137" s="147"/>
      <c r="H137" s="154"/>
      <c r="I137" s="154"/>
      <c r="J137" s="154"/>
      <c r="K137" s="154"/>
      <c r="L137" s="154"/>
      <c r="M137" s="147"/>
      <c r="N137" s="156"/>
      <c r="O137" s="708"/>
      <c r="P137" s="708"/>
      <c r="Q137" s="708"/>
      <c r="R137" s="708"/>
      <c r="S137" s="147"/>
      <c r="T137" s="147"/>
      <c r="U137" s="147"/>
      <c r="V137" s="147"/>
      <c r="W137" s="147"/>
      <c r="X137" s="147"/>
      <c r="Y137" s="148"/>
      <c r="Z137" s="138"/>
      <c r="AA137" s="694"/>
      <c r="AB137" s="138"/>
      <c r="AC137" s="138"/>
      <c r="AD137" s="138"/>
    </row>
    <row r="138" spans="1:30" ht="9" customHeight="1">
      <c r="A138" s="696"/>
      <c r="B138" s="696"/>
      <c r="C138" s="147"/>
      <c r="D138" s="147"/>
      <c r="E138" s="147"/>
      <c r="F138" s="147"/>
      <c r="G138" s="147"/>
      <c r="H138" s="154"/>
      <c r="I138" s="154"/>
      <c r="J138" s="154"/>
      <c r="K138" s="154"/>
      <c r="L138" s="154"/>
      <c r="M138" s="147"/>
      <c r="N138" s="156"/>
      <c r="O138" s="705"/>
      <c r="P138" s="705"/>
      <c r="Q138" s="705"/>
      <c r="R138" s="705"/>
      <c r="S138" s="147"/>
      <c r="T138" s="147"/>
      <c r="U138" s="147"/>
      <c r="V138" s="147"/>
      <c r="W138" s="147"/>
      <c r="X138" s="147"/>
      <c r="Y138" s="148"/>
      <c r="Z138" s="138"/>
      <c r="AA138" s="694"/>
      <c r="AB138" s="138"/>
      <c r="AC138" s="138"/>
      <c r="AD138" s="138"/>
    </row>
    <row r="139" spans="1:30" ht="9" customHeight="1">
      <c r="A139" s="696"/>
      <c r="B139" s="696"/>
      <c r="C139" s="147"/>
      <c r="D139" s="147"/>
      <c r="E139" s="147"/>
      <c r="F139" s="147"/>
      <c r="G139" s="147"/>
      <c r="H139" s="154"/>
      <c r="I139" s="154"/>
      <c r="J139" s="154"/>
      <c r="K139" s="154"/>
      <c r="L139" s="154"/>
      <c r="M139" s="147"/>
      <c r="N139" s="156"/>
      <c r="O139" s="147"/>
      <c r="P139" s="147"/>
      <c r="Q139" s="147"/>
      <c r="R139" s="147"/>
      <c r="S139" s="147"/>
      <c r="T139" s="147"/>
      <c r="U139" s="147"/>
      <c r="V139" s="147"/>
      <c r="W139" s="147"/>
      <c r="X139" s="147"/>
      <c r="Y139" s="148"/>
      <c r="Z139" s="138"/>
      <c r="AA139" s="694"/>
      <c r="AB139" s="138"/>
      <c r="AC139" s="138"/>
      <c r="AD139" s="138"/>
    </row>
    <row r="140" spans="1:30" ht="9" customHeight="1">
      <c r="A140" s="696"/>
      <c r="B140" s="696"/>
      <c r="C140" s="147"/>
      <c r="D140" s="147"/>
      <c r="E140" s="147"/>
      <c r="F140" s="147"/>
      <c r="G140" s="147"/>
      <c r="H140" s="154"/>
      <c r="I140" s="154"/>
      <c r="J140" s="154"/>
      <c r="K140" s="154"/>
      <c r="L140" s="154"/>
      <c r="M140" s="147"/>
      <c r="N140" s="156"/>
      <c r="O140" s="147"/>
      <c r="P140" s="147"/>
      <c r="Q140" s="147"/>
      <c r="R140" s="147"/>
      <c r="S140" s="147"/>
      <c r="T140" s="147"/>
      <c r="U140" s="147"/>
      <c r="V140" s="147"/>
      <c r="W140" s="147"/>
      <c r="X140" s="147"/>
      <c r="Y140" s="148"/>
      <c r="Z140" s="138"/>
      <c r="AA140" s="694"/>
      <c r="AB140" s="138"/>
      <c r="AC140" s="138"/>
      <c r="AD140" s="138"/>
    </row>
    <row r="141" spans="1:30" ht="9" customHeight="1">
      <c r="A141" s="696"/>
      <c r="B141" s="696"/>
      <c r="C141" s="147"/>
      <c r="D141" s="147"/>
      <c r="E141" s="147"/>
      <c r="F141" s="147"/>
      <c r="G141" s="147"/>
      <c r="H141" s="154"/>
      <c r="I141" s="154"/>
      <c r="J141" s="154"/>
      <c r="K141" s="154"/>
      <c r="L141" s="154"/>
      <c r="M141" s="147"/>
      <c r="N141" s="156"/>
      <c r="O141" s="147"/>
      <c r="P141" s="147"/>
      <c r="Q141" s="147"/>
      <c r="R141" s="147"/>
      <c r="S141" s="147"/>
      <c r="T141" s="147"/>
      <c r="U141" s="147"/>
      <c r="V141" s="147"/>
      <c r="W141" s="147"/>
      <c r="X141" s="147"/>
      <c r="Y141" s="148"/>
      <c r="Z141" s="138"/>
      <c r="AA141" s="694"/>
      <c r="AB141" s="138"/>
      <c r="AC141" s="138"/>
      <c r="AD141" s="138"/>
    </row>
    <row r="142" spans="1:30" ht="9" customHeight="1">
      <c r="A142" s="696"/>
      <c r="B142" s="696"/>
      <c r="C142" s="147"/>
      <c r="D142" s="147"/>
      <c r="E142" s="147"/>
      <c r="F142" s="147"/>
      <c r="G142" s="147"/>
      <c r="H142" s="154"/>
      <c r="I142" s="154"/>
      <c r="J142" s="154"/>
      <c r="K142" s="154"/>
      <c r="L142" s="154"/>
      <c r="M142" s="147"/>
      <c r="N142" s="156"/>
      <c r="O142" s="147"/>
      <c r="P142" s="147"/>
      <c r="Q142" s="147"/>
      <c r="R142" s="147"/>
      <c r="S142" s="147"/>
      <c r="T142" s="147"/>
      <c r="U142" s="147"/>
      <c r="V142" s="147"/>
      <c r="W142" s="147"/>
      <c r="X142" s="147"/>
      <c r="Y142" s="148"/>
      <c r="Z142" s="138"/>
      <c r="AA142" s="694"/>
      <c r="AB142" s="138"/>
      <c r="AC142" s="138"/>
      <c r="AD142" s="138"/>
    </row>
    <row r="143" spans="1:30" ht="9" customHeight="1">
      <c r="A143" s="696"/>
      <c r="B143" s="696"/>
      <c r="C143" s="147"/>
      <c r="D143" s="147"/>
      <c r="E143" s="147"/>
      <c r="F143" s="147"/>
      <c r="G143" s="147"/>
      <c r="H143" s="154"/>
      <c r="I143" s="154"/>
      <c r="J143" s="154"/>
      <c r="K143" s="154"/>
      <c r="L143" s="154"/>
      <c r="M143" s="147"/>
      <c r="N143" s="156"/>
      <c r="O143" s="147"/>
      <c r="P143" s="147"/>
      <c r="Q143" s="147"/>
      <c r="R143" s="147"/>
      <c r="S143" s="147"/>
      <c r="T143" s="147"/>
      <c r="U143" s="147"/>
      <c r="V143" s="147"/>
      <c r="W143" s="147"/>
      <c r="X143" s="147"/>
      <c r="Y143" s="148"/>
      <c r="Z143" s="138"/>
      <c r="AA143" s="694"/>
      <c r="AB143" s="138"/>
      <c r="AC143" s="138"/>
      <c r="AD143" s="138"/>
    </row>
    <row r="144" spans="1:30" ht="9" customHeight="1">
      <c r="A144" s="696"/>
      <c r="B144" s="696"/>
      <c r="C144" s="147"/>
      <c r="D144" s="147"/>
      <c r="E144" s="147"/>
      <c r="F144" s="147"/>
      <c r="G144" s="147"/>
      <c r="H144" s="154"/>
      <c r="I144" s="154"/>
      <c r="J144" s="154"/>
      <c r="K144" s="154"/>
      <c r="L144" s="154"/>
      <c r="M144" s="147"/>
      <c r="N144" s="156"/>
      <c r="O144" s="147"/>
      <c r="P144" s="147"/>
      <c r="Q144" s="147"/>
      <c r="R144" s="147"/>
      <c r="S144" s="147"/>
      <c r="T144" s="147"/>
      <c r="U144" s="147"/>
      <c r="V144" s="147"/>
      <c r="W144" s="147"/>
      <c r="X144" s="147"/>
      <c r="Y144" s="148"/>
      <c r="Z144" s="138"/>
      <c r="AA144" s="694"/>
      <c r="AB144" s="138"/>
      <c r="AC144" s="138"/>
      <c r="AD144" s="138"/>
    </row>
    <row r="145" spans="1:30" ht="9" customHeight="1">
      <c r="A145" s="696"/>
      <c r="B145" s="696"/>
      <c r="C145" s="147"/>
      <c r="D145" s="147"/>
      <c r="E145" s="147"/>
      <c r="F145" s="147"/>
      <c r="G145" s="147"/>
      <c r="H145" s="154"/>
      <c r="I145" s="154"/>
      <c r="J145" s="154"/>
      <c r="K145" s="154"/>
      <c r="L145" s="154"/>
      <c r="M145" s="147"/>
      <c r="N145" s="156"/>
      <c r="O145" s="147"/>
      <c r="P145" s="147"/>
      <c r="Q145" s="147"/>
      <c r="R145" s="147"/>
      <c r="S145" s="147"/>
      <c r="T145" s="147"/>
      <c r="U145" s="147"/>
      <c r="V145" s="147"/>
      <c r="W145" s="147"/>
      <c r="X145" s="147"/>
      <c r="Y145" s="148"/>
      <c r="Z145" s="138"/>
      <c r="AA145" s="694"/>
      <c r="AB145" s="138"/>
      <c r="AC145" s="138"/>
      <c r="AD145" s="138"/>
    </row>
    <row r="146" spans="1:30" ht="9" customHeight="1">
      <c r="A146" s="696"/>
      <c r="B146" s="696"/>
      <c r="C146" s="147"/>
      <c r="D146" s="147"/>
      <c r="E146" s="147"/>
      <c r="F146" s="147"/>
      <c r="G146" s="147"/>
      <c r="H146" s="154"/>
      <c r="I146" s="154"/>
      <c r="J146" s="154"/>
      <c r="K146" s="154"/>
      <c r="L146" s="154"/>
      <c r="M146" s="147"/>
      <c r="N146" s="156"/>
      <c r="O146" s="147"/>
      <c r="P146" s="147"/>
      <c r="Q146" s="147"/>
      <c r="R146" s="147"/>
      <c r="S146" s="147"/>
      <c r="T146" s="147"/>
      <c r="U146" s="147"/>
      <c r="V146" s="147"/>
      <c r="W146" s="147"/>
      <c r="X146" s="147"/>
      <c r="Y146" s="148"/>
      <c r="Z146" s="138"/>
      <c r="AA146" s="694"/>
      <c r="AB146" s="138"/>
      <c r="AC146" s="138"/>
      <c r="AD146" s="138"/>
    </row>
    <row r="147" spans="1:30" ht="9" customHeight="1">
      <c r="A147" s="696"/>
      <c r="B147" s="696"/>
      <c r="C147" s="696"/>
      <c r="D147" s="696"/>
      <c r="E147" s="696"/>
      <c r="F147" s="696"/>
      <c r="G147" s="696"/>
      <c r="H147" s="696"/>
      <c r="I147" s="696"/>
      <c r="J147" s="696"/>
      <c r="K147" s="696"/>
      <c r="L147" s="696"/>
      <c r="M147" s="696"/>
      <c r="N147" s="696"/>
      <c r="O147" s="696"/>
      <c r="P147" s="696"/>
      <c r="Q147" s="696"/>
      <c r="R147" s="696"/>
      <c r="S147" s="696"/>
      <c r="T147" s="696"/>
      <c r="U147" s="696"/>
      <c r="V147" s="696"/>
      <c r="W147" s="696"/>
      <c r="X147" s="696"/>
      <c r="Y147" s="696"/>
      <c r="Z147" s="696"/>
      <c r="AA147" s="696"/>
      <c r="AB147" s="696"/>
      <c r="AC147" s="696"/>
      <c r="AD147" s="696"/>
    </row>
    <row r="148" spans="1:30" ht="90" customHeight="1">
      <c r="A148" s="696" t="s">
        <v>1810</v>
      </c>
      <c r="B148" s="696"/>
      <c r="C148" s="147" t="s">
        <v>2361</v>
      </c>
      <c r="D148" s="147" t="s">
        <v>1168</v>
      </c>
      <c r="E148" s="147" t="s">
        <v>1812</v>
      </c>
      <c r="F148" s="147" t="s">
        <v>2362</v>
      </c>
      <c r="G148" s="147"/>
      <c r="H148" s="147"/>
      <c r="I148" s="159"/>
      <c r="J148" s="159"/>
      <c r="K148" s="159"/>
      <c r="L148" s="159"/>
      <c r="M148" s="709"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00"/>
      <c r="O148" s="147"/>
      <c r="P148" s="697"/>
      <c r="Q148" s="697"/>
      <c r="R148" s="697"/>
      <c r="S148" s="147"/>
      <c r="T148" s="147" t="s">
        <v>2363</v>
      </c>
      <c r="U148" s="69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697"/>
      <c r="W148" s="697"/>
      <c r="X148" s="147" t="s">
        <v>2364</v>
      </c>
      <c r="Y148" s="148"/>
      <c r="Z148" s="138"/>
      <c r="AA148" s="694"/>
      <c r="AB148" s="138"/>
      <c r="AC148" s="138"/>
      <c r="AD148" s="138"/>
    </row>
    <row r="149" spans="1:30" ht="9" customHeight="1">
      <c r="A149" s="696"/>
      <c r="B149" s="696"/>
      <c r="C149" s="696"/>
      <c r="D149" s="696"/>
      <c r="E149" s="696"/>
      <c r="F149" s="696"/>
      <c r="G149" s="696"/>
      <c r="H149" s="696"/>
      <c r="I149" s="696"/>
      <c r="J149" s="696"/>
      <c r="K149" s="696"/>
      <c r="L149" s="696"/>
      <c r="M149" s="696"/>
      <c r="N149" s="696"/>
      <c r="O149" s="696"/>
      <c r="P149" s="696"/>
      <c r="Q149" s="696"/>
      <c r="R149" s="696"/>
      <c r="S149" s="696"/>
      <c r="T149" s="696"/>
      <c r="U149" s="696"/>
      <c r="V149" s="696"/>
      <c r="W149" s="696"/>
      <c r="X149" s="696"/>
      <c r="Y149" s="696"/>
      <c r="Z149" s="696"/>
      <c r="AA149" s="696"/>
      <c r="AB149" s="696"/>
      <c r="AC149" s="696"/>
      <c r="AD149" s="696"/>
    </row>
    <row r="150" spans="1:30" ht="9" customHeight="1">
      <c r="A150" s="696" t="s">
        <v>1814</v>
      </c>
      <c r="B150" s="696"/>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8"/>
      <c r="Z150" s="138"/>
      <c r="AA150" s="694"/>
      <c r="AB150" s="138"/>
      <c r="AC150" s="138"/>
      <c r="AD150" s="138"/>
    </row>
    <row r="151" spans="1:30" ht="9" customHeight="1">
      <c r="A151" s="696"/>
      <c r="B151" s="696"/>
      <c r="C151" s="696"/>
      <c r="D151" s="696"/>
      <c r="E151" s="696"/>
      <c r="F151" s="696"/>
      <c r="G151" s="696"/>
      <c r="H151" s="696"/>
      <c r="I151" s="696"/>
      <c r="J151" s="696"/>
      <c r="K151" s="696"/>
      <c r="L151" s="696"/>
      <c r="M151" s="696"/>
      <c r="N151" s="696"/>
      <c r="O151" s="696"/>
      <c r="P151" s="696"/>
      <c r="Q151" s="696"/>
      <c r="R151" s="696"/>
      <c r="S151" s="696"/>
      <c r="T151" s="696"/>
      <c r="U151" s="696"/>
      <c r="V151" s="696"/>
      <c r="W151" s="696"/>
      <c r="X151" s="696"/>
      <c r="Y151" s="696"/>
      <c r="Z151" s="696"/>
      <c r="AA151" s="696"/>
      <c r="AB151" s="696"/>
      <c r="AC151" s="696"/>
      <c r="AD151" s="696"/>
    </row>
    <row r="152" spans="1:30" ht="9" customHeight="1">
      <c r="A152" s="696" t="s">
        <v>1816</v>
      </c>
      <c r="B152" s="696"/>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8"/>
      <c r="Z152" s="138"/>
      <c r="AA152" s="694"/>
      <c r="AB152" s="138"/>
      <c r="AC152" s="138"/>
      <c r="AD152" s="138"/>
    </row>
    <row r="153" spans="1:30" ht="9" customHeight="1">
      <c r="A153" s="696"/>
      <c r="B153" s="696"/>
      <c r="C153" s="696"/>
      <c r="D153" s="696"/>
      <c r="E153" s="696"/>
      <c r="F153" s="696"/>
      <c r="G153" s="696"/>
      <c r="H153" s="696"/>
      <c r="I153" s="696"/>
      <c r="J153" s="696"/>
      <c r="K153" s="696"/>
      <c r="L153" s="696"/>
      <c r="M153" s="696"/>
      <c r="N153" s="696"/>
      <c r="O153" s="696"/>
      <c r="P153" s="696"/>
      <c r="Q153" s="696"/>
      <c r="R153" s="696"/>
      <c r="S153" s="696"/>
      <c r="T153" s="696"/>
      <c r="U153" s="696"/>
      <c r="V153" s="696"/>
      <c r="W153" s="696"/>
      <c r="X153" s="696"/>
      <c r="Y153" s="696"/>
      <c r="Z153" s="696"/>
      <c r="AA153" s="696"/>
      <c r="AB153" s="696"/>
      <c r="AC153" s="696"/>
      <c r="AD153" s="696"/>
    </row>
    <row r="154" spans="1:30" ht="9" customHeight="1">
      <c r="A154" s="696" t="s">
        <v>1821</v>
      </c>
      <c r="B154" s="696"/>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8"/>
      <c r="Z154" s="138"/>
      <c r="AA154" s="694"/>
      <c r="AB154" s="138"/>
      <c r="AC154" s="138"/>
      <c r="AD154" s="13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029" hidden="1"/>
    <col min="2" max="2" width="11" style="1029" hidden="1" customWidth="1"/>
    <col min="3" max="3" width="10.5703125" style="1029" hidden="1"/>
    <col min="4" max="4" width="11.85546875" style="1029" hidden="1" customWidth="1"/>
    <col min="5" max="8" width="12.28515625" style="1029" hidden="1" customWidth="1"/>
    <col min="9" max="11" width="3" style="1029" customWidth="1"/>
    <col min="12" max="12" width="12" style="1029" customWidth="1"/>
    <col min="13" max="13" width="31" style="1029" customWidth="1"/>
    <col min="14" max="14" width="1" style="1029" customWidth="1"/>
    <col min="15" max="18" width="24" style="1029" customWidth="1"/>
    <col min="19" max="19" width="11" style="1029" customWidth="1"/>
    <col min="20" max="20" width="3.7109375" style="1029" customWidth="1"/>
    <col min="21" max="21" width="11" style="1029" customWidth="1"/>
    <col min="22" max="22" width="8.5703125" style="1029" customWidth="1"/>
    <col min="23" max="23" width="4" style="1029" customWidth="1"/>
    <col min="24" max="24" width="115" style="1029" customWidth="1"/>
    <col min="25" max="29" width="10" style="1029" customWidth="1"/>
    <col min="30" max="30" width="10.5703125" style="1029" hidden="1"/>
  </cols>
  <sheetData>
    <row r="1" spans="10:30" ht="22.5" hidden="1" customHeight="1">
      <c r="AD1" s="538" t="s">
        <v>14</v>
      </c>
    </row>
    <row r="2" spans="10:30" ht="14.25" hidden="1" customHeight="1">
      <c r="AD2" s="538">
        <v>0</v>
      </c>
    </row>
    <row r="3" spans="10:30" ht="14.25" hidden="1" customHeight="1">
      <c r="AD3" s="538">
        <v>0</v>
      </c>
    </row>
    <row r="4" spans="10:30" ht="14.65" customHeight="1">
      <c r="J4" s="756"/>
      <c r="K4" s="756"/>
      <c r="L4" s="847"/>
      <c r="M4" s="556"/>
      <c r="N4" s="556"/>
      <c r="AD4" s="538">
        <v>14</v>
      </c>
    </row>
    <row r="5" spans="10:30" ht="67.150000000000006" customHeight="1">
      <c r="J5" s="756"/>
      <c r="K5" s="756"/>
      <c r="L5" s="1469" t="s">
        <v>2365</v>
      </c>
      <c r="M5" s="1469"/>
      <c r="N5" s="1469"/>
      <c r="O5" s="1469"/>
      <c r="P5" s="1469"/>
      <c r="Q5" s="1469"/>
      <c r="R5" s="1469"/>
      <c r="S5" s="1469"/>
      <c r="T5" s="1469"/>
      <c r="U5" s="1469"/>
      <c r="AD5" s="538">
        <v>64</v>
      </c>
    </row>
    <row r="6" spans="10:30" ht="14.65" customHeight="1">
      <c r="J6" s="756"/>
      <c r="K6" s="756"/>
      <c r="L6" s="1470" t="str">
        <f>IF(org=0,"Не определено",org)</f>
        <v>АО "НИЖЕГОРОДСКИЙ ВОДОКАНАЛ"</v>
      </c>
      <c r="M6" s="1470"/>
      <c r="N6" s="1470"/>
      <c r="O6" s="1470"/>
      <c r="P6" s="1470"/>
      <c r="Q6" s="1470"/>
      <c r="R6" s="1470"/>
      <c r="S6" s="1470"/>
      <c r="T6" s="1470"/>
      <c r="U6" s="1470"/>
      <c r="AD6" s="538">
        <v>14</v>
      </c>
    </row>
    <row r="7" spans="10:30" ht="14.65" customHeight="1">
      <c r="J7" s="756"/>
      <c r="K7" s="756"/>
      <c r="L7" s="847"/>
      <c r="M7" s="556"/>
      <c r="N7" s="556"/>
      <c r="O7" s="826"/>
      <c r="P7" s="826"/>
      <c r="Q7" s="826"/>
      <c r="R7" s="826"/>
      <c r="S7" s="826"/>
      <c r="T7" s="826"/>
      <c r="U7" s="826"/>
      <c r="V7" s="826"/>
      <c r="AD7" s="538">
        <v>14</v>
      </c>
    </row>
    <row r="8" spans="10:30" ht="48.2" customHeight="1">
      <c r="M8" s="848" t="s">
        <v>41</v>
      </c>
      <c r="N8" s="713"/>
      <c r="O8" s="1187" t="str">
        <f>IF(TITLE_NAME_OR_PR_CHANGE="",IF(TITLE_NAME_OR_PR="","",TITLE_NAME_OR_PR),TITLE_NAME_OR_PR_CHANGE)</f>
        <v/>
      </c>
      <c r="P8" s="1187"/>
      <c r="Q8" s="1187"/>
      <c r="R8" s="1187"/>
      <c r="S8" s="1187"/>
      <c r="T8" s="1187"/>
      <c r="U8" s="1187"/>
      <c r="AD8" s="592">
        <v>46</v>
      </c>
    </row>
    <row r="9" spans="10:30" ht="24" customHeight="1">
      <c r="M9" s="848" t="s">
        <v>434</v>
      </c>
      <c r="N9" s="713"/>
      <c r="O9" s="1187" t="str">
        <f>IF(TITLE_DATE_CHANGE_PERIOD="",IF(TITLE_DATE_PR="","",TITLE_DATE_PR),TITLE_DATE_CHANGE_PERIOD)</f>
        <v/>
      </c>
      <c r="P9" s="1187"/>
      <c r="Q9" s="1187"/>
      <c r="R9" s="1187"/>
      <c r="S9" s="1187"/>
      <c r="T9" s="1187"/>
      <c r="U9" s="1187"/>
      <c r="AD9" s="592">
        <v>23</v>
      </c>
    </row>
    <row r="10" spans="10:30" ht="24" customHeight="1">
      <c r="M10" s="848" t="s">
        <v>435</v>
      </c>
      <c r="N10" s="713"/>
      <c r="O10" s="1187" t="str">
        <f>IF(TITLE_NUMBER_PR_CHANGE="",IF(TITLE_NUMBER_PR="","",TITLE_NUMBER_PR),TITLE_NUMBER_PR_CHANGE)</f>
        <v/>
      </c>
      <c r="P10" s="1187"/>
      <c r="Q10" s="1187"/>
      <c r="R10" s="1187"/>
      <c r="S10" s="1187"/>
      <c r="T10" s="1187"/>
      <c r="U10" s="1187"/>
      <c r="AD10" s="592">
        <v>23</v>
      </c>
    </row>
    <row r="11" spans="10:30" ht="24" customHeight="1">
      <c r="M11" s="848" t="s">
        <v>42</v>
      </c>
      <c r="N11" s="713"/>
      <c r="O11" s="1187" t="str">
        <f>IF(TITLE_IST_PUB_CHANGE="",IF(TITLE_IST_PUB="","",TITLE_IST_PUB),TITLE_IST_PUB_CHANGE)</f>
        <v/>
      </c>
      <c r="P11" s="1187"/>
      <c r="Q11" s="1187"/>
      <c r="R11" s="1187"/>
      <c r="S11" s="1187"/>
      <c r="T11" s="1187"/>
      <c r="U11" s="1187"/>
      <c r="AD11" s="592">
        <v>23</v>
      </c>
    </row>
    <row r="12" spans="10:30" ht="11.25" hidden="1" customHeight="1">
      <c r="L12" s="1031"/>
      <c r="M12" s="1031"/>
      <c r="V12" s="577" t="s">
        <v>438</v>
      </c>
      <c r="AD12" s="592">
        <v>0</v>
      </c>
    </row>
    <row r="13" spans="10:30" ht="14.65" customHeight="1">
      <c r="J13" s="756"/>
      <c r="K13" s="756"/>
      <c r="L13" s="847"/>
      <c r="M13" s="556"/>
      <c r="N13" s="850"/>
      <c r="O13" s="1188"/>
      <c r="P13" s="1188"/>
      <c r="Q13" s="1188"/>
      <c r="R13" s="1188"/>
      <c r="S13" s="1188"/>
      <c r="T13" s="1188"/>
      <c r="U13" s="1188"/>
      <c r="V13" s="1188"/>
      <c r="AD13" s="538">
        <v>14</v>
      </c>
    </row>
    <row r="14" spans="10:30" ht="14.65" customHeight="1">
      <c r="J14" s="756"/>
      <c r="K14" s="756"/>
      <c r="L14" s="1066" t="s">
        <v>311</v>
      </c>
      <c r="M14" s="1066"/>
      <c r="N14" s="1066"/>
      <c r="O14" s="1066"/>
      <c r="P14" s="1066"/>
      <c r="Q14" s="1066"/>
      <c r="R14" s="1066"/>
      <c r="S14" s="1066"/>
      <c r="T14" s="1066"/>
      <c r="U14" s="1066"/>
      <c r="V14" s="1066"/>
      <c r="W14" s="1066"/>
      <c r="X14" s="1066" t="s">
        <v>312</v>
      </c>
      <c r="AD14" s="538">
        <v>14</v>
      </c>
    </row>
    <row r="15" spans="10:30" ht="14.65" customHeight="1">
      <c r="J15" s="756"/>
      <c r="K15" s="756"/>
      <c r="L15" s="1202" t="s">
        <v>87</v>
      </c>
      <c r="M15" s="1154" t="s">
        <v>439</v>
      </c>
      <c r="N15" s="817"/>
      <c r="O15" s="1203" t="s">
        <v>2366</v>
      </c>
      <c r="P15" s="1204"/>
      <c r="Q15" s="1204"/>
      <c r="R15" s="1204"/>
      <c r="S15" s="1204"/>
      <c r="T15" s="1204"/>
      <c r="U15" s="1205"/>
      <c r="V15" s="1206" t="s">
        <v>441</v>
      </c>
      <c r="W15" s="1209" t="s">
        <v>1322</v>
      </c>
      <c r="X15" s="1066"/>
      <c r="AD15" s="538">
        <v>14</v>
      </c>
    </row>
    <row r="16" spans="10:30" ht="35.65" customHeight="1">
      <c r="J16" s="756"/>
      <c r="K16" s="756"/>
      <c r="L16" s="1202"/>
      <c r="M16" s="1154"/>
      <c r="N16" s="822"/>
      <c r="O16" s="1126" t="s">
        <v>444</v>
      </c>
      <c r="P16" s="1126" t="s">
        <v>445</v>
      </c>
      <c r="Q16" s="1048" t="s">
        <v>446</v>
      </c>
      <c r="R16" s="1047"/>
      <c r="S16" s="1048" t="s">
        <v>460</v>
      </c>
      <c r="T16" s="1053"/>
      <c r="U16" s="1047"/>
      <c r="V16" s="1207"/>
      <c r="W16" s="1210"/>
      <c r="X16" s="1066"/>
      <c r="AD16" s="538">
        <v>34</v>
      </c>
    </row>
    <row r="17" spans="1:30" ht="35.65" customHeight="1">
      <c r="A17" s="598" t="s">
        <v>147</v>
      </c>
      <c r="B17" s="598" t="s">
        <v>148</v>
      </c>
      <c r="C17" s="598" t="s">
        <v>149</v>
      </c>
      <c r="D17" s="598" t="s">
        <v>150</v>
      </c>
      <c r="J17" s="756"/>
      <c r="K17" s="756"/>
      <c r="L17" s="1202"/>
      <c r="M17" s="1154"/>
      <c r="N17" s="852"/>
      <c r="O17" s="1173"/>
      <c r="P17" s="1173"/>
      <c r="Q17" s="602" t="s">
        <v>455</v>
      </c>
      <c r="R17" s="602" t="s">
        <v>456</v>
      </c>
      <c r="S17" s="602" t="s">
        <v>457</v>
      </c>
      <c r="T17" s="1162" t="s">
        <v>458</v>
      </c>
      <c r="U17" s="1164"/>
      <c r="V17" s="1208"/>
      <c r="W17" s="1211"/>
      <c r="X17" s="1066"/>
      <c r="AD17" s="538">
        <v>34</v>
      </c>
    </row>
    <row r="18" spans="1:30" ht="11.45" customHeight="1">
      <c r="J18" s="853"/>
      <c r="K18" s="854">
        <v>1</v>
      </c>
      <c r="L18" s="329" t="s">
        <v>114</v>
      </c>
      <c r="M18" s="330" t="s">
        <v>102</v>
      </c>
      <c r="N18" s="855" t="str">
        <f ca="1">OFFSET(N18,0,-1)</f>
        <v>2</v>
      </c>
      <c r="O18" s="856">
        <f ca="1">OFFSET(O18,0,-1)+1</f>
        <v>3</v>
      </c>
      <c r="P18" s="856"/>
      <c r="Q18" s="856">
        <f ca="1">OFFSET(Q18,0,-1)+1</f>
        <v>1</v>
      </c>
      <c r="R18" s="856">
        <f ca="1">OFFSET(R18,0,-1)+1</f>
        <v>2</v>
      </c>
      <c r="S18" s="856">
        <f ca="1">OFFSET(S18,0,-1)+1</f>
        <v>3</v>
      </c>
      <c r="T18" s="1201">
        <f ca="1">OFFSET(T18,0,-1)+1</f>
        <v>4</v>
      </c>
      <c r="U18" s="1201"/>
      <c r="V18" s="856">
        <f ca="1">OFFSET(V18,0,-2)+1</f>
        <v>5</v>
      </c>
      <c r="W18" s="855">
        <f ca="1">OFFSET(W18,0,-1)</f>
        <v>5</v>
      </c>
      <c r="X18" s="856">
        <f ca="1">OFFSET(X18,0,-1)+1</f>
        <v>6</v>
      </c>
      <c r="AD18" s="681">
        <v>11</v>
      </c>
    </row>
    <row r="19" spans="1:30" ht="21" customHeight="1">
      <c r="A19" s="857" t="s">
        <v>181</v>
      </c>
      <c r="B19" s="857" t="s">
        <v>182</v>
      </c>
      <c r="C19" s="857" t="s">
        <v>183</v>
      </c>
      <c r="D19" s="857" t="s">
        <v>184</v>
      </c>
      <c r="K19" s="310"/>
      <c r="L19" s="832">
        <f>INDEX(PT_DIFFERENTIATION_NUM_NTAR,MATCH(A19,PT_DIFFERENTIATION_NTAR_ID,0))</f>
        <v>0</v>
      </c>
      <c r="M19" s="795" t="s">
        <v>136</v>
      </c>
      <c r="N19" s="833"/>
      <c r="O19" s="1471" t="str">
        <f>INDEX(PT_DIFFERENTIATION_NTAR,MATCH(A19,PT_DIFFERENTIATION_NTAR_ID,0))</f>
        <v/>
      </c>
      <c r="P19" s="1471"/>
      <c r="Q19" s="1471"/>
      <c r="R19" s="1471"/>
      <c r="S19" s="1471"/>
      <c r="T19" s="1471"/>
      <c r="U19" s="1471"/>
      <c r="V19" s="1471"/>
      <c r="W19" s="1471"/>
      <c r="X19" s="835" t="s">
        <v>407</v>
      </c>
      <c r="AA19" s="582" t="str">
        <f t="shared" ref="AA19:AA32" si="0">IF(M19="","",M19)</f>
        <v>Наименование тарифа</v>
      </c>
      <c r="AD19" s="538">
        <v>20</v>
      </c>
    </row>
    <row r="20" spans="1:30" ht="21" customHeight="1">
      <c r="A20" s="857" t="s">
        <v>181</v>
      </c>
      <c r="B20" s="857" t="s">
        <v>182</v>
      </c>
      <c r="C20" s="857" t="s">
        <v>183</v>
      </c>
      <c r="D20" s="857" t="s">
        <v>184</v>
      </c>
      <c r="J20" s="836"/>
      <c r="K20" s="837"/>
      <c r="L20" s="832" t="str">
        <f>INDEX(PT_DIFFERENTIATION_NUM_TER,MATCH(B19,PT_DIFFERENTIATION_TER_ID,0))</f>
        <v>.</v>
      </c>
      <c r="M20" s="838" t="s">
        <v>408</v>
      </c>
      <c r="N20" s="833"/>
      <c r="O20" s="1471" t="str">
        <f>INDEX(PT_DIFFERENTIATION_TER,MATCH(B19,PT_DIFFERENTIATION_TER_ID,0))</f>
        <v/>
      </c>
      <c r="P20" s="1471"/>
      <c r="Q20" s="1471"/>
      <c r="R20" s="1471"/>
      <c r="S20" s="1471"/>
      <c r="T20" s="1471"/>
      <c r="U20" s="1471"/>
      <c r="V20" s="1471"/>
      <c r="W20" s="1471"/>
      <c r="X20" s="835" t="s">
        <v>409</v>
      </c>
      <c r="AA20" s="582" t="str">
        <f t="shared" si="0"/>
        <v>Территория действия тарифа</v>
      </c>
      <c r="AD20" s="538">
        <v>20</v>
      </c>
    </row>
    <row r="21" spans="1:30" ht="24" customHeight="1">
      <c r="A21" s="857" t="s">
        <v>181</v>
      </c>
      <c r="B21" s="857" t="s">
        <v>182</v>
      </c>
      <c r="C21" s="857" t="s">
        <v>183</v>
      </c>
      <c r="D21" s="857" t="s">
        <v>184</v>
      </c>
      <c r="J21" s="836"/>
      <c r="K21" s="837"/>
      <c r="L21" s="832" t="str">
        <f>INDEX(PT_DIFFERENTIATION_NUM_CS,MATCH(C19,PT_DIFFERENTIATION_CS_ID,0))</f>
        <v>..</v>
      </c>
      <c r="M21" s="839" t="s">
        <v>410</v>
      </c>
      <c r="N21" s="833"/>
      <c r="O21" s="1471" t="str">
        <f>INDEX(PT_DIFFERENTIATION_CS,MATCH(C19,PT_DIFFERENTIATION_CS_ID,0))</f>
        <v/>
      </c>
      <c r="P21" s="1471"/>
      <c r="Q21" s="1471"/>
      <c r="R21" s="1471"/>
      <c r="S21" s="1471"/>
      <c r="T21" s="1471"/>
      <c r="U21" s="1471"/>
      <c r="V21" s="1471"/>
      <c r="W21" s="1471"/>
      <c r="X21" s="835" t="s">
        <v>411</v>
      </c>
      <c r="AA21" s="582" t="str">
        <f t="shared" si="0"/>
        <v xml:space="preserve">Наименование системы теплоснабжения </v>
      </c>
      <c r="AD21" s="538">
        <v>23</v>
      </c>
    </row>
    <row r="22" spans="1:30" ht="21" customHeight="1">
      <c r="A22" s="857" t="s">
        <v>181</v>
      </c>
      <c r="B22" s="857" t="s">
        <v>182</v>
      </c>
      <c r="C22" s="857" t="s">
        <v>183</v>
      </c>
      <c r="D22" s="857" t="s">
        <v>184</v>
      </c>
      <c r="J22" s="836"/>
      <c r="K22" s="837"/>
      <c r="L22" s="832" t="str">
        <f>INDEX(PT_DIFFERENTIATION_NUM_IST_TE,MATCH(D19,PT_DIFFERENTIATION_IST_TE_ID,0))</f>
        <v>...</v>
      </c>
      <c r="M22" s="840" t="s">
        <v>412</v>
      </c>
      <c r="N22" s="833"/>
      <c r="O22" s="1471" t="str">
        <f>INDEX(PT_DIFFERENTIATION_IST_TE,MATCH(D19,PT_DIFFERENTIATION_IST_TE_ID,0))</f>
        <v/>
      </c>
      <c r="P22" s="1471"/>
      <c r="Q22" s="1471"/>
      <c r="R22" s="1471"/>
      <c r="S22" s="1471"/>
      <c r="T22" s="1471"/>
      <c r="U22" s="1471"/>
      <c r="V22" s="1471"/>
      <c r="W22" s="1471"/>
      <c r="X22" s="835" t="s">
        <v>413</v>
      </c>
      <c r="AA22" s="582" t="str">
        <f t="shared" si="0"/>
        <v xml:space="preserve">Источник тепловой энергии  </v>
      </c>
      <c r="AD22" s="538">
        <v>20</v>
      </c>
    </row>
    <row r="23" spans="1:30" ht="96.75" customHeight="1">
      <c r="A23" s="857" t="s">
        <v>181</v>
      </c>
      <c r="B23" s="857" t="s">
        <v>182</v>
      </c>
      <c r="C23" s="857" t="s">
        <v>183</v>
      </c>
      <c r="D23" s="857" t="s">
        <v>184</v>
      </c>
      <c r="F23" s="1055" t="str">
        <f>L22&amp;".1"</f>
        <v>....1</v>
      </c>
      <c r="I23" s="1193">
        <v>1</v>
      </c>
      <c r="K23" s="842"/>
      <c r="L23" s="832" t="str">
        <f>$F$23</f>
        <v>....1</v>
      </c>
      <c r="M23" s="843" t="s">
        <v>415</v>
      </c>
      <c r="N23" s="833"/>
      <c r="O23" s="1230"/>
      <c r="P23" s="1230"/>
      <c r="Q23" s="1230"/>
      <c r="R23" s="1230"/>
      <c r="S23" s="1230"/>
      <c r="T23" s="1230"/>
      <c r="U23" s="1230"/>
      <c r="V23" s="1230"/>
      <c r="W23" s="1230"/>
      <c r="X23" s="835" t="s">
        <v>416</v>
      </c>
      <c r="AA23" s="582" t="str">
        <f t="shared" si="0"/>
        <v>Схема подключения теплопотребляющей установки к коллектору источника тепловой энергии</v>
      </c>
      <c r="AD23" s="538">
        <v>92</v>
      </c>
    </row>
    <row r="24" spans="1:30" ht="86.25" customHeight="1">
      <c r="A24" s="857" t="s">
        <v>181</v>
      </c>
      <c r="B24" s="857" t="s">
        <v>182</v>
      </c>
      <c r="C24" s="857" t="s">
        <v>183</v>
      </c>
      <c r="D24" s="857" t="s">
        <v>184</v>
      </c>
      <c r="F24" s="1031"/>
      <c r="G24" s="1055" t="str">
        <f>F23&amp;".1"</f>
        <v>....1.1</v>
      </c>
      <c r="I24" s="1031"/>
      <c r="J24" s="1193">
        <v>1</v>
      </c>
      <c r="K24" s="844"/>
      <c r="L24" s="832" t="str">
        <f>$G$24</f>
        <v>....1.1</v>
      </c>
      <c r="M24" s="845" t="s">
        <v>418</v>
      </c>
      <c r="N24" s="833"/>
      <c r="O24" s="1183"/>
      <c r="P24" s="1184"/>
      <c r="Q24" s="1184"/>
      <c r="R24" s="1184"/>
      <c r="S24" s="1184"/>
      <c r="T24" s="1184"/>
      <c r="U24" s="1184"/>
      <c r="V24" s="1184"/>
      <c r="W24" s="1185"/>
      <c r="X24" s="835" t="s">
        <v>419</v>
      </c>
      <c r="AA24" s="582" t="str">
        <f t="shared" si="0"/>
        <v>Группа потребителей</v>
      </c>
      <c r="AD24" s="538">
        <v>82</v>
      </c>
    </row>
    <row r="25" spans="1:30" ht="11.45" customHeight="1">
      <c r="A25" s="857" t="s">
        <v>181</v>
      </c>
      <c r="B25" s="857" t="s">
        <v>182</v>
      </c>
      <c r="C25" s="857" t="s">
        <v>183</v>
      </c>
      <c r="D25" s="857" t="s">
        <v>184</v>
      </c>
      <c r="F25" s="1031"/>
      <c r="G25" s="1031"/>
      <c r="H25" s="1055" t="str">
        <f>G24&amp;".1"</f>
        <v>....1.1.1</v>
      </c>
      <c r="I25" s="1031"/>
      <c r="J25" s="1031"/>
      <c r="K25" s="844">
        <v>1</v>
      </c>
      <c r="L25" s="832" t="str">
        <f>$H$25</f>
        <v>....1.1.1</v>
      </c>
      <c r="M25" s="846"/>
      <c r="N25" s="833"/>
      <c r="O25" s="311"/>
      <c r="P25" s="312"/>
      <c r="Q25" s="311"/>
      <c r="R25" s="313"/>
      <c r="S25" s="1197"/>
      <c r="T25" s="1058" t="s">
        <v>61</v>
      </c>
      <c r="U25" s="1197"/>
      <c r="V25" s="1058" t="s">
        <v>19</v>
      </c>
      <c r="W25" s="312"/>
      <c r="X25" s="1189" t="s">
        <v>421</v>
      </c>
      <c r="Y25" s="577" t="e">
        <f ca="1">STRCHECKDATE(O26:W26)</f>
        <v>#NAME?</v>
      </c>
      <c r="AA25" s="582" t="str">
        <f t="shared" si="0"/>
        <v/>
      </c>
      <c r="AD25" s="538">
        <v>11</v>
      </c>
    </row>
    <row r="26" spans="1:30" ht="11.45" customHeight="1">
      <c r="A26" s="857" t="s">
        <v>181</v>
      </c>
      <c r="B26" s="857" t="s">
        <v>182</v>
      </c>
      <c r="C26" s="857" t="s">
        <v>183</v>
      </c>
      <c r="D26" s="857" t="s">
        <v>184</v>
      </c>
      <c r="F26" s="1031"/>
      <c r="G26" s="1031"/>
      <c r="H26" s="1031"/>
      <c r="I26" s="1031"/>
      <c r="J26" s="1031"/>
      <c r="K26" s="844"/>
      <c r="L26" s="127"/>
      <c r="M26" s="833"/>
      <c r="N26" s="833"/>
      <c r="O26" s="312"/>
      <c r="P26" s="312"/>
      <c r="Q26" s="312"/>
      <c r="R26" s="314" t="str">
        <f>S25&amp;"-"&amp;U25</f>
        <v>-</v>
      </c>
      <c r="S26" s="1198"/>
      <c r="T26" s="1058"/>
      <c r="U26" s="1198"/>
      <c r="V26" s="1058"/>
      <c r="W26" s="312"/>
      <c r="X26" s="1190"/>
      <c r="AA26" s="582" t="str">
        <f t="shared" si="0"/>
        <v/>
      </c>
      <c r="AD26" s="538">
        <v>11</v>
      </c>
    </row>
    <row r="27" spans="1:30" ht="15.75" customHeight="1">
      <c r="A27" s="857" t="s">
        <v>181</v>
      </c>
      <c r="B27" s="857" t="s">
        <v>182</v>
      </c>
      <c r="C27" s="857" t="s">
        <v>183</v>
      </c>
      <c r="D27" s="857" t="s">
        <v>184</v>
      </c>
      <c r="F27" s="1031"/>
      <c r="G27" s="1031"/>
      <c r="I27" s="1031"/>
      <c r="J27" s="1031"/>
      <c r="K27" s="842"/>
      <c r="L27" s="315"/>
      <c r="M27" s="316" t="s">
        <v>422</v>
      </c>
      <c r="N27" s="52"/>
      <c r="O27" s="52"/>
      <c r="P27" s="52"/>
      <c r="Q27" s="52"/>
      <c r="R27" s="52"/>
      <c r="S27" s="52"/>
      <c r="T27" s="52"/>
      <c r="U27" s="52"/>
      <c r="V27" s="52"/>
      <c r="W27" s="317"/>
      <c r="X27" s="1191"/>
      <c r="AA27" s="582" t="str">
        <f t="shared" si="0"/>
        <v>Добавить вид теплоносителя (параметры теплоносителя)</v>
      </c>
      <c r="AD27" s="538">
        <v>15</v>
      </c>
    </row>
    <row r="28" spans="1:30" ht="15.75" customHeight="1">
      <c r="A28" s="857" t="s">
        <v>181</v>
      </c>
      <c r="B28" s="857" t="s">
        <v>182</v>
      </c>
      <c r="C28" s="857" t="s">
        <v>183</v>
      </c>
      <c r="D28" s="857" t="s">
        <v>184</v>
      </c>
      <c r="F28" s="1031"/>
      <c r="I28" s="1031"/>
      <c r="K28" s="842"/>
      <c r="L28" s="315"/>
      <c r="M28" s="318" t="s">
        <v>423</v>
      </c>
      <c r="N28" s="52"/>
      <c r="O28" s="52"/>
      <c r="P28" s="52"/>
      <c r="Q28" s="52"/>
      <c r="R28" s="52"/>
      <c r="S28" s="52"/>
      <c r="T28" s="52"/>
      <c r="U28" s="52"/>
      <c r="V28" s="319"/>
      <c r="W28" s="52"/>
      <c r="X28" s="320"/>
      <c r="AA28" s="582" t="str">
        <f t="shared" si="0"/>
        <v>Добавить группу потребителей</v>
      </c>
      <c r="AD28" s="538">
        <v>15</v>
      </c>
    </row>
    <row r="29" spans="1:30" ht="14.65" customHeight="1">
      <c r="A29" s="857" t="s">
        <v>181</v>
      </c>
      <c r="B29" s="857" t="s">
        <v>182</v>
      </c>
      <c r="C29" s="857" t="s">
        <v>183</v>
      </c>
      <c r="D29" s="857" t="s">
        <v>184</v>
      </c>
      <c r="K29" s="310"/>
      <c r="L29" s="315"/>
      <c r="M29" s="321" t="s">
        <v>424</v>
      </c>
      <c r="N29" s="52"/>
      <c r="O29" s="52"/>
      <c r="P29" s="52"/>
      <c r="Q29" s="52"/>
      <c r="R29" s="52"/>
      <c r="S29" s="52"/>
      <c r="T29" s="52"/>
      <c r="U29" s="52"/>
      <c r="V29" s="319"/>
      <c r="W29" s="52"/>
      <c r="X29" s="320"/>
      <c r="AA29" s="582" t="str">
        <f t="shared" si="0"/>
        <v>Добавить схему подключения</v>
      </c>
      <c r="AD29" s="538">
        <v>14</v>
      </c>
    </row>
    <row r="30" spans="1:30" ht="14.65" customHeight="1">
      <c r="A30" s="857" t="s">
        <v>181</v>
      </c>
      <c r="B30" s="857" t="s">
        <v>182</v>
      </c>
      <c r="C30" s="857" t="s">
        <v>183</v>
      </c>
      <c r="E30" s="857" t="s">
        <v>604</v>
      </c>
      <c r="K30" s="310"/>
      <c r="L30" s="363"/>
      <c r="M30" s="364"/>
      <c r="N30" s="365"/>
      <c r="O30" s="365"/>
      <c r="P30" s="365"/>
      <c r="Q30" s="365"/>
      <c r="R30" s="365"/>
      <c r="S30" s="365"/>
      <c r="T30" s="365"/>
      <c r="U30" s="365"/>
      <c r="V30" s="366"/>
      <c r="W30" s="365"/>
      <c r="X30" s="367"/>
      <c r="AA30" s="582" t="str">
        <f t="shared" si="0"/>
        <v/>
      </c>
      <c r="AD30" s="538">
        <v>14</v>
      </c>
    </row>
    <row r="31" spans="1:30" ht="14.65" customHeight="1">
      <c r="A31" s="857" t="s">
        <v>181</v>
      </c>
      <c r="B31" s="857" t="s">
        <v>182</v>
      </c>
      <c r="E31" s="857" t="s">
        <v>2367</v>
      </c>
      <c r="K31" s="279"/>
      <c r="L31" s="363"/>
      <c r="M31" s="368"/>
      <c r="N31" s="365"/>
      <c r="O31" s="365"/>
      <c r="P31" s="365"/>
      <c r="Q31" s="365"/>
      <c r="R31" s="365"/>
      <c r="S31" s="365"/>
      <c r="T31" s="365"/>
      <c r="U31" s="365"/>
      <c r="V31" s="366"/>
      <c r="W31" s="365"/>
      <c r="X31" s="367"/>
      <c r="AA31" s="582" t="str">
        <f t="shared" si="0"/>
        <v/>
      </c>
      <c r="AD31" s="538">
        <v>14</v>
      </c>
    </row>
    <row r="32" spans="1:30" ht="14.65" customHeight="1">
      <c r="A32" s="857" t="s">
        <v>2368</v>
      </c>
      <c r="E32" s="857" t="s">
        <v>109</v>
      </c>
      <c r="K32" s="310"/>
      <c r="L32" s="363"/>
      <c r="M32" s="369"/>
      <c r="N32" s="365"/>
      <c r="O32" s="365"/>
      <c r="P32" s="365"/>
      <c r="Q32" s="365"/>
      <c r="R32" s="365"/>
      <c r="S32" s="365"/>
      <c r="T32" s="365"/>
      <c r="U32" s="365"/>
      <c r="V32" s="366"/>
      <c r="W32" s="365"/>
      <c r="X32" s="367"/>
      <c r="AA32" s="582" t="str">
        <f t="shared" si="0"/>
        <v/>
      </c>
      <c r="AD32" s="538">
        <v>14</v>
      </c>
    </row>
    <row r="33" spans="1:30" ht="11.45" customHeight="1">
      <c r="E33" s="857" t="s">
        <v>459</v>
      </c>
      <c r="L33" s="370"/>
      <c r="M33" s="371"/>
      <c r="N33" s="365"/>
      <c r="O33" s="365"/>
      <c r="P33" s="365"/>
      <c r="Q33" s="365"/>
      <c r="R33" s="365"/>
      <c r="S33" s="365"/>
      <c r="T33" s="365"/>
      <c r="U33" s="365"/>
      <c r="V33" s="366"/>
      <c r="W33" s="365"/>
      <c r="X33" s="367"/>
      <c r="AD33" s="41">
        <v>11</v>
      </c>
    </row>
    <row r="34" spans="1:30" ht="11.45" customHeight="1">
      <c r="AD34" s="538">
        <v>11</v>
      </c>
    </row>
    <row r="35" spans="1:30" ht="28.5" customHeight="1">
      <c r="L35" s="744" t="s">
        <v>824</v>
      </c>
      <c r="M35" s="1298" t="s">
        <v>2369</v>
      </c>
      <c r="N35" s="1031"/>
      <c r="O35" s="1031"/>
      <c r="P35" s="1031"/>
      <c r="Q35" s="1031"/>
      <c r="R35" s="1031"/>
      <c r="S35" s="1031"/>
      <c r="T35" s="1031"/>
      <c r="U35" s="1031"/>
      <c r="V35" s="1031"/>
      <c r="W35" s="1031"/>
      <c r="X35" s="1031"/>
      <c r="AD35" s="538">
        <v>27</v>
      </c>
    </row>
    <row r="36" spans="1:30" ht="109.15" customHeight="1">
      <c r="M36" s="1298" t="s">
        <v>2370</v>
      </c>
      <c r="N36" s="1031"/>
      <c r="O36" s="1031"/>
      <c r="P36" s="1031"/>
      <c r="Q36" s="1031"/>
      <c r="R36" s="1031"/>
      <c r="S36" s="1031"/>
      <c r="T36" s="1031"/>
      <c r="U36" s="1031"/>
      <c r="V36" s="1031"/>
      <c r="W36" s="1031"/>
      <c r="X36" s="1031"/>
      <c r="AD36" s="538">
        <v>104</v>
      </c>
    </row>
    <row r="37" spans="1:30" ht="14.65" customHeight="1">
      <c r="AD37" s="538">
        <v>14</v>
      </c>
    </row>
    <row r="38" spans="1:30" ht="14.65" customHeight="1">
      <c r="AD38" s="538">
        <v>14</v>
      </c>
    </row>
    <row r="39" spans="1:30" ht="14.65" customHeight="1">
      <c r="AD39" s="538">
        <v>14</v>
      </c>
    </row>
    <row r="40" spans="1:30" ht="14.65" customHeight="1">
      <c r="AD40" s="538">
        <v>14</v>
      </c>
    </row>
    <row r="41" spans="1:30" ht="22.5" hidden="1" customHeight="1">
      <c r="A41" s="555" t="s">
        <v>81</v>
      </c>
      <c r="B41" s="555">
        <v>0</v>
      </c>
      <c r="C41" s="555">
        <v>0</v>
      </c>
      <c r="D41" s="555">
        <v>0</v>
      </c>
      <c r="E41" s="555">
        <v>0</v>
      </c>
      <c r="F41" s="12">
        <v>0</v>
      </c>
      <c r="G41" s="12">
        <v>0</v>
      </c>
      <c r="H41" s="12">
        <v>0</v>
      </c>
      <c r="I41" s="300">
        <v>3</v>
      </c>
      <c r="J41" s="821">
        <v>3</v>
      </c>
      <c r="K41" s="821">
        <v>3</v>
      </c>
      <c r="L41" s="553">
        <v>12</v>
      </c>
      <c r="M41" s="538">
        <v>31</v>
      </c>
      <c r="N41" s="538">
        <v>1</v>
      </c>
      <c r="O41" s="538">
        <v>24</v>
      </c>
      <c r="P41" s="538">
        <v>24</v>
      </c>
      <c r="Q41" s="538">
        <v>24</v>
      </c>
      <c r="R41" s="538">
        <v>24</v>
      </c>
      <c r="S41" s="538">
        <v>11</v>
      </c>
      <c r="T41" s="538">
        <v>3</v>
      </c>
      <c r="U41" s="538">
        <v>11</v>
      </c>
      <c r="V41" s="538">
        <v>8</v>
      </c>
      <c r="W41" s="538">
        <v>4</v>
      </c>
      <c r="X41" s="538">
        <v>115</v>
      </c>
      <c r="Y41" s="577">
        <v>10</v>
      </c>
      <c r="Z41" s="577">
        <v>10</v>
      </c>
      <c r="AA41" s="577">
        <v>10</v>
      </c>
      <c r="AB41" s="577">
        <v>10</v>
      </c>
      <c r="AC41" s="577">
        <v>10</v>
      </c>
      <c r="AD41" s="538">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2" width="15" style="1029" hidden="1" customWidth="1"/>
    <col min="3" max="3" width="3" style="1029" customWidth="1"/>
    <col min="4" max="4" width="6" style="1029" customWidth="1"/>
    <col min="5" max="5" width="52" style="1029" customWidth="1"/>
    <col min="6" max="6" width="48" style="1029" customWidth="1"/>
    <col min="7" max="7" width="121" style="1029" customWidth="1"/>
    <col min="8" max="8" width="8" style="1029" customWidth="1"/>
    <col min="9" max="9" width="64" style="1029" customWidth="1"/>
    <col min="10" max="10" width="9.140625" style="1029" hidden="1"/>
  </cols>
  <sheetData>
    <row r="1" spans="1:10" ht="11.25" hidden="1" customHeight="1">
      <c r="A1" s="624" t="s">
        <v>310</v>
      </c>
      <c r="J1" s="625" t="s">
        <v>14</v>
      </c>
    </row>
    <row r="2" spans="1:10" ht="11.25" hidden="1" customHeight="1">
      <c r="J2" s="625">
        <v>0</v>
      </c>
    </row>
    <row r="3" spans="1:10" ht="11.45" customHeight="1">
      <c r="A3" s="624"/>
      <c r="B3" s="626"/>
      <c r="D3" s="627"/>
      <c r="J3" s="628">
        <v>11</v>
      </c>
    </row>
    <row r="4" spans="1:10" ht="27.4" customHeight="1">
      <c r="D4" s="1109" t="str">
        <f>ORG_INFO_NAME_FORM</f>
        <v>Форма 1. Информация об организации, осуществляющей холодное водоснабжение (общая информация)</v>
      </c>
      <c r="E4" s="1110"/>
      <c r="F4" s="1111"/>
      <c r="J4" s="625">
        <v>26</v>
      </c>
    </row>
    <row r="5" spans="1:10" ht="18" customHeight="1">
      <c r="D5" s="1127" t="str">
        <f>IF(org=0,"Не определено",org)</f>
        <v>АО "НИЖЕГОРОДСКИЙ ВОДОКАНАЛ"</v>
      </c>
      <c r="E5" s="1127"/>
      <c r="F5" s="1127"/>
      <c r="J5" s="625">
        <v>17</v>
      </c>
    </row>
    <row r="6" spans="1:10" ht="11.45" customHeight="1">
      <c r="A6" s="624"/>
      <c r="B6" s="626"/>
      <c r="F6" s="629"/>
      <c r="J6" s="628">
        <v>11</v>
      </c>
    </row>
    <row r="7" spans="1:10" ht="11.25" hidden="1" customHeight="1">
      <c r="A7" s="556"/>
      <c r="B7" s="630"/>
      <c r="C7" s="556"/>
      <c r="D7" s="551"/>
      <c r="E7" s="1152"/>
      <c r="F7" s="1152"/>
      <c r="J7" s="625">
        <v>0</v>
      </c>
    </row>
    <row r="8" spans="1:10" ht="11.45" customHeight="1">
      <c r="A8" s="556"/>
      <c r="B8" s="630"/>
      <c r="C8" s="556"/>
      <c r="D8" s="1149" t="s">
        <v>311</v>
      </c>
      <c r="E8" s="1150"/>
      <c r="F8" s="1150"/>
      <c r="G8" s="1153" t="s">
        <v>312</v>
      </c>
      <c r="J8" s="625">
        <v>11</v>
      </c>
    </row>
    <row r="9" spans="1:10" ht="11.45" customHeight="1">
      <c r="A9" s="556"/>
      <c r="B9" s="630"/>
      <c r="C9" s="556"/>
      <c r="D9" s="92" t="s">
        <v>87</v>
      </c>
      <c r="E9" s="631" t="s">
        <v>313</v>
      </c>
      <c r="F9" s="631" t="s">
        <v>314</v>
      </c>
      <c r="G9" s="1154"/>
      <c r="J9" s="625">
        <v>11</v>
      </c>
    </row>
    <row r="10" spans="1:10" ht="12" hidden="1" customHeight="1">
      <c r="A10" s="556"/>
      <c r="B10" s="630"/>
      <c r="C10" s="556"/>
      <c r="D10" s="633"/>
      <c r="E10" s="633"/>
      <c r="F10" s="633"/>
      <c r="G10" s="633"/>
      <c r="J10" s="625">
        <v>0</v>
      </c>
    </row>
    <row r="11" spans="1:10" ht="22.5" hidden="1" customHeight="1">
      <c r="A11" s="556"/>
      <c r="B11" s="630"/>
      <c r="C11" s="556"/>
      <c r="D11" s="93" t="s">
        <v>114</v>
      </c>
      <c r="E11" s="634" t="s">
        <v>315</v>
      </c>
      <c r="F11" s="635" t="str">
        <f>IF(region_name="","",region_name)</f>
        <v>Нижегородская область</v>
      </c>
      <c r="G11" s="634" t="s">
        <v>316</v>
      </c>
      <c r="H11" s="636"/>
      <c r="J11" s="625">
        <v>0</v>
      </c>
    </row>
    <row r="12" spans="1:10" ht="22.5" hidden="1" customHeight="1">
      <c r="A12" s="556"/>
      <c r="B12" s="630"/>
      <c r="C12" s="556"/>
      <c r="D12" s="94" t="s">
        <v>114</v>
      </c>
      <c r="E12" s="63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602" t="s">
        <v>317</v>
      </c>
      <c r="G12" s="638"/>
      <c r="H12" s="636"/>
      <c r="J12" s="625">
        <v>0</v>
      </c>
    </row>
    <row r="13" spans="1:10" ht="23.25" customHeight="1">
      <c r="A13" s="556"/>
      <c r="B13" s="630"/>
      <c r="C13" s="556"/>
      <c r="D13" s="94" t="s">
        <v>114</v>
      </c>
      <c r="E13" s="639" t="str">
        <f>"Наименование юридического лица"&amp;IF(TEMPLATE_SPHERE="TKO"," (индивидуального предпринимателя)","")</f>
        <v>Наименование юридического лица</v>
      </c>
      <c r="F13" s="95"/>
      <c r="G13" s="63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636"/>
      <c r="J13" s="625">
        <v>22</v>
      </c>
    </row>
    <row r="14" spans="1:10" ht="22.5" hidden="1" customHeight="1">
      <c r="A14" s="556"/>
      <c r="B14" s="630"/>
      <c r="C14" s="556"/>
      <c r="D14" s="93" t="s">
        <v>318</v>
      </c>
      <c r="E14" s="640" t="s">
        <v>319</v>
      </c>
      <c r="F14" s="635" t="str">
        <f>IF(inn="","",inn)</f>
        <v>5257086827</v>
      </c>
      <c r="G14" s="634" t="s">
        <v>320</v>
      </c>
      <c r="H14" s="636"/>
      <c r="J14" s="625">
        <v>0</v>
      </c>
    </row>
    <row r="15" spans="1:10" ht="22.5" hidden="1" customHeight="1">
      <c r="A15" s="556"/>
      <c r="B15" s="630"/>
      <c r="C15" s="556"/>
      <c r="D15" s="93" t="s">
        <v>321</v>
      </c>
      <c r="E15" s="640" t="s">
        <v>322</v>
      </c>
      <c r="F15" s="635" t="str">
        <f>IF(kpp="","",kpp)</f>
        <v>525701001</v>
      </c>
      <c r="G15" s="634" t="s">
        <v>323</v>
      </c>
      <c r="H15" s="636"/>
      <c r="J15" s="625">
        <v>0</v>
      </c>
    </row>
    <row r="16" spans="1:10" ht="39" customHeight="1">
      <c r="A16" s="556"/>
      <c r="B16" s="630"/>
      <c r="C16" s="556"/>
      <c r="D16" s="94" t="s">
        <v>102</v>
      </c>
      <c r="E16" s="63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95"/>
      <c r="G16" s="63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636"/>
      <c r="J16" s="625">
        <v>37</v>
      </c>
    </row>
    <row r="17" spans="1:10" ht="23.25" customHeight="1">
      <c r="A17" s="556"/>
      <c r="B17" s="630"/>
      <c r="C17" s="556"/>
      <c r="D17" s="94" t="s">
        <v>89</v>
      </c>
      <c r="E17" s="639" t="str">
        <f>"Дата присвоения ОГРН"&amp;IF(TEMPLATE_SPHERE="TKO",""," (ОГРНИП)")</f>
        <v>Дата присвоения ОГРН (ОГРНИП)</v>
      </c>
      <c r="F17" s="8" t="s">
        <v>22</v>
      </c>
      <c r="G17" s="637" t="str">
        <f>"Дата присвоения ОГРН"&amp;IF(TEMPLATE_SPHERE="TKO",""," (ОГРНИП)")&amp;" указывается в виде «ДД.ММ.ГГГГ»."</f>
        <v>Дата присвоения ОГРН (ОГРНИП) указывается в виде «ДД.ММ.ГГГГ».</v>
      </c>
      <c r="H17" s="636"/>
      <c r="J17" s="625">
        <v>22</v>
      </c>
    </row>
    <row r="18" spans="1:10" ht="71.25" customHeight="1">
      <c r="A18" s="556"/>
      <c r="B18" s="630"/>
      <c r="C18" s="556"/>
      <c r="D18" s="94" t="s">
        <v>90</v>
      </c>
      <c r="E18" s="63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95"/>
      <c r="G18" s="638"/>
      <c r="H18" s="636"/>
      <c r="J18" s="625">
        <v>68</v>
      </c>
    </row>
    <row r="19" spans="1:10" ht="22.5" hidden="1" customHeight="1">
      <c r="A19" s="1148" t="s">
        <v>324</v>
      </c>
      <c r="B19" s="630"/>
      <c r="C19" s="1158"/>
      <c r="D19" s="94" t="str">
        <f>A19</f>
        <v>5.1</v>
      </c>
      <c r="E19" s="639" t="s">
        <v>325</v>
      </c>
      <c r="F19" s="602" t="s">
        <v>317</v>
      </c>
      <c r="G19" s="637" t="s">
        <v>326</v>
      </c>
      <c r="H19" s="636"/>
      <c r="J19" s="625">
        <v>0</v>
      </c>
    </row>
    <row r="20" spans="1:10" ht="24" hidden="1" customHeight="1">
      <c r="A20" s="1148"/>
      <c r="B20" s="630"/>
      <c r="C20" s="1158"/>
      <c r="D20" s="642" t="str">
        <f>D19&amp;".1"</f>
        <v>5.1.1</v>
      </c>
      <c r="E20" s="643" t="s">
        <v>327</v>
      </c>
      <c r="F20" s="97" t="s">
        <v>22</v>
      </c>
      <c r="G20" s="638"/>
      <c r="H20" s="636"/>
      <c r="J20" s="625">
        <v>0</v>
      </c>
    </row>
    <row r="21" spans="1:10" ht="22.5" hidden="1" customHeight="1">
      <c r="A21" s="1148"/>
      <c r="B21" s="630"/>
      <c r="C21" s="1158"/>
      <c r="D21" s="642" t="str">
        <f>D19&amp;".2"</f>
        <v>5.1.2</v>
      </c>
      <c r="E21" s="643" t="s">
        <v>328</v>
      </c>
      <c r="F21" s="15" t="s">
        <v>22</v>
      </c>
      <c r="G21" s="637" t="s">
        <v>329</v>
      </c>
      <c r="H21" s="636"/>
      <c r="J21" s="625">
        <v>0</v>
      </c>
    </row>
    <row r="22" spans="1:10" ht="22.5" hidden="1" customHeight="1">
      <c r="A22" s="1148"/>
      <c r="B22" s="630"/>
      <c r="C22" s="1158"/>
      <c r="D22" s="642" t="str">
        <f>D19&amp;".3"</f>
        <v>5.1.3</v>
      </c>
      <c r="E22" s="643" t="s">
        <v>330</v>
      </c>
      <c r="F22" s="97" t="s">
        <v>22</v>
      </c>
      <c r="G22" s="638"/>
      <c r="H22" s="636"/>
      <c r="J22" s="625">
        <v>0</v>
      </c>
    </row>
    <row r="23" spans="1:10" ht="22.5" hidden="1" customHeight="1">
      <c r="A23" s="1148"/>
      <c r="B23" s="630"/>
      <c r="C23" s="1158"/>
      <c r="D23" s="642" t="str">
        <f>D19&amp;".4"</f>
        <v>5.1.4</v>
      </c>
      <c r="E23" s="643" t="s">
        <v>331</v>
      </c>
      <c r="F23" s="97" t="s">
        <v>22</v>
      </c>
      <c r="G23" s="637" t="s">
        <v>332</v>
      </c>
      <c r="H23" s="636"/>
      <c r="J23" s="625">
        <v>0</v>
      </c>
    </row>
    <row r="24" spans="1:10" ht="22.5" hidden="1" customHeight="1">
      <c r="A24" s="98"/>
      <c r="B24" s="630"/>
      <c r="C24" s="644"/>
      <c r="D24" s="645"/>
      <c r="E24" s="44" t="s">
        <v>333</v>
      </c>
      <c r="F24" s="646"/>
      <c r="G24" s="647"/>
      <c r="H24" s="636"/>
      <c r="J24" s="625">
        <v>0</v>
      </c>
    </row>
    <row r="25" spans="1:10" ht="24.75" hidden="1" customHeight="1">
      <c r="A25" s="556"/>
      <c r="B25" s="630"/>
      <c r="C25" s="630"/>
      <c r="D25" s="99" t="s">
        <v>89</v>
      </c>
      <c r="E25" s="648" t="s">
        <v>334</v>
      </c>
      <c r="F25" s="584" t="s">
        <v>317</v>
      </c>
      <c r="G25" s="648"/>
      <c r="J25" s="626">
        <v>0</v>
      </c>
    </row>
    <row r="26" spans="1:10" ht="11.25" hidden="1" customHeight="1">
      <c r="A26" s="556"/>
      <c r="B26" s="630"/>
      <c r="C26" s="630"/>
      <c r="D26" s="99" t="s">
        <v>335</v>
      </c>
      <c r="E26" s="649" t="s">
        <v>336</v>
      </c>
      <c r="F26" s="584" t="s">
        <v>317</v>
      </c>
      <c r="G26" s="648"/>
      <c r="J26" s="626">
        <v>0</v>
      </c>
    </row>
    <row r="27" spans="1:10" ht="11.25" hidden="1" customHeight="1">
      <c r="A27" s="556"/>
      <c r="B27" s="630"/>
      <c r="C27" s="630"/>
      <c r="D27" s="99" t="s">
        <v>337</v>
      </c>
      <c r="E27" s="650" t="s">
        <v>338</v>
      </c>
      <c r="F27" s="100"/>
      <c r="G27" s="64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626">
        <v>0</v>
      </c>
    </row>
    <row r="28" spans="1:10" ht="11.25" hidden="1" customHeight="1">
      <c r="A28" s="556"/>
      <c r="B28" s="630"/>
      <c r="C28" s="630"/>
      <c r="D28" s="99" t="s">
        <v>339</v>
      </c>
      <c r="E28" s="650" t="s">
        <v>340</v>
      </c>
      <c r="F28" s="100"/>
      <c r="G28" s="64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626">
        <v>0</v>
      </c>
    </row>
    <row r="29" spans="1:10" ht="11.25" hidden="1" customHeight="1">
      <c r="A29" s="556"/>
      <c r="B29" s="630"/>
      <c r="C29" s="630"/>
      <c r="D29" s="99" t="s">
        <v>341</v>
      </c>
      <c r="E29" s="650" t="s">
        <v>342</v>
      </c>
      <c r="F29" s="100"/>
      <c r="G29" s="64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626">
        <v>0</v>
      </c>
    </row>
    <row r="30" spans="1:10" ht="11.25" hidden="1" customHeight="1">
      <c r="A30" s="556"/>
      <c r="B30" s="630"/>
      <c r="C30" s="630"/>
      <c r="D30" s="99" t="s">
        <v>343</v>
      </c>
      <c r="E30" s="649" t="s">
        <v>344</v>
      </c>
      <c r="F30" s="100"/>
      <c r="G30" s="648"/>
      <c r="J30" s="626">
        <v>0</v>
      </c>
    </row>
    <row r="31" spans="1:10" ht="11.25" hidden="1" customHeight="1">
      <c r="A31" s="556"/>
      <c r="B31" s="630"/>
      <c r="C31" s="630"/>
      <c r="D31" s="99" t="s">
        <v>345</v>
      </c>
      <c r="E31" s="649" t="s">
        <v>346</v>
      </c>
      <c r="F31" s="100"/>
      <c r="G31" s="648"/>
      <c r="J31" s="626">
        <v>0</v>
      </c>
    </row>
    <row r="32" spans="1:10" ht="11.25" hidden="1" customHeight="1">
      <c r="A32" s="556"/>
      <c r="B32" s="630"/>
      <c r="C32" s="630"/>
      <c r="D32" s="99" t="s">
        <v>347</v>
      </c>
      <c r="E32" s="649" t="s">
        <v>348</v>
      </c>
      <c r="F32" s="100"/>
      <c r="G32" s="648"/>
      <c r="J32" s="626">
        <v>0</v>
      </c>
    </row>
    <row r="33" spans="1:10" ht="24" customHeight="1">
      <c r="A33" s="556" t="str">
        <f>IF(TEMPLATE_SPHERE="HEAT","6","5")</f>
        <v>5</v>
      </c>
      <c r="B33" s="630"/>
      <c r="C33" s="556"/>
      <c r="D33" s="642" t="str">
        <f>A33</f>
        <v>5</v>
      </c>
      <c r="E33" s="65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602" t="s">
        <v>317</v>
      </c>
      <c r="G33" s="638"/>
      <c r="H33" s="636"/>
      <c r="J33" s="625">
        <v>23</v>
      </c>
    </row>
    <row r="34" spans="1:10" ht="23.25" customHeight="1">
      <c r="A34" s="556"/>
      <c r="B34" s="630"/>
      <c r="C34" s="556"/>
      <c r="D34" s="642" t="str">
        <f>D33&amp;".1"</f>
        <v>5.1</v>
      </c>
      <c r="E34" s="639" t="str">
        <f>"фамилия"&amp;IF(TEMPLATE_SPHERE&lt;&gt;"HEAT"," руководителя","")</f>
        <v>фамилия руководителя</v>
      </c>
      <c r="F34" s="95"/>
      <c r="G34" s="63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636"/>
      <c r="J34" s="625">
        <v>22</v>
      </c>
    </row>
    <row r="35" spans="1:10" ht="23.25" customHeight="1">
      <c r="A35" s="556"/>
      <c r="B35" s="630"/>
      <c r="C35" s="556"/>
      <c r="D35" s="642" t="str">
        <f>D33&amp;".2"</f>
        <v>5.2</v>
      </c>
      <c r="E35" s="639" t="str">
        <f>"имя"&amp;IF(TEMPLATE_SPHERE&lt;&gt;"HEAT"," руководителя","")</f>
        <v>имя руководителя</v>
      </c>
      <c r="F35" s="95"/>
      <c r="G35" s="63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636"/>
      <c r="J35" s="625">
        <v>22</v>
      </c>
    </row>
    <row r="36" spans="1:10" ht="24" customHeight="1">
      <c r="A36" s="556"/>
      <c r="B36" s="630"/>
      <c r="C36" s="556"/>
      <c r="D36" s="642" t="str">
        <f>D33&amp;".3"</f>
        <v>5.3</v>
      </c>
      <c r="E36" s="639" t="str">
        <f>"отчество"&amp;IF(TEMPLATE_SPHERE&lt;&gt;"HEAT"," руководителя","")</f>
        <v>отчество руководителя</v>
      </c>
      <c r="F36" s="101"/>
      <c r="G36" s="63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636"/>
      <c r="J36" s="625">
        <v>23</v>
      </c>
    </row>
    <row r="37" spans="1:10" ht="35.65" customHeight="1">
      <c r="A37" s="556"/>
      <c r="B37" s="630"/>
      <c r="C37" s="556"/>
      <c r="D37" s="642">
        <f>D33+1</f>
        <v>6</v>
      </c>
      <c r="E37" s="65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95"/>
      <c r="G37" s="637" t="s">
        <v>349</v>
      </c>
      <c r="H37" s="636"/>
      <c r="J37" s="625">
        <v>34</v>
      </c>
    </row>
    <row r="38" spans="1:10" ht="35.65" customHeight="1">
      <c r="A38" s="556"/>
      <c r="B38" s="630"/>
      <c r="C38" s="556"/>
      <c r="D38" s="642">
        <f>D37+1</f>
        <v>7</v>
      </c>
      <c r="E38" s="65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95"/>
      <c r="G38" s="637" t="s">
        <v>349</v>
      </c>
      <c r="H38" s="636"/>
      <c r="J38" s="625">
        <v>34</v>
      </c>
    </row>
    <row r="39" spans="1:10" ht="23.25" customHeight="1">
      <c r="A39" s="556"/>
      <c r="B39" s="630"/>
      <c r="C39" s="556"/>
      <c r="D39" s="642">
        <f>D38+1</f>
        <v>8</v>
      </c>
      <c r="E39" s="65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602" t="s">
        <v>317</v>
      </c>
      <c r="G39" s="115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636"/>
      <c r="J39" s="625">
        <v>22</v>
      </c>
    </row>
    <row r="40" spans="1:10" ht="22.5" hidden="1" customHeight="1">
      <c r="A40" s="556"/>
      <c r="B40" s="630"/>
      <c r="C40" s="556"/>
      <c r="D40" s="642" t="str">
        <f>D39&amp;".0"</f>
        <v>8.0</v>
      </c>
      <c r="E40" s="102"/>
      <c r="F40" s="97"/>
      <c r="G40" s="1156"/>
      <c r="H40" s="636"/>
      <c r="J40" s="625">
        <v>0</v>
      </c>
    </row>
    <row r="41" spans="1:10" ht="23.25" customHeight="1">
      <c r="A41" s="556"/>
      <c r="B41" s="556"/>
      <c r="C41" s="653"/>
      <c r="D41" s="642" t="str">
        <f>D39&amp;".1"</f>
        <v>8.1</v>
      </c>
      <c r="E41" s="103"/>
      <c r="F41" s="104"/>
      <c r="G41" s="1156"/>
      <c r="H41" s="636"/>
      <c r="J41" s="625">
        <v>22</v>
      </c>
    </row>
    <row r="42" spans="1:10" ht="15.75" customHeight="1">
      <c r="A42" s="556"/>
      <c r="B42" s="630"/>
      <c r="C42" s="556"/>
      <c r="D42" s="645"/>
      <c r="E42" s="44" t="s">
        <v>350</v>
      </c>
      <c r="F42" s="647"/>
      <c r="G42" s="1157"/>
      <c r="H42" s="654"/>
      <c r="J42" s="625">
        <v>15</v>
      </c>
    </row>
    <row r="43" spans="1:10" ht="27.4" customHeight="1">
      <c r="A43" s="556"/>
      <c r="B43" s="630"/>
      <c r="C43" s="556"/>
      <c r="D43" s="642">
        <f>D39+1</f>
        <v>9</v>
      </c>
      <c r="E43" s="65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05"/>
      <c r="G43" s="63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636"/>
      <c r="J43" s="625">
        <v>26</v>
      </c>
    </row>
    <row r="44" spans="1:10" ht="23.25" customHeight="1">
      <c r="A44" s="556"/>
      <c r="B44" s="630"/>
      <c r="C44" s="556"/>
      <c r="D44" s="642">
        <f>D43+1</f>
        <v>10</v>
      </c>
      <c r="E44" s="65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106"/>
      <c r="G44" s="638" t="s">
        <v>351</v>
      </c>
      <c r="H44" s="636"/>
      <c r="J44" s="625">
        <v>22</v>
      </c>
    </row>
    <row r="45" spans="1:10" ht="23.25" customHeight="1">
      <c r="A45" s="556"/>
      <c r="B45" s="630"/>
      <c r="C45" s="556"/>
      <c r="D45" s="642">
        <f>D44+1</f>
        <v>11</v>
      </c>
      <c r="E45" s="651" t="s">
        <v>352</v>
      </c>
      <c r="F45" s="602" t="s">
        <v>317</v>
      </c>
      <c r="G45" s="652" t="str">
        <f>IF(TEMPLATE_SPHERE="TKO","Указывается режим работы организации.","")</f>
        <v/>
      </c>
      <c r="H45" s="636"/>
      <c r="J45" s="625">
        <v>22</v>
      </c>
    </row>
    <row r="46" spans="1:10" ht="24" customHeight="1">
      <c r="A46" s="556"/>
      <c r="B46" s="630"/>
      <c r="C46" s="556"/>
      <c r="D46" s="642" t="str">
        <f>D45&amp;".1"</f>
        <v>11.1</v>
      </c>
      <c r="E46" s="639" t="str">
        <f>"режим работы регулируемой организации"&amp;IF(TEMPLATE_SPHERE="HEAT",", ЕТО, ТО","")</f>
        <v>режим работы регулируемой организации</v>
      </c>
      <c r="F46" s="107"/>
      <c r="G46" s="652" t="s">
        <v>353</v>
      </c>
      <c r="H46" s="636"/>
      <c r="J46" s="625">
        <v>23</v>
      </c>
    </row>
    <row r="47" spans="1:10" ht="24" customHeight="1">
      <c r="A47" s="1148"/>
      <c r="B47" s="630"/>
      <c r="C47" s="644"/>
      <c r="D47" s="642" t="str">
        <f>D45&amp;".2"</f>
        <v>11.2</v>
      </c>
      <c r="E47" s="639" t="s">
        <v>354</v>
      </c>
      <c r="F47" s="107"/>
      <c r="G47" s="652" t="s">
        <v>355</v>
      </c>
      <c r="H47" s="636"/>
      <c r="J47" s="625">
        <v>23</v>
      </c>
    </row>
    <row r="48" spans="1:10" ht="24" customHeight="1">
      <c r="A48" s="1148"/>
      <c r="B48" s="630"/>
      <c r="C48" s="644"/>
      <c r="D48" s="642" t="str">
        <f>D45&amp;".3"</f>
        <v>11.3</v>
      </c>
      <c r="E48" s="639" t="s">
        <v>356</v>
      </c>
      <c r="F48" s="107"/>
      <c r="G48" s="652" t="s">
        <v>357</v>
      </c>
      <c r="H48" s="636"/>
      <c r="J48" s="625">
        <v>23</v>
      </c>
    </row>
    <row r="49" spans="1:10" ht="24" customHeight="1">
      <c r="A49" s="1148"/>
      <c r="B49" s="630"/>
      <c r="C49" s="644"/>
      <c r="D49" s="642" t="str">
        <f>IF(TEMPLATE_SPHERE="TKO",D45&amp;".0",D45&amp;".4")</f>
        <v>11.4</v>
      </c>
      <c r="E49" s="655" t="s">
        <v>358</v>
      </c>
      <c r="F49" s="108"/>
      <c r="G49" s="656" t="s">
        <v>359</v>
      </c>
      <c r="H49" s="636"/>
      <c r="J49" s="625">
        <v>23</v>
      </c>
    </row>
    <row r="50" spans="1:10" ht="24" customHeight="1">
      <c r="A50" s="556"/>
      <c r="B50" s="630"/>
      <c r="C50" s="556"/>
      <c r="D50" s="645"/>
      <c r="E50" s="44" t="s">
        <v>360</v>
      </c>
      <c r="F50" s="646"/>
      <c r="G50" s="656" t="s">
        <v>361</v>
      </c>
      <c r="H50" s="654"/>
      <c r="J50" s="625">
        <v>23</v>
      </c>
    </row>
    <row r="51" spans="1:10" ht="24" customHeight="1">
      <c r="A51" s="96"/>
      <c r="B51" s="630"/>
      <c r="C51" s="644"/>
      <c r="D51" s="642">
        <f>D45+1</f>
        <v>12</v>
      </c>
      <c r="E51" s="657" t="s">
        <v>362</v>
      </c>
      <c r="F51" s="107"/>
      <c r="G51" s="65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636"/>
      <c r="J51" s="625">
        <v>23</v>
      </c>
    </row>
    <row r="52" spans="1:10" ht="11.45" customHeight="1">
      <c r="A52" s="556"/>
      <c r="B52" s="630"/>
      <c r="C52" s="556"/>
      <c r="J52" s="625">
        <v>11</v>
      </c>
    </row>
    <row r="53" spans="1:10" ht="31.5" customHeight="1">
      <c r="C53" s="1031"/>
      <c r="D53" s="115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031"/>
      <c r="F53" s="1031"/>
      <c r="G53" s="1031"/>
      <c r="J53" s="659">
        <v>30</v>
      </c>
    </row>
    <row r="54" spans="1:10" ht="42" customHeight="1">
      <c r="A54" s="556"/>
      <c r="B54" s="630"/>
      <c r="C54" s="1031"/>
      <c r="D54" s="1151"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1031"/>
      <c r="F54" s="1031"/>
      <c r="G54" s="1031"/>
      <c r="J54" s="659">
        <v>40</v>
      </c>
    </row>
    <row r="55" spans="1:10" ht="11.45" customHeight="1">
      <c r="D55" s="660"/>
      <c r="E55" s="661"/>
      <c r="F55" s="661"/>
      <c r="G55" s="661"/>
      <c r="J55" s="625">
        <v>11</v>
      </c>
    </row>
    <row r="56" spans="1:10" ht="28.5" customHeight="1">
      <c r="D56" s="662"/>
      <c r="E56" s="660"/>
      <c r="F56" s="663"/>
      <c r="G56" s="663"/>
      <c r="J56" s="625">
        <v>27</v>
      </c>
    </row>
    <row r="57" spans="1:10" ht="11.45" customHeight="1">
      <c r="D57" s="660"/>
      <c r="E57" s="660"/>
      <c r="F57" s="661"/>
      <c r="G57" s="661"/>
      <c r="J57" s="625">
        <v>11</v>
      </c>
    </row>
    <row r="58" spans="1:10" ht="40.9" customHeight="1">
      <c r="D58" s="664"/>
      <c r="E58" s="665"/>
      <c r="F58" s="665"/>
      <c r="G58" s="665"/>
      <c r="J58" s="625">
        <v>39</v>
      </c>
    </row>
    <row r="59" spans="1:10" ht="28.5" customHeight="1">
      <c r="D59" s="664"/>
      <c r="E59" s="665"/>
      <c r="F59" s="665"/>
      <c r="G59" s="665"/>
      <c r="J59" s="625">
        <v>27</v>
      </c>
    </row>
    <row r="60" spans="1:10" ht="11.25" hidden="1" customHeight="1">
      <c r="A60" s="624" t="s">
        <v>81</v>
      </c>
      <c r="B60" s="626">
        <v>0</v>
      </c>
      <c r="C60" s="625">
        <v>3</v>
      </c>
      <c r="D60" s="666">
        <v>6</v>
      </c>
      <c r="E60" s="625">
        <v>52</v>
      </c>
      <c r="F60" s="625">
        <v>48</v>
      </c>
      <c r="G60" s="625">
        <v>121</v>
      </c>
      <c r="H60" s="625">
        <v>8</v>
      </c>
      <c r="I60" s="625">
        <v>64</v>
      </c>
      <c r="J60" s="625">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1029" customWidth="1"/>
    <col min="2" max="2" width="8.7109375" style="1029" customWidth="1"/>
    <col min="3" max="3" width="18.140625" style="1029" customWidth="1"/>
    <col min="4" max="4" width="12.5703125" style="1029" customWidth="1"/>
  </cols>
  <sheetData>
    <row r="1" spans="1:5" ht="11.25" customHeight="1">
      <c r="A1" s="71" t="s">
        <v>2371</v>
      </c>
      <c r="B1" s="171" t="s">
        <v>2372</v>
      </c>
      <c r="C1" s="1472" t="s">
        <v>2373</v>
      </c>
      <c r="D1" s="1473"/>
      <c r="E1" s="71" t="s">
        <v>2374</v>
      </c>
    </row>
    <row r="2" spans="1:5" ht="11.25" customHeight="1">
      <c r="A2" s="509"/>
      <c r="B2" s="508" t="s">
        <v>27</v>
      </c>
      <c r="C2" s="71"/>
      <c r="D2" s="171"/>
      <c r="E2" s="71"/>
    </row>
    <row r="3" spans="1:5" ht="11.25" customHeight="1">
      <c r="A3" s="510"/>
      <c r="B3" s="511" t="s">
        <v>33</v>
      </c>
      <c r="C3" s="71"/>
      <c r="D3" s="171"/>
      <c r="E3" s="71"/>
    </row>
    <row r="4" spans="1:5" ht="11.25" customHeight="1">
      <c r="A4" s="512"/>
      <c r="B4" s="511" t="s">
        <v>1810</v>
      </c>
      <c r="C4" s="71"/>
      <c r="D4" s="171"/>
      <c r="E4" s="71"/>
    </row>
    <row r="5" spans="1:5" ht="11.25" customHeight="1">
      <c r="A5" s="513"/>
      <c r="B5" s="511" t="s">
        <v>1805</v>
      </c>
      <c r="C5" s="514" t="s">
        <v>2138</v>
      </c>
      <c r="D5" s="515" t="s">
        <v>2375</v>
      </c>
      <c r="E5" s="71"/>
    </row>
    <row r="6" spans="1:5" ht="11.25" customHeight="1">
      <c r="A6" s="516"/>
      <c r="B6" s="511" t="s">
        <v>1814</v>
      </c>
      <c r="C6" s="71"/>
      <c r="D6" s="171"/>
      <c r="E6" s="71"/>
    </row>
    <row r="7" spans="1:5" ht="11.25" customHeight="1">
      <c r="A7" s="517"/>
      <c r="B7" s="511" t="s">
        <v>1821</v>
      </c>
      <c r="C7" s="71"/>
      <c r="D7" s="171"/>
      <c r="E7" s="71"/>
    </row>
    <row r="8" spans="1:5" ht="11.25" customHeight="1">
      <c r="A8" s="514"/>
      <c r="B8" s="511" t="s">
        <v>1816</v>
      </c>
      <c r="C8" s="71"/>
      <c r="D8" s="171"/>
      <c r="E8" s="71"/>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35"/>
  <sheetViews>
    <sheetView showGridLines="0" workbookViewId="0"/>
  </sheetViews>
  <sheetFormatPr defaultColWidth="9.140625" defaultRowHeight="11.25" customHeight="1"/>
  <cols>
    <col min="3" max="3" width="20.7109375" style="1029" customWidth="1"/>
    <col min="4" max="4" width="25.140625" style="1029" customWidth="1"/>
  </cols>
  <sheetData>
    <row r="1" spans="1:9" ht="11.25" customHeight="1">
      <c r="A1" s="41" t="s">
        <v>2376</v>
      </c>
      <c r="B1" s="41" t="s">
        <v>2377</v>
      </c>
      <c r="C1" s="41" t="s">
        <v>2378</v>
      </c>
      <c r="D1" s="41" t="s">
        <v>2379</v>
      </c>
      <c r="E1" s="41" t="s">
        <v>2380</v>
      </c>
      <c r="F1" s="41" t="s">
        <v>2381</v>
      </c>
      <c r="G1" s="41" t="s">
        <v>2382</v>
      </c>
      <c r="H1" s="41" t="s">
        <v>2383</v>
      </c>
      <c r="I1" s="41" t="s">
        <v>2384</v>
      </c>
    </row>
    <row r="2" spans="1:9" ht="11.25" customHeight="1">
      <c r="A2" t="s">
        <v>2385</v>
      </c>
      <c r="B2" t="s">
        <v>16</v>
      </c>
      <c r="C2" t="s">
        <v>2386</v>
      </c>
      <c r="D2" t="s">
        <v>2387</v>
      </c>
      <c r="E2" t="s">
        <v>2388</v>
      </c>
      <c r="F2" t="s">
        <v>2389</v>
      </c>
      <c r="G2" t="s">
        <v>22</v>
      </c>
      <c r="H2" t="s">
        <v>22</v>
      </c>
      <c r="I2" t="s">
        <v>828</v>
      </c>
    </row>
    <row r="3" spans="1:9" ht="11.25" customHeight="1">
      <c r="A3" t="s">
        <v>2385</v>
      </c>
      <c r="B3" t="s">
        <v>16</v>
      </c>
      <c r="C3" t="s">
        <v>2390</v>
      </c>
      <c r="D3" t="s">
        <v>2391</v>
      </c>
      <c r="E3" t="s">
        <v>2392</v>
      </c>
      <c r="F3" t="s">
        <v>2393</v>
      </c>
      <c r="G3" t="s">
        <v>2394</v>
      </c>
      <c r="H3" t="s">
        <v>22</v>
      </c>
      <c r="I3" t="s">
        <v>828</v>
      </c>
    </row>
    <row r="4" spans="1:9" ht="11.25" customHeight="1">
      <c r="A4" t="s">
        <v>2385</v>
      </c>
      <c r="B4" t="s">
        <v>16</v>
      </c>
      <c r="C4" t="s">
        <v>2395</v>
      </c>
      <c r="D4" t="s">
        <v>2396</v>
      </c>
      <c r="E4" t="s">
        <v>2397</v>
      </c>
      <c r="F4" t="s">
        <v>50</v>
      </c>
      <c r="G4" t="s">
        <v>22</v>
      </c>
      <c r="H4" t="s">
        <v>22</v>
      </c>
      <c r="I4" t="s">
        <v>828</v>
      </c>
    </row>
    <row r="5" spans="1:9" ht="11.25" customHeight="1">
      <c r="A5" t="s">
        <v>2385</v>
      </c>
      <c r="B5" t="s">
        <v>16</v>
      </c>
      <c r="C5" t="s">
        <v>2398</v>
      </c>
      <c r="D5" t="s">
        <v>2399</v>
      </c>
      <c r="E5" t="s">
        <v>2400</v>
      </c>
      <c r="F5" t="s">
        <v>2401</v>
      </c>
      <c r="G5" t="s">
        <v>2402</v>
      </c>
      <c r="H5" t="s">
        <v>22</v>
      </c>
      <c r="I5" t="s">
        <v>828</v>
      </c>
    </row>
    <row r="6" spans="1:9" ht="11.25" customHeight="1">
      <c r="A6" t="s">
        <v>2385</v>
      </c>
      <c r="B6" t="s">
        <v>16</v>
      </c>
      <c r="C6" t="s">
        <v>2403</v>
      </c>
      <c r="D6" t="s">
        <v>2404</v>
      </c>
      <c r="E6" t="s">
        <v>2405</v>
      </c>
      <c r="F6" t="s">
        <v>2406</v>
      </c>
      <c r="G6" t="s">
        <v>22</v>
      </c>
      <c r="H6" t="s">
        <v>22</v>
      </c>
      <c r="I6" t="s">
        <v>828</v>
      </c>
    </row>
    <row r="7" spans="1:9" ht="11.25" customHeight="1">
      <c r="A7" t="s">
        <v>2385</v>
      </c>
      <c r="B7" t="s">
        <v>16</v>
      </c>
      <c r="C7" t="s">
        <v>2407</v>
      </c>
      <c r="D7" t="s">
        <v>2408</v>
      </c>
      <c r="E7" t="s">
        <v>2409</v>
      </c>
      <c r="F7" t="s">
        <v>50</v>
      </c>
      <c r="G7" t="s">
        <v>22</v>
      </c>
      <c r="H7" t="s">
        <v>22</v>
      </c>
      <c r="I7" t="s">
        <v>828</v>
      </c>
    </row>
    <row r="8" spans="1:9" ht="11.25" customHeight="1">
      <c r="A8" t="s">
        <v>2385</v>
      </c>
      <c r="B8" t="s">
        <v>16</v>
      </c>
      <c r="C8" t="s">
        <v>2410</v>
      </c>
      <c r="D8" t="s">
        <v>2411</v>
      </c>
      <c r="E8" t="s">
        <v>2412</v>
      </c>
      <c r="F8" t="s">
        <v>2406</v>
      </c>
      <c r="G8" t="s">
        <v>22</v>
      </c>
      <c r="H8" t="s">
        <v>22</v>
      </c>
      <c r="I8" t="s">
        <v>828</v>
      </c>
    </row>
    <row r="9" spans="1:9" ht="11.25" customHeight="1">
      <c r="A9" t="s">
        <v>2385</v>
      </c>
      <c r="B9" t="s">
        <v>16</v>
      </c>
      <c r="C9" t="s">
        <v>2413</v>
      </c>
      <c r="D9" t="s">
        <v>2414</v>
      </c>
      <c r="E9" t="s">
        <v>2415</v>
      </c>
      <c r="F9" t="s">
        <v>2416</v>
      </c>
      <c r="G9" t="s">
        <v>22</v>
      </c>
      <c r="H9" t="s">
        <v>22</v>
      </c>
      <c r="I9" t="s">
        <v>828</v>
      </c>
    </row>
    <row r="10" spans="1:9" ht="11.25" customHeight="1">
      <c r="A10" t="s">
        <v>2385</v>
      </c>
      <c r="B10" t="s">
        <v>16</v>
      </c>
      <c r="C10" t="s">
        <v>2417</v>
      </c>
      <c r="D10" t="s">
        <v>2418</v>
      </c>
      <c r="E10" t="s">
        <v>2419</v>
      </c>
      <c r="F10" t="s">
        <v>2420</v>
      </c>
      <c r="G10" t="s">
        <v>22</v>
      </c>
      <c r="H10" t="s">
        <v>22</v>
      </c>
      <c r="I10" t="s">
        <v>828</v>
      </c>
    </row>
    <row r="11" spans="1:9" ht="11.25" customHeight="1">
      <c r="A11" t="s">
        <v>2385</v>
      </c>
      <c r="B11" t="s">
        <v>16</v>
      </c>
      <c r="C11" t="s">
        <v>2421</v>
      </c>
      <c r="D11" t="s">
        <v>2422</v>
      </c>
      <c r="E11" t="s">
        <v>2423</v>
      </c>
      <c r="F11" t="s">
        <v>2393</v>
      </c>
      <c r="G11" t="s">
        <v>22</v>
      </c>
      <c r="H11" t="s">
        <v>22</v>
      </c>
      <c r="I11" t="s">
        <v>828</v>
      </c>
    </row>
    <row r="12" spans="1:9" ht="11.25" customHeight="1">
      <c r="A12" t="s">
        <v>2385</v>
      </c>
      <c r="B12" t="s">
        <v>16</v>
      </c>
      <c r="C12" t="s">
        <v>2424</v>
      </c>
      <c r="D12" t="s">
        <v>2425</v>
      </c>
      <c r="E12" t="s">
        <v>2426</v>
      </c>
      <c r="F12" t="s">
        <v>2427</v>
      </c>
      <c r="G12" t="s">
        <v>22</v>
      </c>
      <c r="H12" t="s">
        <v>22</v>
      </c>
      <c r="I12" t="s">
        <v>828</v>
      </c>
    </row>
    <row r="13" spans="1:9" ht="11.25" customHeight="1">
      <c r="A13" t="s">
        <v>2385</v>
      </c>
      <c r="B13" t="s">
        <v>16</v>
      </c>
      <c r="C13" t="s">
        <v>2428</v>
      </c>
      <c r="D13" t="s">
        <v>2429</v>
      </c>
      <c r="E13" t="s">
        <v>2430</v>
      </c>
      <c r="F13" t="s">
        <v>2420</v>
      </c>
      <c r="G13" t="s">
        <v>22</v>
      </c>
      <c r="H13" t="s">
        <v>22</v>
      </c>
      <c r="I13" t="s">
        <v>828</v>
      </c>
    </row>
    <row r="14" spans="1:9" ht="11.25" customHeight="1">
      <c r="A14" t="s">
        <v>2385</v>
      </c>
      <c r="B14" t="s">
        <v>16</v>
      </c>
      <c r="C14" t="s">
        <v>2431</v>
      </c>
      <c r="D14" t="s">
        <v>2432</v>
      </c>
      <c r="E14" t="s">
        <v>2433</v>
      </c>
      <c r="F14" t="s">
        <v>2434</v>
      </c>
      <c r="G14" t="s">
        <v>22</v>
      </c>
      <c r="H14" t="s">
        <v>22</v>
      </c>
      <c r="I14" t="s">
        <v>828</v>
      </c>
    </row>
    <row r="15" spans="1:9" ht="11.25" customHeight="1">
      <c r="A15" t="s">
        <v>2385</v>
      </c>
      <c r="B15" t="s">
        <v>16</v>
      </c>
      <c r="C15" t="s">
        <v>2435</v>
      </c>
      <c r="D15" t="s">
        <v>2436</v>
      </c>
      <c r="E15" t="s">
        <v>2437</v>
      </c>
      <c r="F15" t="s">
        <v>2438</v>
      </c>
      <c r="G15" t="s">
        <v>22</v>
      </c>
      <c r="H15" t="s">
        <v>22</v>
      </c>
      <c r="I15" t="s">
        <v>828</v>
      </c>
    </row>
    <row r="16" spans="1:9" ht="11.25" customHeight="1">
      <c r="A16" t="s">
        <v>2385</v>
      </c>
      <c r="B16" t="s">
        <v>16</v>
      </c>
      <c r="C16" t="s">
        <v>2439</v>
      </c>
      <c r="D16" t="s">
        <v>2440</v>
      </c>
      <c r="E16" t="s">
        <v>2441</v>
      </c>
      <c r="F16" t="s">
        <v>2442</v>
      </c>
      <c r="G16" t="s">
        <v>22</v>
      </c>
      <c r="H16" t="s">
        <v>22</v>
      </c>
      <c r="I16" t="s">
        <v>828</v>
      </c>
    </row>
    <row r="17" spans="1:9" ht="11.25" customHeight="1">
      <c r="A17" t="s">
        <v>2385</v>
      </c>
      <c r="B17" t="s">
        <v>16</v>
      </c>
      <c r="C17" t="s">
        <v>2443</v>
      </c>
      <c r="D17" t="s">
        <v>2444</v>
      </c>
      <c r="E17" t="s">
        <v>2445</v>
      </c>
      <c r="F17" t="s">
        <v>2420</v>
      </c>
      <c r="G17" t="s">
        <v>22</v>
      </c>
      <c r="H17" t="s">
        <v>22</v>
      </c>
      <c r="I17" t="s">
        <v>828</v>
      </c>
    </row>
    <row r="18" spans="1:9" ht="11.25" customHeight="1">
      <c r="A18" t="s">
        <v>2385</v>
      </c>
      <c r="B18" t="s">
        <v>16</v>
      </c>
      <c r="C18" t="s">
        <v>2446</v>
      </c>
      <c r="D18" t="s">
        <v>2447</v>
      </c>
      <c r="E18" t="s">
        <v>2448</v>
      </c>
      <c r="F18" t="s">
        <v>2449</v>
      </c>
      <c r="G18" t="s">
        <v>22</v>
      </c>
      <c r="H18" t="s">
        <v>22</v>
      </c>
      <c r="I18" t="s">
        <v>828</v>
      </c>
    </row>
    <row r="19" spans="1:9" ht="11.25" customHeight="1">
      <c r="A19" t="s">
        <v>2385</v>
      </c>
      <c r="B19" t="s">
        <v>16</v>
      </c>
      <c r="C19" t="s">
        <v>2450</v>
      </c>
      <c r="D19" t="s">
        <v>2451</v>
      </c>
      <c r="E19" t="s">
        <v>2452</v>
      </c>
      <c r="F19" t="s">
        <v>2453</v>
      </c>
      <c r="G19" t="s">
        <v>22</v>
      </c>
      <c r="H19" t="s">
        <v>22</v>
      </c>
      <c r="I19" t="s">
        <v>828</v>
      </c>
    </row>
    <row r="20" spans="1:9" ht="11.25" customHeight="1">
      <c r="A20" t="s">
        <v>2385</v>
      </c>
      <c r="B20" t="s">
        <v>16</v>
      </c>
      <c r="C20" t="s">
        <v>2454</v>
      </c>
      <c r="D20" t="s">
        <v>2455</v>
      </c>
      <c r="E20" t="s">
        <v>2456</v>
      </c>
      <c r="F20" t="s">
        <v>2449</v>
      </c>
      <c r="G20" t="s">
        <v>22</v>
      </c>
      <c r="H20" t="s">
        <v>22</v>
      </c>
      <c r="I20" t="s">
        <v>828</v>
      </c>
    </row>
    <row r="21" spans="1:9" ht="11.25" customHeight="1">
      <c r="A21" t="s">
        <v>2385</v>
      </c>
      <c r="B21" t="s">
        <v>16</v>
      </c>
      <c r="C21" t="s">
        <v>2457</v>
      </c>
      <c r="D21" t="s">
        <v>2458</v>
      </c>
      <c r="E21" t="s">
        <v>2459</v>
      </c>
      <c r="F21" t="s">
        <v>2416</v>
      </c>
      <c r="G21" t="s">
        <v>22</v>
      </c>
      <c r="H21" t="s">
        <v>22</v>
      </c>
      <c r="I21" t="s">
        <v>828</v>
      </c>
    </row>
    <row r="22" spans="1:9" ht="11.25" customHeight="1">
      <c r="A22" t="s">
        <v>2385</v>
      </c>
      <c r="B22" t="s">
        <v>16</v>
      </c>
      <c r="C22" t="s">
        <v>2460</v>
      </c>
      <c r="D22" t="s">
        <v>2461</v>
      </c>
      <c r="E22" t="s">
        <v>2462</v>
      </c>
      <c r="F22" t="s">
        <v>2463</v>
      </c>
      <c r="G22" t="s">
        <v>22</v>
      </c>
      <c r="H22" t="s">
        <v>22</v>
      </c>
      <c r="I22" t="s">
        <v>828</v>
      </c>
    </row>
    <row r="23" spans="1:9" ht="11.25" customHeight="1">
      <c r="A23" t="s">
        <v>2385</v>
      </c>
      <c r="B23" t="s">
        <v>16</v>
      </c>
      <c r="C23" t="s">
        <v>2464</v>
      </c>
      <c r="D23" t="s">
        <v>2465</v>
      </c>
      <c r="E23" t="s">
        <v>2466</v>
      </c>
      <c r="F23" t="s">
        <v>50</v>
      </c>
      <c r="G23" t="s">
        <v>2467</v>
      </c>
      <c r="H23" t="s">
        <v>22</v>
      </c>
      <c r="I23" t="s">
        <v>828</v>
      </c>
    </row>
    <row r="24" spans="1:9" ht="11.25" customHeight="1">
      <c r="A24" t="s">
        <v>2385</v>
      </c>
      <c r="B24" t="s">
        <v>16</v>
      </c>
      <c r="C24" t="s">
        <v>2468</v>
      </c>
      <c r="D24" t="s">
        <v>2469</v>
      </c>
      <c r="E24" t="s">
        <v>2470</v>
      </c>
      <c r="F24" t="s">
        <v>2449</v>
      </c>
      <c r="G24" t="s">
        <v>22</v>
      </c>
      <c r="H24" t="s">
        <v>22</v>
      </c>
      <c r="I24" t="s">
        <v>828</v>
      </c>
    </row>
    <row r="25" spans="1:9" ht="11.25" customHeight="1">
      <c r="A25" t="s">
        <v>2385</v>
      </c>
      <c r="B25" t="s">
        <v>16</v>
      </c>
      <c r="C25" t="s">
        <v>2471</v>
      </c>
      <c r="D25" t="s">
        <v>2472</v>
      </c>
      <c r="E25" t="s">
        <v>2473</v>
      </c>
      <c r="F25" t="s">
        <v>2406</v>
      </c>
      <c r="G25" t="s">
        <v>22</v>
      </c>
      <c r="H25" t="s">
        <v>22</v>
      </c>
      <c r="I25" t="s">
        <v>828</v>
      </c>
    </row>
    <row r="26" spans="1:9" ht="11.25" customHeight="1">
      <c r="A26" t="s">
        <v>2385</v>
      </c>
      <c r="B26" t="s">
        <v>16</v>
      </c>
      <c r="C26" t="s">
        <v>2474</v>
      </c>
      <c r="D26" t="s">
        <v>2475</v>
      </c>
      <c r="E26" t="s">
        <v>2476</v>
      </c>
      <c r="F26" t="s">
        <v>2406</v>
      </c>
      <c r="G26" t="s">
        <v>2477</v>
      </c>
      <c r="H26" t="s">
        <v>22</v>
      </c>
      <c r="I26" t="s">
        <v>828</v>
      </c>
    </row>
    <row r="27" spans="1:9" ht="11.25" customHeight="1">
      <c r="A27" t="s">
        <v>2385</v>
      </c>
      <c r="B27" t="s">
        <v>16</v>
      </c>
      <c r="C27" t="s">
        <v>2478</v>
      </c>
      <c r="D27" t="s">
        <v>2479</v>
      </c>
      <c r="E27" t="s">
        <v>2480</v>
      </c>
      <c r="F27" t="s">
        <v>2416</v>
      </c>
      <c r="G27" t="s">
        <v>22</v>
      </c>
      <c r="H27" t="s">
        <v>22</v>
      </c>
      <c r="I27" t="s">
        <v>828</v>
      </c>
    </row>
    <row r="28" spans="1:9" ht="11.25" customHeight="1">
      <c r="A28" t="s">
        <v>2385</v>
      </c>
      <c r="B28" t="s">
        <v>16</v>
      </c>
      <c r="C28" t="s">
        <v>2481</v>
      </c>
      <c r="D28" t="s">
        <v>2482</v>
      </c>
      <c r="E28" t="s">
        <v>2483</v>
      </c>
      <c r="F28" t="s">
        <v>2484</v>
      </c>
      <c r="G28" t="s">
        <v>2485</v>
      </c>
      <c r="H28" t="s">
        <v>22</v>
      </c>
      <c r="I28" t="s">
        <v>828</v>
      </c>
    </row>
    <row r="29" spans="1:9" ht="11.25" customHeight="1">
      <c r="A29" t="s">
        <v>2385</v>
      </c>
      <c r="B29" t="s">
        <v>16</v>
      </c>
      <c r="C29" t="s">
        <v>2486</v>
      </c>
      <c r="D29" t="s">
        <v>2487</v>
      </c>
      <c r="E29" t="s">
        <v>2488</v>
      </c>
      <c r="F29" t="s">
        <v>2484</v>
      </c>
      <c r="G29" t="s">
        <v>22</v>
      </c>
      <c r="H29" t="s">
        <v>22</v>
      </c>
      <c r="I29" t="s">
        <v>828</v>
      </c>
    </row>
    <row r="30" spans="1:9" ht="11.25" customHeight="1">
      <c r="A30" t="s">
        <v>2385</v>
      </c>
      <c r="B30" t="s">
        <v>16</v>
      </c>
      <c r="C30" t="s">
        <v>2489</v>
      </c>
      <c r="D30" t="s">
        <v>2490</v>
      </c>
      <c r="E30" t="s">
        <v>2491</v>
      </c>
      <c r="F30" t="s">
        <v>50</v>
      </c>
      <c r="G30" t="s">
        <v>22</v>
      </c>
      <c r="H30" t="s">
        <v>22</v>
      </c>
      <c r="I30" t="s">
        <v>828</v>
      </c>
    </row>
    <row r="31" spans="1:9" ht="11.25" customHeight="1">
      <c r="A31" t="s">
        <v>2385</v>
      </c>
      <c r="B31" t="s">
        <v>16</v>
      </c>
      <c r="C31" t="s">
        <v>2492</v>
      </c>
      <c r="D31" t="s">
        <v>2493</v>
      </c>
      <c r="E31" t="s">
        <v>2494</v>
      </c>
      <c r="F31" t="s">
        <v>2495</v>
      </c>
      <c r="G31" t="s">
        <v>22</v>
      </c>
      <c r="H31" t="s">
        <v>22</v>
      </c>
      <c r="I31" t="s">
        <v>828</v>
      </c>
    </row>
    <row r="32" spans="1:9" ht="11.25" customHeight="1">
      <c r="A32" t="s">
        <v>2385</v>
      </c>
      <c r="B32" t="s">
        <v>16</v>
      </c>
      <c r="C32" t="s">
        <v>2496</v>
      </c>
      <c r="D32" t="s">
        <v>2497</v>
      </c>
      <c r="E32" t="s">
        <v>2498</v>
      </c>
      <c r="F32" t="s">
        <v>2427</v>
      </c>
      <c r="G32" t="s">
        <v>22</v>
      </c>
      <c r="H32" t="s">
        <v>22</v>
      </c>
      <c r="I32" t="s">
        <v>828</v>
      </c>
    </row>
    <row r="33" spans="1:9" ht="11.25" customHeight="1">
      <c r="A33" t="s">
        <v>2385</v>
      </c>
      <c r="B33" t="s">
        <v>16</v>
      </c>
      <c r="C33" t="s">
        <v>2499</v>
      </c>
      <c r="D33" t="s">
        <v>2500</v>
      </c>
      <c r="E33" t="s">
        <v>2501</v>
      </c>
      <c r="F33" t="s">
        <v>2453</v>
      </c>
      <c r="G33" t="s">
        <v>22</v>
      </c>
      <c r="H33" t="s">
        <v>22</v>
      </c>
      <c r="I33" t="s">
        <v>828</v>
      </c>
    </row>
    <row r="34" spans="1:9" ht="11.25" customHeight="1">
      <c r="A34" t="s">
        <v>2385</v>
      </c>
      <c r="B34" t="s">
        <v>16</v>
      </c>
      <c r="C34" t="s">
        <v>2502</v>
      </c>
      <c r="D34" t="s">
        <v>2503</v>
      </c>
      <c r="E34" t="s">
        <v>2504</v>
      </c>
      <c r="F34" t="s">
        <v>50</v>
      </c>
      <c r="G34" t="s">
        <v>22</v>
      </c>
      <c r="H34" t="s">
        <v>22</v>
      </c>
      <c r="I34" t="s">
        <v>828</v>
      </c>
    </row>
    <row r="35" spans="1:9" ht="11.25" customHeight="1">
      <c r="A35" t="s">
        <v>2385</v>
      </c>
      <c r="B35" t="s">
        <v>16</v>
      </c>
      <c r="C35" t="s">
        <v>2505</v>
      </c>
      <c r="D35" t="s">
        <v>2506</v>
      </c>
      <c r="E35" t="s">
        <v>2507</v>
      </c>
      <c r="F35" t="s">
        <v>2508</v>
      </c>
      <c r="G35" t="s">
        <v>22</v>
      </c>
      <c r="H35" t="s">
        <v>22</v>
      </c>
      <c r="I35" t="s">
        <v>828</v>
      </c>
    </row>
    <row r="36" spans="1:9" ht="11.25" customHeight="1">
      <c r="A36" t="s">
        <v>2385</v>
      </c>
      <c r="B36" t="s">
        <v>16</v>
      </c>
      <c r="C36" t="s">
        <v>2509</v>
      </c>
      <c r="D36" t="s">
        <v>2510</v>
      </c>
      <c r="E36" t="s">
        <v>2511</v>
      </c>
      <c r="F36" t="s">
        <v>2512</v>
      </c>
      <c r="G36" t="s">
        <v>22</v>
      </c>
      <c r="H36" t="s">
        <v>22</v>
      </c>
      <c r="I36" t="s">
        <v>828</v>
      </c>
    </row>
    <row r="37" spans="1:9" ht="11.25" customHeight="1">
      <c r="A37" t="s">
        <v>2385</v>
      </c>
      <c r="B37" t="s">
        <v>16</v>
      </c>
      <c r="C37" t="s">
        <v>2513</v>
      </c>
      <c r="D37" t="s">
        <v>2514</v>
      </c>
      <c r="E37" t="s">
        <v>2515</v>
      </c>
      <c r="F37" t="s">
        <v>50</v>
      </c>
      <c r="G37" t="s">
        <v>22</v>
      </c>
      <c r="H37" t="s">
        <v>22</v>
      </c>
      <c r="I37" t="s">
        <v>828</v>
      </c>
    </row>
    <row r="38" spans="1:9" ht="11.25" customHeight="1">
      <c r="A38" t="s">
        <v>2385</v>
      </c>
      <c r="B38" t="s">
        <v>16</v>
      </c>
      <c r="C38" t="s">
        <v>2516</v>
      </c>
      <c r="D38" t="s">
        <v>2517</v>
      </c>
      <c r="E38" t="s">
        <v>2518</v>
      </c>
      <c r="F38" t="s">
        <v>2427</v>
      </c>
      <c r="G38" t="s">
        <v>22</v>
      </c>
      <c r="H38" t="s">
        <v>22</v>
      </c>
      <c r="I38" t="s">
        <v>828</v>
      </c>
    </row>
    <row r="39" spans="1:9" ht="11.25" customHeight="1">
      <c r="A39" t="s">
        <v>2385</v>
      </c>
      <c r="B39" t="s">
        <v>16</v>
      </c>
      <c r="C39" t="s">
        <v>2519</v>
      </c>
      <c r="D39" t="s">
        <v>2520</v>
      </c>
      <c r="E39" t="s">
        <v>2521</v>
      </c>
      <c r="F39" t="s">
        <v>2522</v>
      </c>
      <c r="G39" t="s">
        <v>2523</v>
      </c>
      <c r="H39" t="s">
        <v>22</v>
      </c>
      <c r="I39" t="s">
        <v>828</v>
      </c>
    </row>
    <row r="40" spans="1:9" ht="11.25" customHeight="1">
      <c r="A40" t="s">
        <v>2385</v>
      </c>
      <c r="B40" t="s">
        <v>16</v>
      </c>
      <c r="C40" t="s">
        <v>2524</v>
      </c>
      <c r="D40" t="s">
        <v>2525</v>
      </c>
      <c r="E40" t="s">
        <v>2526</v>
      </c>
      <c r="F40" t="s">
        <v>2393</v>
      </c>
      <c r="G40" t="s">
        <v>22</v>
      </c>
      <c r="H40" t="s">
        <v>22</v>
      </c>
      <c r="I40" t="s">
        <v>828</v>
      </c>
    </row>
    <row r="41" spans="1:9" ht="11.25" customHeight="1">
      <c r="A41" t="s">
        <v>2385</v>
      </c>
      <c r="B41" t="s">
        <v>16</v>
      </c>
      <c r="C41" t="s">
        <v>2527</v>
      </c>
      <c r="D41" t="s">
        <v>2528</v>
      </c>
      <c r="E41" t="s">
        <v>2526</v>
      </c>
      <c r="F41" t="s">
        <v>2529</v>
      </c>
      <c r="G41" t="s">
        <v>22</v>
      </c>
      <c r="H41" t="s">
        <v>22</v>
      </c>
      <c r="I41" t="s">
        <v>828</v>
      </c>
    </row>
    <row r="42" spans="1:9" ht="11.25" customHeight="1">
      <c r="A42" t="s">
        <v>2385</v>
      </c>
      <c r="B42" t="s">
        <v>16</v>
      </c>
      <c r="C42" t="s">
        <v>2530</v>
      </c>
      <c r="D42" t="s">
        <v>2531</v>
      </c>
      <c r="E42" t="s">
        <v>2526</v>
      </c>
      <c r="F42" t="s">
        <v>2532</v>
      </c>
      <c r="G42" t="s">
        <v>22</v>
      </c>
      <c r="H42" t="s">
        <v>22</v>
      </c>
      <c r="I42" t="s">
        <v>828</v>
      </c>
    </row>
    <row r="43" spans="1:9" ht="11.25" customHeight="1">
      <c r="A43" t="s">
        <v>2385</v>
      </c>
      <c r="B43" t="s">
        <v>16</v>
      </c>
      <c r="C43" t="s">
        <v>2533</v>
      </c>
      <c r="D43" t="s">
        <v>2534</v>
      </c>
      <c r="E43" t="s">
        <v>2526</v>
      </c>
      <c r="F43" t="s">
        <v>2535</v>
      </c>
      <c r="G43" t="s">
        <v>22</v>
      </c>
      <c r="H43" t="s">
        <v>22</v>
      </c>
      <c r="I43" t="s">
        <v>828</v>
      </c>
    </row>
    <row r="44" spans="1:9" ht="11.25" customHeight="1">
      <c r="A44" t="s">
        <v>2385</v>
      </c>
      <c r="B44" t="s">
        <v>16</v>
      </c>
      <c r="C44" t="s">
        <v>2536</v>
      </c>
      <c r="D44" t="s">
        <v>2537</v>
      </c>
      <c r="E44" t="s">
        <v>2526</v>
      </c>
      <c r="F44" t="s">
        <v>2538</v>
      </c>
      <c r="G44" t="s">
        <v>22</v>
      </c>
      <c r="H44" t="s">
        <v>22</v>
      </c>
      <c r="I44" t="s">
        <v>828</v>
      </c>
    </row>
    <row r="45" spans="1:9" ht="11.25" customHeight="1">
      <c r="A45" t="s">
        <v>2385</v>
      </c>
      <c r="B45" t="s">
        <v>16</v>
      </c>
      <c r="C45" t="s">
        <v>2539</v>
      </c>
      <c r="D45" t="s">
        <v>2540</v>
      </c>
      <c r="E45" t="s">
        <v>2526</v>
      </c>
      <c r="F45" t="s">
        <v>2541</v>
      </c>
      <c r="G45" t="s">
        <v>22</v>
      </c>
      <c r="H45" t="s">
        <v>22</v>
      </c>
      <c r="I45" t="s">
        <v>828</v>
      </c>
    </row>
    <row r="46" spans="1:9" ht="11.25" customHeight="1">
      <c r="A46" t="s">
        <v>2385</v>
      </c>
      <c r="B46" t="s">
        <v>16</v>
      </c>
      <c r="C46" t="s">
        <v>2542</v>
      </c>
      <c r="D46" t="s">
        <v>2543</v>
      </c>
      <c r="E46" t="s">
        <v>2526</v>
      </c>
      <c r="F46" t="s">
        <v>2544</v>
      </c>
      <c r="G46" t="s">
        <v>22</v>
      </c>
      <c r="H46" t="s">
        <v>22</v>
      </c>
      <c r="I46" t="s">
        <v>828</v>
      </c>
    </row>
    <row r="47" spans="1:9" ht="11.25" customHeight="1">
      <c r="A47" t="s">
        <v>2385</v>
      </c>
      <c r="B47" t="s">
        <v>16</v>
      </c>
      <c r="C47" t="s">
        <v>2545</v>
      </c>
      <c r="D47" t="s">
        <v>2546</v>
      </c>
      <c r="E47" t="s">
        <v>2526</v>
      </c>
      <c r="F47" t="s">
        <v>2547</v>
      </c>
      <c r="G47" t="s">
        <v>22</v>
      </c>
      <c r="H47" t="s">
        <v>22</v>
      </c>
      <c r="I47" t="s">
        <v>828</v>
      </c>
    </row>
    <row r="48" spans="1:9" ht="11.25" customHeight="1">
      <c r="A48" t="s">
        <v>2385</v>
      </c>
      <c r="B48" t="s">
        <v>16</v>
      </c>
      <c r="C48" t="s">
        <v>2548</v>
      </c>
      <c r="D48" t="s">
        <v>2549</v>
      </c>
      <c r="E48" t="s">
        <v>2550</v>
      </c>
      <c r="F48" t="s">
        <v>2551</v>
      </c>
      <c r="G48" t="s">
        <v>22</v>
      </c>
      <c r="H48" t="s">
        <v>22</v>
      </c>
      <c r="I48" t="s">
        <v>828</v>
      </c>
    </row>
    <row r="49" spans="1:9" ht="11.25" customHeight="1">
      <c r="A49" t="s">
        <v>2385</v>
      </c>
      <c r="B49" t="s">
        <v>16</v>
      </c>
      <c r="C49" t="s">
        <v>2552</v>
      </c>
      <c r="D49" t="s">
        <v>2553</v>
      </c>
      <c r="E49" t="s">
        <v>2554</v>
      </c>
      <c r="F49" t="s">
        <v>2393</v>
      </c>
      <c r="G49" t="s">
        <v>22</v>
      </c>
      <c r="H49" t="s">
        <v>22</v>
      </c>
      <c r="I49" t="s">
        <v>828</v>
      </c>
    </row>
    <row r="50" spans="1:9" ht="11.25" customHeight="1">
      <c r="A50" t="s">
        <v>2385</v>
      </c>
      <c r="B50" t="s">
        <v>16</v>
      </c>
      <c r="C50" t="s">
        <v>2555</v>
      </c>
      <c r="D50" t="s">
        <v>2556</v>
      </c>
      <c r="E50" t="s">
        <v>2557</v>
      </c>
      <c r="F50" t="s">
        <v>50</v>
      </c>
      <c r="G50" t="s">
        <v>22</v>
      </c>
      <c r="H50" t="s">
        <v>22</v>
      </c>
      <c r="I50" t="s">
        <v>828</v>
      </c>
    </row>
    <row r="51" spans="1:9" ht="11.25" customHeight="1">
      <c r="A51" t="s">
        <v>2385</v>
      </c>
      <c r="B51" t="s">
        <v>16</v>
      </c>
      <c r="C51" t="s">
        <v>2558</v>
      </c>
      <c r="D51" t="s">
        <v>2559</v>
      </c>
      <c r="E51" t="s">
        <v>2560</v>
      </c>
      <c r="F51" t="s">
        <v>2401</v>
      </c>
      <c r="G51" t="s">
        <v>22</v>
      </c>
      <c r="H51" t="s">
        <v>22</v>
      </c>
      <c r="I51" t="s">
        <v>828</v>
      </c>
    </row>
    <row r="52" spans="1:9" ht="11.25" customHeight="1">
      <c r="A52" t="s">
        <v>2385</v>
      </c>
      <c r="B52" t="s">
        <v>16</v>
      </c>
      <c r="C52" t="s">
        <v>2561</v>
      </c>
      <c r="D52" t="s">
        <v>2562</v>
      </c>
      <c r="E52" t="s">
        <v>2563</v>
      </c>
      <c r="F52" t="s">
        <v>2564</v>
      </c>
      <c r="G52" t="s">
        <v>22</v>
      </c>
      <c r="H52" t="s">
        <v>22</v>
      </c>
      <c r="I52" t="s">
        <v>828</v>
      </c>
    </row>
    <row r="53" spans="1:9" ht="11.25" customHeight="1">
      <c r="A53" t="s">
        <v>2385</v>
      </c>
      <c r="B53" t="s">
        <v>16</v>
      </c>
      <c r="C53" t="s">
        <v>2565</v>
      </c>
      <c r="D53" t="s">
        <v>2566</v>
      </c>
      <c r="E53" t="s">
        <v>2567</v>
      </c>
      <c r="F53" t="s">
        <v>2568</v>
      </c>
      <c r="G53" t="s">
        <v>22</v>
      </c>
      <c r="H53" t="s">
        <v>22</v>
      </c>
      <c r="I53" t="s">
        <v>828</v>
      </c>
    </row>
    <row r="54" spans="1:9" ht="11.25" customHeight="1">
      <c r="A54" t="s">
        <v>2385</v>
      </c>
      <c r="B54" t="s">
        <v>16</v>
      </c>
      <c r="C54" t="s">
        <v>2569</v>
      </c>
      <c r="D54" t="s">
        <v>2570</v>
      </c>
      <c r="E54" t="s">
        <v>2571</v>
      </c>
      <c r="F54" t="s">
        <v>2572</v>
      </c>
      <c r="G54" t="s">
        <v>22</v>
      </c>
      <c r="H54" t="s">
        <v>22</v>
      </c>
      <c r="I54" t="s">
        <v>828</v>
      </c>
    </row>
    <row r="55" spans="1:9" ht="11.25" customHeight="1">
      <c r="A55" t="s">
        <v>2385</v>
      </c>
      <c r="B55" t="s">
        <v>16</v>
      </c>
      <c r="C55" t="s">
        <v>2573</v>
      </c>
      <c r="D55" t="s">
        <v>2574</v>
      </c>
      <c r="E55" t="s">
        <v>2575</v>
      </c>
      <c r="F55" t="s">
        <v>2576</v>
      </c>
      <c r="G55" t="s">
        <v>22</v>
      </c>
      <c r="H55" t="s">
        <v>22</v>
      </c>
      <c r="I55" t="s">
        <v>828</v>
      </c>
    </row>
    <row r="56" spans="1:9" ht="11.25" customHeight="1">
      <c r="A56" t="s">
        <v>2385</v>
      </c>
      <c r="B56" t="s">
        <v>16</v>
      </c>
      <c r="C56" t="s">
        <v>2577</v>
      </c>
      <c r="D56" t="s">
        <v>2578</v>
      </c>
      <c r="E56" t="s">
        <v>2579</v>
      </c>
      <c r="F56" t="s">
        <v>2401</v>
      </c>
      <c r="G56" t="s">
        <v>22</v>
      </c>
      <c r="H56" t="s">
        <v>22</v>
      </c>
      <c r="I56" t="s">
        <v>828</v>
      </c>
    </row>
    <row r="57" spans="1:9" ht="11.25" customHeight="1">
      <c r="A57" t="s">
        <v>2385</v>
      </c>
      <c r="B57" t="s">
        <v>16</v>
      </c>
      <c r="C57" t="s">
        <v>2580</v>
      </c>
      <c r="D57" t="s">
        <v>2581</v>
      </c>
      <c r="E57" t="s">
        <v>2582</v>
      </c>
      <c r="F57" t="s">
        <v>2576</v>
      </c>
      <c r="G57" t="s">
        <v>22</v>
      </c>
      <c r="H57" t="s">
        <v>22</v>
      </c>
      <c r="I57" t="s">
        <v>828</v>
      </c>
    </row>
    <row r="58" spans="1:9" ht="11.25" customHeight="1">
      <c r="A58" t="s">
        <v>2385</v>
      </c>
      <c r="B58" t="s">
        <v>16</v>
      </c>
      <c r="C58" t="s">
        <v>2583</v>
      </c>
      <c r="D58" t="s">
        <v>2584</v>
      </c>
      <c r="E58" t="s">
        <v>2585</v>
      </c>
      <c r="F58" t="s">
        <v>2586</v>
      </c>
      <c r="G58" t="s">
        <v>22</v>
      </c>
      <c r="H58" t="s">
        <v>22</v>
      </c>
      <c r="I58" t="s">
        <v>828</v>
      </c>
    </row>
    <row r="59" spans="1:9" ht="11.25" customHeight="1">
      <c r="A59" t="s">
        <v>2385</v>
      </c>
      <c r="B59" t="s">
        <v>16</v>
      </c>
      <c r="C59" t="s">
        <v>2587</v>
      </c>
      <c r="D59" t="s">
        <v>2588</v>
      </c>
      <c r="E59" t="s">
        <v>2589</v>
      </c>
      <c r="F59" t="s">
        <v>2463</v>
      </c>
      <c r="G59" t="s">
        <v>2590</v>
      </c>
      <c r="H59" t="s">
        <v>22</v>
      </c>
      <c r="I59" t="s">
        <v>828</v>
      </c>
    </row>
    <row r="60" spans="1:9" ht="11.25" customHeight="1">
      <c r="A60" t="s">
        <v>2385</v>
      </c>
      <c r="B60" t="s">
        <v>16</v>
      </c>
      <c r="C60" t="s">
        <v>2591</v>
      </c>
      <c r="D60" t="s">
        <v>2592</v>
      </c>
      <c r="E60" t="s">
        <v>2593</v>
      </c>
      <c r="F60" t="s">
        <v>50</v>
      </c>
      <c r="G60" t="s">
        <v>22</v>
      </c>
      <c r="H60" t="s">
        <v>22</v>
      </c>
      <c r="I60" t="s">
        <v>828</v>
      </c>
    </row>
    <row r="61" spans="1:9" ht="11.25" customHeight="1">
      <c r="A61" t="s">
        <v>2385</v>
      </c>
      <c r="B61" t="s">
        <v>16</v>
      </c>
      <c r="C61" t="s">
        <v>2594</v>
      </c>
      <c r="D61" t="s">
        <v>2595</v>
      </c>
      <c r="E61" t="s">
        <v>2596</v>
      </c>
      <c r="F61" t="s">
        <v>2597</v>
      </c>
      <c r="G61" t="s">
        <v>2598</v>
      </c>
      <c r="H61" t="s">
        <v>22</v>
      </c>
      <c r="I61" t="s">
        <v>828</v>
      </c>
    </row>
    <row r="62" spans="1:9" ht="11.25" customHeight="1">
      <c r="A62" t="s">
        <v>2385</v>
      </c>
      <c r="B62" t="s">
        <v>16</v>
      </c>
      <c r="C62" t="s">
        <v>2599</v>
      </c>
      <c r="D62" t="s">
        <v>2600</v>
      </c>
      <c r="E62" t="s">
        <v>2601</v>
      </c>
      <c r="F62" t="s">
        <v>2427</v>
      </c>
      <c r="G62" t="s">
        <v>2602</v>
      </c>
      <c r="H62" t="s">
        <v>22</v>
      </c>
      <c r="I62" t="s">
        <v>828</v>
      </c>
    </row>
    <row r="63" spans="1:9" ht="11.25" customHeight="1">
      <c r="A63" t="s">
        <v>2385</v>
      </c>
      <c r="B63" t="s">
        <v>16</v>
      </c>
      <c r="C63" t="s">
        <v>2603</v>
      </c>
      <c r="D63" t="s">
        <v>2604</v>
      </c>
      <c r="E63" t="s">
        <v>2605</v>
      </c>
      <c r="F63" t="s">
        <v>2586</v>
      </c>
      <c r="G63" t="s">
        <v>22</v>
      </c>
      <c r="H63" t="s">
        <v>22</v>
      </c>
      <c r="I63" t="s">
        <v>828</v>
      </c>
    </row>
    <row r="64" spans="1:9" ht="11.25" customHeight="1">
      <c r="A64" t="s">
        <v>2385</v>
      </c>
      <c r="B64" t="s">
        <v>16</v>
      </c>
      <c r="C64" t="s">
        <v>2606</v>
      </c>
      <c r="D64" t="s">
        <v>2607</v>
      </c>
      <c r="E64" t="s">
        <v>2608</v>
      </c>
      <c r="F64" t="s">
        <v>2406</v>
      </c>
      <c r="G64" t="s">
        <v>2609</v>
      </c>
      <c r="H64" t="s">
        <v>22</v>
      </c>
      <c r="I64" t="s">
        <v>828</v>
      </c>
    </row>
    <row r="65" spans="1:9" ht="11.25" customHeight="1">
      <c r="A65" t="s">
        <v>2385</v>
      </c>
      <c r="B65" t="s">
        <v>16</v>
      </c>
      <c r="C65" t="s">
        <v>2610</v>
      </c>
      <c r="D65" t="s">
        <v>2611</v>
      </c>
      <c r="E65" t="s">
        <v>2612</v>
      </c>
      <c r="F65" t="s">
        <v>2613</v>
      </c>
      <c r="G65" t="s">
        <v>2614</v>
      </c>
      <c r="H65" t="s">
        <v>22</v>
      </c>
      <c r="I65" t="s">
        <v>828</v>
      </c>
    </row>
    <row r="66" spans="1:9" ht="11.25" customHeight="1">
      <c r="A66" t="s">
        <v>2385</v>
      </c>
      <c r="B66" t="s">
        <v>16</v>
      </c>
      <c r="C66" t="s">
        <v>2615</v>
      </c>
      <c r="D66" t="s">
        <v>2616</v>
      </c>
      <c r="E66" t="s">
        <v>2617</v>
      </c>
      <c r="F66" t="s">
        <v>2613</v>
      </c>
      <c r="G66" t="s">
        <v>22</v>
      </c>
      <c r="H66" t="s">
        <v>22</v>
      </c>
      <c r="I66" t="s">
        <v>828</v>
      </c>
    </row>
    <row r="67" spans="1:9" ht="11.25" customHeight="1">
      <c r="A67" t="s">
        <v>2385</v>
      </c>
      <c r="B67" t="s">
        <v>16</v>
      </c>
      <c r="C67" t="s">
        <v>2618</v>
      </c>
      <c r="D67" t="s">
        <v>2619</v>
      </c>
      <c r="E67" t="s">
        <v>2620</v>
      </c>
      <c r="F67" t="s">
        <v>2613</v>
      </c>
      <c r="G67" t="s">
        <v>22</v>
      </c>
      <c r="H67" t="s">
        <v>22</v>
      </c>
      <c r="I67" t="s">
        <v>828</v>
      </c>
    </row>
    <row r="68" spans="1:9" ht="11.25" customHeight="1">
      <c r="A68" t="s">
        <v>2385</v>
      </c>
      <c r="B68" t="s">
        <v>16</v>
      </c>
      <c r="C68" t="s">
        <v>2621</v>
      </c>
      <c r="D68" t="s">
        <v>2622</v>
      </c>
      <c r="E68" t="s">
        <v>2526</v>
      </c>
      <c r="F68" t="s">
        <v>2623</v>
      </c>
      <c r="G68" t="s">
        <v>22</v>
      </c>
      <c r="H68" t="s">
        <v>22</v>
      </c>
      <c r="I68" t="s">
        <v>828</v>
      </c>
    </row>
    <row r="69" spans="1:9" ht="11.25" customHeight="1">
      <c r="A69" t="s">
        <v>2385</v>
      </c>
      <c r="B69" t="s">
        <v>16</v>
      </c>
      <c r="C69" t="s">
        <v>2624</v>
      </c>
      <c r="D69" t="s">
        <v>2625</v>
      </c>
      <c r="E69" t="s">
        <v>2626</v>
      </c>
      <c r="F69" t="s">
        <v>2627</v>
      </c>
      <c r="G69" t="s">
        <v>22</v>
      </c>
      <c r="H69" t="s">
        <v>22</v>
      </c>
      <c r="I69" t="s">
        <v>828</v>
      </c>
    </row>
    <row r="70" spans="1:9" ht="11.25" customHeight="1">
      <c r="A70" t="s">
        <v>2385</v>
      </c>
      <c r="B70" t="s">
        <v>16</v>
      </c>
      <c r="C70" t="s">
        <v>2628</v>
      </c>
      <c r="D70" t="s">
        <v>2629</v>
      </c>
      <c r="E70" t="s">
        <v>2630</v>
      </c>
      <c r="F70" t="s">
        <v>2631</v>
      </c>
      <c r="G70" t="s">
        <v>2632</v>
      </c>
      <c r="H70" t="s">
        <v>22</v>
      </c>
      <c r="I70" t="s">
        <v>828</v>
      </c>
    </row>
    <row r="71" spans="1:9" ht="11.25" customHeight="1">
      <c r="A71" t="s">
        <v>2385</v>
      </c>
      <c r="B71" t="s">
        <v>16</v>
      </c>
      <c r="C71" t="s">
        <v>2633</v>
      </c>
      <c r="D71" t="s">
        <v>2634</v>
      </c>
      <c r="E71" t="s">
        <v>2635</v>
      </c>
      <c r="F71" t="s">
        <v>2636</v>
      </c>
      <c r="G71" t="s">
        <v>22</v>
      </c>
      <c r="H71" t="s">
        <v>22</v>
      </c>
      <c r="I71" t="s">
        <v>828</v>
      </c>
    </row>
    <row r="72" spans="1:9" ht="11.25" customHeight="1">
      <c r="A72" t="s">
        <v>2385</v>
      </c>
      <c r="B72" t="s">
        <v>16</v>
      </c>
      <c r="C72" t="s">
        <v>2637</v>
      </c>
      <c r="D72" t="s">
        <v>2638</v>
      </c>
      <c r="E72" t="s">
        <v>2639</v>
      </c>
      <c r="F72" t="s">
        <v>2640</v>
      </c>
      <c r="G72" t="s">
        <v>22</v>
      </c>
      <c r="H72" t="s">
        <v>22</v>
      </c>
      <c r="I72" t="s">
        <v>828</v>
      </c>
    </row>
    <row r="73" spans="1:9" ht="11.25" customHeight="1">
      <c r="A73" t="s">
        <v>2385</v>
      </c>
      <c r="B73" t="s">
        <v>16</v>
      </c>
      <c r="C73" t="s">
        <v>2641</v>
      </c>
      <c r="D73" t="s">
        <v>2642</v>
      </c>
      <c r="E73" t="s">
        <v>2643</v>
      </c>
      <c r="F73" t="s">
        <v>2484</v>
      </c>
      <c r="G73" t="s">
        <v>22</v>
      </c>
      <c r="H73" t="s">
        <v>22</v>
      </c>
      <c r="I73" t="s">
        <v>828</v>
      </c>
    </row>
    <row r="74" spans="1:9" ht="11.25" customHeight="1">
      <c r="A74" t="s">
        <v>2385</v>
      </c>
      <c r="B74" t="s">
        <v>16</v>
      </c>
      <c r="C74" t="s">
        <v>2644</v>
      </c>
      <c r="D74" t="s">
        <v>2645</v>
      </c>
      <c r="E74" t="s">
        <v>2646</v>
      </c>
      <c r="F74" t="s">
        <v>2647</v>
      </c>
      <c r="G74" t="s">
        <v>22</v>
      </c>
      <c r="H74" t="s">
        <v>22</v>
      </c>
      <c r="I74" t="s">
        <v>828</v>
      </c>
    </row>
    <row r="75" spans="1:9" ht="11.25" customHeight="1">
      <c r="A75" t="s">
        <v>2385</v>
      </c>
      <c r="B75" t="s">
        <v>16</v>
      </c>
      <c r="C75" t="s">
        <v>2648</v>
      </c>
      <c r="D75" t="s">
        <v>2649</v>
      </c>
      <c r="E75" t="s">
        <v>2650</v>
      </c>
      <c r="F75" t="s">
        <v>2651</v>
      </c>
      <c r="G75" t="s">
        <v>22</v>
      </c>
      <c r="H75" t="s">
        <v>22</v>
      </c>
      <c r="I75" t="s">
        <v>828</v>
      </c>
    </row>
    <row r="76" spans="1:9" ht="11.25" customHeight="1">
      <c r="A76" t="s">
        <v>2385</v>
      </c>
      <c r="B76" t="s">
        <v>16</v>
      </c>
      <c r="C76" t="s">
        <v>2652</v>
      </c>
      <c r="D76" t="s">
        <v>2653</v>
      </c>
      <c r="E76" t="s">
        <v>2654</v>
      </c>
      <c r="F76" t="s">
        <v>2655</v>
      </c>
      <c r="G76" t="s">
        <v>22</v>
      </c>
      <c r="H76" t="s">
        <v>22</v>
      </c>
      <c r="I76" t="s">
        <v>828</v>
      </c>
    </row>
    <row r="77" spans="1:9" ht="11.25" customHeight="1">
      <c r="A77" t="s">
        <v>2385</v>
      </c>
      <c r="B77" t="s">
        <v>16</v>
      </c>
      <c r="C77" t="s">
        <v>2656</v>
      </c>
      <c r="D77" t="s">
        <v>2657</v>
      </c>
      <c r="E77" t="s">
        <v>2658</v>
      </c>
      <c r="F77" t="s">
        <v>2659</v>
      </c>
      <c r="G77" t="s">
        <v>22</v>
      </c>
      <c r="H77" t="s">
        <v>22</v>
      </c>
      <c r="I77" t="s">
        <v>828</v>
      </c>
    </row>
    <row r="78" spans="1:9" ht="11.25" customHeight="1">
      <c r="A78" t="s">
        <v>2385</v>
      </c>
      <c r="B78" t="s">
        <v>16</v>
      </c>
      <c r="C78" t="s">
        <v>2660</v>
      </c>
      <c r="D78" t="s">
        <v>2661</v>
      </c>
      <c r="E78" t="s">
        <v>2662</v>
      </c>
      <c r="F78" t="s">
        <v>2663</v>
      </c>
      <c r="G78" t="s">
        <v>22</v>
      </c>
      <c r="H78" t="s">
        <v>22</v>
      </c>
      <c r="I78" t="s">
        <v>828</v>
      </c>
    </row>
    <row r="79" spans="1:9" ht="11.25" customHeight="1">
      <c r="A79" t="s">
        <v>2385</v>
      </c>
      <c r="B79" t="s">
        <v>16</v>
      </c>
      <c r="C79" t="s">
        <v>2664</v>
      </c>
      <c r="D79" t="s">
        <v>2665</v>
      </c>
      <c r="E79" t="s">
        <v>2666</v>
      </c>
      <c r="F79" t="s">
        <v>2667</v>
      </c>
      <c r="G79" t="s">
        <v>22</v>
      </c>
      <c r="H79" t="s">
        <v>22</v>
      </c>
      <c r="I79" t="s">
        <v>828</v>
      </c>
    </row>
    <row r="80" spans="1:9" ht="11.25" customHeight="1">
      <c r="A80" t="s">
        <v>2385</v>
      </c>
      <c r="B80" t="s">
        <v>16</v>
      </c>
      <c r="C80" t="s">
        <v>2668</v>
      </c>
      <c r="D80" t="s">
        <v>2669</v>
      </c>
      <c r="E80" t="s">
        <v>2670</v>
      </c>
      <c r="F80" t="s">
        <v>2449</v>
      </c>
      <c r="G80" t="s">
        <v>22</v>
      </c>
      <c r="H80" t="s">
        <v>22</v>
      </c>
      <c r="I80" t="s">
        <v>828</v>
      </c>
    </row>
    <row r="81" spans="1:9" ht="11.25" customHeight="1">
      <c r="A81" t="s">
        <v>2385</v>
      </c>
      <c r="B81" t="s">
        <v>16</v>
      </c>
      <c r="C81" t="s">
        <v>2671</v>
      </c>
      <c r="D81" t="s">
        <v>2672</v>
      </c>
      <c r="E81" t="s">
        <v>2673</v>
      </c>
      <c r="F81" t="s">
        <v>2674</v>
      </c>
      <c r="G81" t="s">
        <v>22</v>
      </c>
      <c r="H81" t="s">
        <v>22</v>
      </c>
      <c r="I81" t="s">
        <v>828</v>
      </c>
    </row>
    <row r="82" spans="1:9" ht="11.25" customHeight="1">
      <c r="A82" t="s">
        <v>2385</v>
      </c>
      <c r="B82" t="s">
        <v>16</v>
      </c>
      <c r="C82" t="s">
        <v>2675</v>
      </c>
      <c r="D82" t="s">
        <v>2676</v>
      </c>
      <c r="E82" t="s">
        <v>2677</v>
      </c>
      <c r="F82" t="s">
        <v>2427</v>
      </c>
      <c r="G82" t="s">
        <v>22</v>
      </c>
      <c r="H82" t="s">
        <v>22</v>
      </c>
      <c r="I82" t="s">
        <v>828</v>
      </c>
    </row>
    <row r="83" spans="1:9" ht="11.25" customHeight="1">
      <c r="A83" t="s">
        <v>2385</v>
      </c>
      <c r="B83" t="s">
        <v>16</v>
      </c>
      <c r="C83" t="s">
        <v>2678</v>
      </c>
      <c r="D83" t="s">
        <v>2679</v>
      </c>
      <c r="E83" t="s">
        <v>2680</v>
      </c>
      <c r="F83" t="s">
        <v>2416</v>
      </c>
      <c r="G83" t="s">
        <v>22</v>
      </c>
      <c r="H83" t="s">
        <v>22</v>
      </c>
      <c r="I83" t="s">
        <v>828</v>
      </c>
    </row>
    <row r="84" spans="1:9" ht="11.25" customHeight="1">
      <c r="A84" t="s">
        <v>2385</v>
      </c>
      <c r="B84" t="s">
        <v>16</v>
      </c>
      <c r="C84" t="s">
        <v>2681</v>
      </c>
      <c r="D84" t="s">
        <v>2682</v>
      </c>
      <c r="E84" t="s">
        <v>2683</v>
      </c>
      <c r="F84" t="s">
        <v>2442</v>
      </c>
      <c r="G84" t="s">
        <v>22</v>
      </c>
      <c r="H84" t="s">
        <v>22</v>
      </c>
      <c r="I84" t="s">
        <v>828</v>
      </c>
    </row>
    <row r="85" spans="1:9" ht="11.25" customHeight="1">
      <c r="A85" t="s">
        <v>2385</v>
      </c>
      <c r="B85" t="s">
        <v>16</v>
      </c>
      <c r="C85" t="s">
        <v>2684</v>
      </c>
      <c r="D85" t="s">
        <v>2685</v>
      </c>
      <c r="E85" t="s">
        <v>2686</v>
      </c>
      <c r="F85" t="s">
        <v>2453</v>
      </c>
      <c r="G85" t="s">
        <v>22</v>
      </c>
      <c r="H85" t="s">
        <v>22</v>
      </c>
      <c r="I85" t="s">
        <v>828</v>
      </c>
    </row>
    <row r="86" spans="1:9" ht="11.25" customHeight="1">
      <c r="A86" t="s">
        <v>2385</v>
      </c>
      <c r="B86" t="s">
        <v>16</v>
      </c>
      <c r="C86" t="s">
        <v>2687</v>
      </c>
      <c r="D86" t="s">
        <v>2688</v>
      </c>
      <c r="E86" t="s">
        <v>2689</v>
      </c>
      <c r="F86" t="s">
        <v>2690</v>
      </c>
      <c r="G86" t="s">
        <v>22</v>
      </c>
      <c r="H86" t="s">
        <v>22</v>
      </c>
      <c r="I86" t="s">
        <v>828</v>
      </c>
    </row>
    <row r="87" spans="1:9" ht="11.25" customHeight="1">
      <c r="A87" t="s">
        <v>2385</v>
      </c>
      <c r="B87" t="s">
        <v>16</v>
      </c>
      <c r="C87" t="s">
        <v>2691</v>
      </c>
      <c r="D87" t="s">
        <v>2692</v>
      </c>
      <c r="E87" t="s">
        <v>2693</v>
      </c>
      <c r="F87" t="s">
        <v>2522</v>
      </c>
      <c r="G87" t="s">
        <v>22</v>
      </c>
      <c r="H87" t="s">
        <v>22</v>
      </c>
      <c r="I87" t="s">
        <v>828</v>
      </c>
    </row>
    <row r="88" spans="1:9" ht="11.25" customHeight="1">
      <c r="A88" t="s">
        <v>2385</v>
      </c>
      <c r="B88" t="s">
        <v>16</v>
      </c>
      <c r="C88" t="s">
        <v>2694</v>
      </c>
      <c r="D88" t="s">
        <v>2695</v>
      </c>
      <c r="E88" t="s">
        <v>2696</v>
      </c>
      <c r="F88" t="s">
        <v>2393</v>
      </c>
      <c r="G88" t="s">
        <v>22</v>
      </c>
      <c r="H88" t="s">
        <v>22</v>
      </c>
      <c r="I88" t="s">
        <v>828</v>
      </c>
    </row>
    <row r="89" spans="1:9" ht="11.25" customHeight="1">
      <c r="A89" t="s">
        <v>2385</v>
      </c>
      <c r="B89" t="s">
        <v>16</v>
      </c>
      <c r="C89" t="s">
        <v>2697</v>
      </c>
      <c r="D89" t="s">
        <v>2698</v>
      </c>
      <c r="E89" t="s">
        <v>2699</v>
      </c>
      <c r="F89" t="s">
        <v>2700</v>
      </c>
      <c r="G89" t="s">
        <v>22</v>
      </c>
      <c r="H89" t="s">
        <v>22</v>
      </c>
      <c r="I89" t="s">
        <v>828</v>
      </c>
    </row>
    <row r="90" spans="1:9" ht="11.25" customHeight="1">
      <c r="A90" t="s">
        <v>2385</v>
      </c>
      <c r="B90" t="s">
        <v>16</v>
      </c>
      <c r="C90" t="s">
        <v>2701</v>
      </c>
      <c r="D90" t="s">
        <v>2702</v>
      </c>
      <c r="E90" t="s">
        <v>2703</v>
      </c>
      <c r="F90" t="s">
        <v>2704</v>
      </c>
      <c r="G90" t="s">
        <v>22</v>
      </c>
      <c r="H90" t="s">
        <v>22</v>
      </c>
      <c r="I90" t="s">
        <v>828</v>
      </c>
    </row>
    <row r="91" spans="1:9" ht="11.25" customHeight="1">
      <c r="A91" t="s">
        <v>2385</v>
      </c>
      <c r="B91" t="s">
        <v>16</v>
      </c>
      <c r="C91" t="s">
        <v>2705</v>
      </c>
      <c r="D91" t="s">
        <v>2706</v>
      </c>
      <c r="E91" t="s">
        <v>2707</v>
      </c>
      <c r="F91" t="s">
        <v>2631</v>
      </c>
      <c r="G91" t="s">
        <v>22</v>
      </c>
      <c r="H91" t="s">
        <v>22</v>
      </c>
      <c r="I91" t="s">
        <v>828</v>
      </c>
    </row>
    <row r="92" spans="1:9" ht="11.25" customHeight="1">
      <c r="A92" t="s">
        <v>2385</v>
      </c>
      <c r="B92" t="s">
        <v>16</v>
      </c>
      <c r="C92" t="s">
        <v>2708</v>
      </c>
      <c r="D92" t="s">
        <v>2709</v>
      </c>
      <c r="E92" t="s">
        <v>2710</v>
      </c>
      <c r="F92" t="s">
        <v>2631</v>
      </c>
      <c r="G92" t="s">
        <v>22</v>
      </c>
      <c r="H92" t="s">
        <v>22</v>
      </c>
      <c r="I92" t="s">
        <v>828</v>
      </c>
    </row>
    <row r="93" spans="1:9" ht="11.25" customHeight="1">
      <c r="A93" t="s">
        <v>2385</v>
      </c>
      <c r="B93" t="s">
        <v>16</v>
      </c>
      <c r="C93" t="s">
        <v>2711</v>
      </c>
      <c r="D93" t="s">
        <v>2712</v>
      </c>
      <c r="E93" t="s">
        <v>2713</v>
      </c>
      <c r="F93" t="s">
        <v>2393</v>
      </c>
      <c r="G93" t="s">
        <v>22</v>
      </c>
      <c r="H93" t="s">
        <v>22</v>
      </c>
      <c r="I93" t="s">
        <v>828</v>
      </c>
    </row>
    <row r="94" spans="1:9" ht="11.25" customHeight="1">
      <c r="A94" t="s">
        <v>2385</v>
      </c>
      <c r="B94" t="s">
        <v>16</v>
      </c>
      <c r="C94" t="s">
        <v>2714</v>
      </c>
      <c r="D94" t="s">
        <v>2715</v>
      </c>
      <c r="E94" t="s">
        <v>2716</v>
      </c>
      <c r="F94" t="s">
        <v>2674</v>
      </c>
      <c r="G94" t="s">
        <v>22</v>
      </c>
      <c r="H94" t="s">
        <v>22</v>
      </c>
      <c r="I94" t="s">
        <v>828</v>
      </c>
    </row>
    <row r="95" spans="1:9" ht="11.25" customHeight="1">
      <c r="A95" t="s">
        <v>2385</v>
      </c>
      <c r="B95" t="s">
        <v>16</v>
      </c>
      <c r="C95" t="s">
        <v>2717</v>
      </c>
      <c r="D95" t="s">
        <v>2718</v>
      </c>
      <c r="E95" t="s">
        <v>2719</v>
      </c>
      <c r="F95" t="s">
        <v>2522</v>
      </c>
      <c r="G95" t="s">
        <v>22</v>
      </c>
      <c r="H95" t="s">
        <v>22</v>
      </c>
      <c r="I95" t="s">
        <v>828</v>
      </c>
    </row>
    <row r="96" spans="1:9" ht="11.25" customHeight="1">
      <c r="A96" t="s">
        <v>2385</v>
      </c>
      <c r="B96" t="s">
        <v>16</v>
      </c>
      <c r="C96" t="s">
        <v>2720</v>
      </c>
      <c r="D96" t="s">
        <v>2721</v>
      </c>
      <c r="E96" t="s">
        <v>2722</v>
      </c>
      <c r="F96" t="s">
        <v>2522</v>
      </c>
      <c r="G96" t="s">
        <v>22</v>
      </c>
      <c r="H96" t="s">
        <v>22</v>
      </c>
      <c r="I96" t="s">
        <v>828</v>
      </c>
    </row>
    <row r="97" spans="1:9" ht="11.25" customHeight="1">
      <c r="A97" t="s">
        <v>2385</v>
      </c>
      <c r="B97" t="s">
        <v>16</v>
      </c>
      <c r="C97" t="s">
        <v>2723</v>
      </c>
      <c r="D97" t="s">
        <v>2724</v>
      </c>
      <c r="E97" t="s">
        <v>2725</v>
      </c>
      <c r="F97" t="s">
        <v>2484</v>
      </c>
      <c r="G97" t="s">
        <v>22</v>
      </c>
      <c r="H97" t="s">
        <v>22</v>
      </c>
      <c r="I97" t="s">
        <v>828</v>
      </c>
    </row>
    <row r="98" spans="1:9" ht="11.25" customHeight="1">
      <c r="A98" t="s">
        <v>2385</v>
      </c>
      <c r="B98" t="s">
        <v>16</v>
      </c>
      <c r="C98" t="s">
        <v>2726</v>
      </c>
      <c r="D98" t="s">
        <v>2727</v>
      </c>
      <c r="E98" t="s">
        <v>2728</v>
      </c>
      <c r="F98" t="s">
        <v>2613</v>
      </c>
      <c r="G98" t="s">
        <v>22</v>
      </c>
      <c r="H98" t="s">
        <v>22</v>
      </c>
      <c r="I98" t="s">
        <v>828</v>
      </c>
    </row>
    <row r="99" spans="1:9" ht="11.25" customHeight="1">
      <c r="A99" t="s">
        <v>2385</v>
      </c>
      <c r="B99" t="s">
        <v>16</v>
      </c>
      <c r="C99" t="s">
        <v>2729</v>
      </c>
      <c r="D99" t="s">
        <v>2730</v>
      </c>
      <c r="E99" t="s">
        <v>2731</v>
      </c>
      <c r="F99" t="s">
        <v>2690</v>
      </c>
      <c r="G99" t="s">
        <v>22</v>
      </c>
      <c r="H99" t="s">
        <v>22</v>
      </c>
      <c r="I99" t="s">
        <v>828</v>
      </c>
    </row>
    <row r="100" spans="1:9" ht="11.25" customHeight="1">
      <c r="A100" t="s">
        <v>2385</v>
      </c>
      <c r="B100" t="s">
        <v>16</v>
      </c>
      <c r="C100" t="s">
        <v>2732</v>
      </c>
      <c r="D100" t="s">
        <v>2733</v>
      </c>
      <c r="E100" t="s">
        <v>2734</v>
      </c>
      <c r="F100" t="s">
        <v>2674</v>
      </c>
      <c r="G100" t="s">
        <v>22</v>
      </c>
      <c r="H100" t="s">
        <v>22</v>
      </c>
      <c r="I100" t="s">
        <v>828</v>
      </c>
    </row>
    <row r="101" spans="1:9" ht="11.25" customHeight="1">
      <c r="A101" t="s">
        <v>2385</v>
      </c>
      <c r="B101" t="s">
        <v>16</v>
      </c>
      <c r="C101" t="s">
        <v>2735</v>
      </c>
      <c r="D101" t="s">
        <v>2736</v>
      </c>
      <c r="E101" t="s">
        <v>2737</v>
      </c>
      <c r="F101" t="s">
        <v>586</v>
      </c>
      <c r="G101" t="s">
        <v>22</v>
      </c>
      <c r="H101" t="s">
        <v>22</v>
      </c>
      <c r="I101" t="s">
        <v>828</v>
      </c>
    </row>
    <row r="102" spans="1:9" ht="11.25" customHeight="1">
      <c r="A102" t="s">
        <v>2385</v>
      </c>
      <c r="B102" t="s">
        <v>16</v>
      </c>
      <c r="C102" t="s">
        <v>2738</v>
      </c>
      <c r="D102" t="s">
        <v>2739</v>
      </c>
      <c r="E102" t="s">
        <v>2740</v>
      </c>
      <c r="F102" t="s">
        <v>586</v>
      </c>
      <c r="G102" t="s">
        <v>22</v>
      </c>
      <c r="H102" t="s">
        <v>22</v>
      </c>
      <c r="I102" t="s">
        <v>828</v>
      </c>
    </row>
    <row r="103" spans="1:9" ht="11.25" customHeight="1">
      <c r="A103" t="s">
        <v>2385</v>
      </c>
      <c r="B103" t="s">
        <v>16</v>
      </c>
      <c r="C103" t="s">
        <v>2741</v>
      </c>
      <c r="D103" t="s">
        <v>2742</v>
      </c>
      <c r="E103" t="s">
        <v>2743</v>
      </c>
      <c r="F103" t="s">
        <v>586</v>
      </c>
      <c r="G103" t="s">
        <v>22</v>
      </c>
      <c r="H103" t="s">
        <v>22</v>
      </c>
      <c r="I103" t="s">
        <v>828</v>
      </c>
    </row>
    <row r="104" spans="1:9" ht="11.25" customHeight="1">
      <c r="A104" t="s">
        <v>2385</v>
      </c>
      <c r="B104" t="s">
        <v>16</v>
      </c>
      <c r="C104" t="s">
        <v>2744</v>
      </c>
      <c r="D104" t="s">
        <v>2745</v>
      </c>
      <c r="E104" t="s">
        <v>2746</v>
      </c>
      <c r="F104" t="s">
        <v>586</v>
      </c>
      <c r="G104" t="s">
        <v>22</v>
      </c>
      <c r="H104" t="s">
        <v>22</v>
      </c>
      <c r="I104" t="s">
        <v>828</v>
      </c>
    </row>
    <row r="105" spans="1:9" ht="11.25" customHeight="1">
      <c r="A105" t="s">
        <v>2385</v>
      </c>
      <c r="B105" t="s">
        <v>16</v>
      </c>
      <c r="C105" t="s">
        <v>2747</v>
      </c>
      <c r="D105" t="s">
        <v>2748</v>
      </c>
      <c r="E105" t="s">
        <v>2749</v>
      </c>
      <c r="F105" t="s">
        <v>586</v>
      </c>
      <c r="G105" t="s">
        <v>22</v>
      </c>
      <c r="H105" t="s">
        <v>22</v>
      </c>
      <c r="I105" t="s">
        <v>828</v>
      </c>
    </row>
    <row r="106" spans="1:9" ht="11.25" customHeight="1">
      <c r="A106" t="s">
        <v>2385</v>
      </c>
      <c r="B106" t="s">
        <v>16</v>
      </c>
      <c r="C106" t="s">
        <v>2750</v>
      </c>
      <c r="D106" t="s">
        <v>2751</v>
      </c>
      <c r="E106" t="s">
        <v>2752</v>
      </c>
      <c r="F106" t="s">
        <v>2753</v>
      </c>
      <c r="G106" t="s">
        <v>22</v>
      </c>
      <c r="H106" t="s">
        <v>22</v>
      </c>
      <c r="I106" t="s">
        <v>828</v>
      </c>
    </row>
    <row r="107" spans="1:9" ht="11.25" customHeight="1">
      <c r="A107" t="s">
        <v>2385</v>
      </c>
      <c r="B107" t="s">
        <v>16</v>
      </c>
      <c r="C107" t="s">
        <v>2754</v>
      </c>
      <c r="D107" t="s">
        <v>2755</v>
      </c>
      <c r="E107" t="s">
        <v>2635</v>
      </c>
      <c r="F107" t="s">
        <v>2756</v>
      </c>
      <c r="G107" t="s">
        <v>22</v>
      </c>
      <c r="H107" t="s">
        <v>22</v>
      </c>
      <c r="I107" t="s">
        <v>828</v>
      </c>
    </row>
    <row r="108" spans="1:9" ht="11.25" customHeight="1">
      <c r="A108" t="s">
        <v>2385</v>
      </c>
      <c r="B108" t="s">
        <v>16</v>
      </c>
      <c r="C108" t="s">
        <v>2757</v>
      </c>
      <c r="D108" t="s">
        <v>2758</v>
      </c>
      <c r="E108" t="s">
        <v>2759</v>
      </c>
      <c r="F108" t="s">
        <v>2586</v>
      </c>
      <c r="G108" t="s">
        <v>22</v>
      </c>
      <c r="H108" t="s">
        <v>22</v>
      </c>
      <c r="I108" t="s">
        <v>828</v>
      </c>
    </row>
    <row r="109" spans="1:9" ht="11.25" customHeight="1">
      <c r="A109" t="s">
        <v>2385</v>
      </c>
      <c r="B109" t="s">
        <v>16</v>
      </c>
      <c r="C109" t="s">
        <v>2760</v>
      </c>
      <c r="D109" t="s">
        <v>2761</v>
      </c>
      <c r="E109" t="s">
        <v>2762</v>
      </c>
      <c r="F109" t="s">
        <v>2763</v>
      </c>
      <c r="G109" t="s">
        <v>22</v>
      </c>
      <c r="H109" t="s">
        <v>22</v>
      </c>
      <c r="I109" t="s">
        <v>828</v>
      </c>
    </row>
    <row r="110" spans="1:9" ht="11.25" customHeight="1">
      <c r="A110" t="s">
        <v>2385</v>
      </c>
      <c r="B110" t="s">
        <v>16</v>
      </c>
      <c r="C110" t="s">
        <v>2764</v>
      </c>
      <c r="D110" t="s">
        <v>2765</v>
      </c>
      <c r="E110" t="s">
        <v>2766</v>
      </c>
      <c r="F110" t="s">
        <v>2767</v>
      </c>
      <c r="G110" t="s">
        <v>22</v>
      </c>
      <c r="H110" t="s">
        <v>22</v>
      </c>
      <c r="I110" t="s">
        <v>828</v>
      </c>
    </row>
    <row r="111" spans="1:9" ht="11.25" customHeight="1">
      <c r="A111" t="s">
        <v>2385</v>
      </c>
      <c r="B111" t="s">
        <v>16</v>
      </c>
      <c r="C111" t="s">
        <v>2768</v>
      </c>
      <c r="D111" t="s">
        <v>2769</v>
      </c>
      <c r="E111" t="s">
        <v>2770</v>
      </c>
      <c r="F111" t="s">
        <v>2771</v>
      </c>
      <c r="G111" t="s">
        <v>2772</v>
      </c>
      <c r="H111" t="s">
        <v>22</v>
      </c>
      <c r="I111" t="s">
        <v>828</v>
      </c>
    </row>
    <row r="112" spans="1:9" ht="11.25" customHeight="1">
      <c r="A112" t="s">
        <v>2385</v>
      </c>
      <c r="B112" t="s">
        <v>16</v>
      </c>
      <c r="C112" t="s">
        <v>2773</v>
      </c>
      <c r="D112" t="s">
        <v>2774</v>
      </c>
      <c r="E112" t="s">
        <v>2775</v>
      </c>
      <c r="F112" t="s">
        <v>2767</v>
      </c>
      <c r="G112" t="s">
        <v>22</v>
      </c>
      <c r="H112" t="s">
        <v>22</v>
      </c>
      <c r="I112" t="s">
        <v>828</v>
      </c>
    </row>
    <row r="113" spans="1:9" ht="11.25" customHeight="1">
      <c r="A113" t="s">
        <v>2385</v>
      </c>
      <c r="B113" t="s">
        <v>16</v>
      </c>
      <c r="C113" t="s">
        <v>2776</v>
      </c>
      <c r="D113" t="s">
        <v>2777</v>
      </c>
      <c r="E113" t="s">
        <v>2778</v>
      </c>
      <c r="F113" t="s">
        <v>2779</v>
      </c>
      <c r="G113" t="s">
        <v>22</v>
      </c>
      <c r="H113" t="s">
        <v>22</v>
      </c>
      <c r="I113" t="s">
        <v>828</v>
      </c>
    </row>
    <row r="114" spans="1:9" ht="11.25" customHeight="1">
      <c r="A114" t="s">
        <v>2385</v>
      </c>
      <c r="B114" t="s">
        <v>16</v>
      </c>
      <c r="C114" t="s">
        <v>2780</v>
      </c>
      <c r="D114" t="s">
        <v>2781</v>
      </c>
      <c r="E114" t="s">
        <v>2782</v>
      </c>
      <c r="F114" t="s">
        <v>2763</v>
      </c>
      <c r="G114" t="s">
        <v>22</v>
      </c>
      <c r="H114" t="s">
        <v>22</v>
      </c>
      <c r="I114" t="s">
        <v>828</v>
      </c>
    </row>
    <row r="115" spans="1:9" ht="11.25" customHeight="1">
      <c r="A115" t="s">
        <v>2385</v>
      </c>
      <c r="B115" t="s">
        <v>16</v>
      </c>
      <c r="C115" t="s">
        <v>2783</v>
      </c>
      <c r="D115" t="s">
        <v>2784</v>
      </c>
      <c r="E115" t="s">
        <v>2785</v>
      </c>
      <c r="F115" t="s">
        <v>2786</v>
      </c>
      <c r="G115" t="s">
        <v>22</v>
      </c>
      <c r="H115" t="s">
        <v>22</v>
      </c>
      <c r="I115" t="s">
        <v>828</v>
      </c>
    </row>
    <row r="116" spans="1:9" ht="11.25" customHeight="1">
      <c r="A116" t="s">
        <v>2385</v>
      </c>
      <c r="B116" t="s">
        <v>16</v>
      </c>
      <c r="C116" t="s">
        <v>2787</v>
      </c>
      <c r="D116" t="s">
        <v>2788</v>
      </c>
      <c r="E116" t="s">
        <v>2789</v>
      </c>
      <c r="F116" t="s">
        <v>2586</v>
      </c>
      <c r="G116" t="s">
        <v>22</v>
      </c>
      <c r="H116" t="s">
        <v>22</v>
      </c>
      <c r="I116" t="s">
        <v>828</v>
      </c>
    </row>
    <row r="117" spans="1:9" ht="11.25" customHeight="1">
      <c r="A117" t="s">
        <v>2385</v>
      </c>
      <c r="B117" t="s">
        <v>16</v>
      </c>
      <c r="C117" t="s">
        <v>2790</v>
      </c>
      <c r="D117" t="s">
        <v>2791</v>
      </c>
      <c r="E117" t="s">
        <v>2792</v>
      </c>
      <c r="F117" t="s">
        <v>2512</v>
      </c>
      <c r="G117" t="s">
        <v>22</v>
      </c>
      <c r="H117" t="s">
        <v>22</v>
      </c>
      <c r="I117" t="s">
        <v>828</v>
      </c>
    </row>
    <row r="118" spans="1:9" ht="11.25" customHeight="1">
      <c r="A118" t="s">
        <v>2385</v>
      </c>
      <c r="B118" t="s">
        <v>16</v>
      </c>
      <c r="C118" t="s">
        <v>2793</v>
      </c>
      <c r="D118" t="s">
        <v>2794</v>
      </c>
      <c r="E118" t="s">
        <v>2795</v>
      </c>
      <c r="F118" t="s">
        <v>2586</v>
      </c>
      <c r="G118" t="s">
        <v>22</v>
      </c>
      <c r="H118" t="s">
        <v>22</v>
      </c>
      <c r="I118" t="s">
        <v>828</v>
      </c>
    </row>
    <row r="119" spans="1:9" ht="11.25" customHeight="1">
      <c r="A119" t="s">
        <v>2385</v>
      </c>
      <c r="B119" t="s">
        <v>16</v>
      </c>
      <c r="C119" t="s">
        <v>2796</v>
      </c>
      <c r="D119" t="s">
        <v>2797</v>
      </c>
      <c r="E119" t="s">
        <v>2798</v>
      </c>
      <c r="F119" t="s">
        <v>2799</v>
      </c>
      <c r="G119" t="s">
        <v>22</v>
      </c>
      <c r="H119" t="s">
        <v>22</v>
      </c>
      <c r="I119" t="s">
        <v>828</v>
      </c>
    </row>
    <row r="120" spans="1:9" ht="11.25" customHeight="1">
      <c r="A120" t="s">
        <v>2385</v>
      </c>
      <c r="B120" t="s">
        <v>16</v>
      </c>
      <c r="C120" t="s">
        <v>2800</v>
      </c>
      <c r="D120" t="s">
        <v>2801</v>
      </c>
      <c r="E120" t="s">
        <v>2802</v>
      </c>
      <c r="F120" t="s">
        <v>2416</v>
      </c>
      <c r="G120" t="s">
        <v>22</v>
      </c>
      <c r="H120" t="s">
        <v>22</v>
      </c>
      <c r="I120" t="s">
        <v>828</v>
      </c>
    </row>
    <row r="121" spans="1:9" ht="11.25" customHeight="1">
      <c r="A121" t="s">
        <v>2385</v>
      </c>
      <c r="B121" t="s">
        <v>16</v>
      </c>
      <c r="C121" t="s">
        <v>2803</v>
      </c>
      <c r="D121" t="s">
        <v>2804</v>
      </c>
      <c r="E121" t="s">
        <v>2805</v>
      </c>
      <c r="F121" t="s">
        <v>2597</v>
      </c>
      <c r="G121" t="s">
        <v>22</v>
      </c>
      <c r="H121" t="s">
        <v>22</v>
      </c>
      <c r="I121" t="s">
        <v>828</v>
      </c>
    </row>
    <row r="122" spans="1:9" ht="11.25" customHeight="1">
      <c r="A122" t="s">
        <v>2385</v>
      </c>
      <c r="B122" t="s">
        <v>16</v>
      </c>
      <c r="C122" t="s">
        <v>2806</v>
      </c>
      <c r="D122" t="s">
        <v>2807</v>
      </c>
      <c r="E122" t="s">
        <v>2808</v>
      </c>
      <c r="F122" t="s">
        <v>2799</v>
      </c>
      <c r="G122" t="s">
        <v>22</v>
      </c>
      <c r="H122" t="s">
        <v>22</v>
      </c>
      <c r="I122" t="s">
        <v>828</v>
      </c>
    </row>
    <row r="123" spans="1:9" ht="11.25" customHeight="1">
      <c r="A123" t="s">
        <v>2385</v>
      </c>
      <c r="B123" t="s">
        <v>16</v>
      </c>
      <c r="C123" t="s">
        <v>2809</v>
      </c>
      <c r="D123" t="s">
        <v>2810</v>
      </c>
      <c r="E123" t="s">
        <v>2811</v>
      </c>
      <c r="F123" t="s">
        <v>2812</v>
      </c>
      <c r="G123" t="s">
        <v>22</v>
      </c>
      <c r="H123" t="s">
        <v>22</v>
      </c>
      <c r="I123" t="s">
        <v>828</v>
      </c>
    </row>
    <row r="124" spans="1:9" ht="11.25" customHeight="1">
      <c r="A124" t="s">
        <v>2385</v>
      </c>
      <c r="B124" t="s">
        <v>16</v>
      </c>
      <c r="C124" t="s">
        <v>2813</v>
      </c>
      <c r="D124" t="s">
        <v>2814</v>
      </c>
      <c r="E124" t="s">
        <v>2815</v>
      </c>
      <c r="F124" t="s">
        <v>2449</v>
      </c>
      <c r="G124" t="s">
        <v>22</v>
      </c>
      <c r="H124" t="s">
        <v>22</v>
      </c>
      <c r="I124" t="s">
        <v>828</v>
      </c>
    </row>
    <row r="125" spans="1:9" ht="11.25" customHeight="1">
      <c r="A125" t="s">
        <v>2385</v>
      </c>
      <c r="B125" t="s">
        <v>16</v>
      </c>
      <c r="C125" t="s">
        <v>2816</v>
      </c>
      <c r="D125" t="s">
        <v>2817</v>
      </c>
      <c r="E125" t="s">
        <v>2818</v>
      </c>
      <c r="F125" t="s">
        <v>2819</v>
      </c>
      <c r="G125" t="s">
        <v>2820</v>
      </c>
      <c r="H125" t="s">
        <v>22</v>
      </c>
      <c r="I125" t="s">
        <v>828</v>
      </c>
    </row>
    <row r="126" spans="1:9" ht="11.25" customHeight="1">
      <c r="A126" t="s">
        <v>2385</v>
      </c>
      <c r="B126" t="s">
        <v>16</v>
      </c>
      <c r="C126" t="s">
        <v>2821</v>
      </c>
      <c r="D126" t="s">
        <v>2822</v>
      </c>
      <c r="E126" t="s">
        <v>2823</v>
      </c>
      <c r="F126" t="s">
        <v>2389</v>
      </c>
      <c r="G126" t="s">
        <v>22</v>
      </c>
      <c r="H126" t="s">
        <v>22</v>
      </c>
      <c r="I126" t="s">
        <v>828</v>
      </c>
    </row>
    <row r="127" spans="1:9" ht="11.25" customHeight="1">
      <c r="A127" t="s">
        <v>2385</v>
      </c>
      <c r="B127" t="s">
        <v>16</v>
      </c>
      <c r="C127" t="s">
        <v>2824</v>
      </c>
      <c r="D127" t="s">
        <v>2825</v>
      </c>
      <c r="E127" t="s">
        <v>2826</v>
      </c>
      <c r="F127" t="s">
        <v>2484</v>
      </c>
      <c r="G127" t="s">
        <v>22</v>
      </c>
      <c r="H127" t="s">
        <v>22</v>
      </c>
      <c r="I127" t="s">
        <v>828</v>
      </c>
    </row>
    <row r="128" spans="1:9" ht="11.25" customHeight="1">
      <c r="A128" t="s">
        <v>2385</v>
      </c>
      <c r="B128" t="s">
        <v>16</v>
      </c>
      <c r="C128" t="s">
        <v>2827</v>
      </c>
      <c r="D128" t="s">
        <v>2828</v>
      </c>
      <c r="E128" t="s">
        <v>2829</v>
      </c>
      <c r="F128" t="s">
        <v>2830</v>
      </c>
      <c r="G128" t="s">
        <v>22</v>
      </c>
      <c r="H128" t="s">
        <v>22</v>
      </c>
      <c r="I128" t="s">
        <v>828</v>
      </c>
    </row>
    <row r="129" spans="1:9" ht="11.25" customHeight="1">
      <c r="A129" t="s">
        <v>2385</v>
      </c>
      <c r="B129" t="s">
        <v>16</v>
      </c>
      <c r="C129" t="s">
        <v>2831</v>
      </c>
      <c r="D129" t="s">
        <v>2832</v>
      </c>
      <c r="E129" t="s">
        <v>2833</v>
      </c>
      <c r="F129" t="s">
        <v>2434</v>
      </c>
      <c r="G129" t="s">
        <v>22</v>
      </c>
      <c r="H129" t="s">
        <v>22</v>
      </c>
      <c r="I129" t="s">
        <v>828</v>
      </c>
    </row>
    <row r="130" spans="1:9" ht="11.25" customHeight="1">
      <c r="A130" t="s">
        <v>2385</v>
      </c>
      <c r="B130" t="s">
        <v>16</v>
      </c>
      <c r="C130" t="s">
        <v>2834</v>
      </c>
      <c r="D130" t="s">
        <v>2835</v>
      </c>
      <c r="E130" t="s">
        <v>2836</v>
      </c>
      <c r="F130" t="s">
        <v>2837</v>
      </c>
      <c r="G130" t="s">
        <v>22</v>
      </c>
      <c r="H130" t="s">
        <v>22</v>
      </c>
      <c r="I130" t="s">
        <v>828</v>
      </c>
    </row>
    <row r="131" spans="1:9" ht="11.25" customHeight="1">
      <c r="A131" t="s">
        <v>2385</v>
      </c>
      <c r="B131" t="s">
        <v>16</v>
      </c>
      <c r="C131" t="s">
        <v>2838</v>
      </c>
      <c r="D131" t="s">
        <v>2839</v>
      </c>
      <c r="E131" t="s">
        <v>2840</v>
      </c>
      <c r="F131" t="s">
        <v>2841</v>
      </c>
      <c r="G131" t="s">
        <v>22</v>
      </c>
      <c r="H131" t="s">
        <v>22</v>
      </c>
      <c r="I131" t="s">
        <v>828</v>
      </c>
    </row>
    <row r="132" spans="1:9" ht="11.25" customHeight="1">
      <c r="A132" t="s">
        <v>2385</v>
      </c>
      <c r="B132" t="s">
        <v>16</v>
      </c>
      <c r="C132" t="s">
        <v>2842</v>
      </c>
      <c r="D132" t="s">
        <v>2843</v>
      </c>
      <c r="E132" t="s">
        <v>2844</v>
      </c>
      <c r="F132" t="s">
        <v>2845</v>
      </c>
      <c r="G132" t="s">
        <v>22</v>
      </c>
      <c r="H132" t="s">
        <v>22</v>
      </c>
      <c r="I132" t="s">
        <v>828</v>
      </c>
    </row>
    <row r="133" spans="1:9" ht="11.25" customHeight="1">
      <c r="A133" t="s">
        <v>2385</v>
      </c>
      <c r="B133" t="s">
        <v>16</v>
      </c>
      <c r="C133" t="s">
        <v>2846</v>
      </c>
      <c r="D133" t="s">
        <v>2847</v>
      </c>
      <c r="E133" t="s">
        <v>2848</v>
      </c>
      <c r="F133" t="s">
        <v>2659</v>
      </c>
      <c r="G133" t="s">
        <v>22</v>
      </c>
      <c r="H133" t="s">
        <v>22</v>
      </c>
      <c r="I133" t="s">
        <v>828</v>
      </c>
    </row>
    <row r="134" spans="1:9" ht="11.25" customHeight="1">
      <c r="A134" t="s">
        <v>2385</v>
      </c>
      <c r="B134" t="s">
        <v>16</v>
      </c>
      <c r="C134" t="s">
        <v>2849</v>
      </c>
      <c r="D134" t="s">
        <v>2850</v>
      </c>
      <c r="E134" t="s">
        <v>2851</v>
      </c>
      <c r="F134" t="s">
        <v>2453</v>
      </c>
      <c r="G134" t="s">
        <v>22</v>
      </c>
      <c r="H134" t="s">
        <v>22</v>
      </c>
      <c r="I134" t="s">
        <v>828</v>
      </c>
    </row>
    <row r="135" spans="1:9" ht="11.25" customHeight="1">
      <c r="A135" t="s">
        <v>2385</v>
      </c>
      <c r="B135" t="s">
        <v>16</v>
      </c>
      <c r="C135" t="s">
        <v>2852</v>
      </c>
      <c r="D135" t="s">
        <v>2853</v>
      </c>
      <c r="E135" t="s">
        <v>2854</v>
      </c>
      <c r="F135" t="s">
        <v>2663</v>
      </c>
      <c r="G135" t="s">
        <v>22</v>
      </c>
      <c r="H135" t="s">
        <v>22</v>
      </c>
      <c r="I135" t="s">
        <v>828</v>
      </c>
    </row>
    <row r="136" spans="1:9" ht="11.25" customHeight="1">
      <c r="A136" t="s">
        <v>2385</v>
      </c>
      <c r="B136" t="s">
        <v>16</v>
      </c>
      <c r="C136" t="s">
        <v>2855</v>
      </c>
      <c r="D136" t="s">
        <v>2856</v>
      </c>
      <c r="E136" t="s">
        <v>2857</v>
      </c>
      <c r="F136" t="s">
        <v>2449</v>
      </c>
      <c r="G136" t="s">
        <v>22</v>
      </c>
      <c r="H136" t="s">
        <v>22</v>
      </c>
      <c r="I136" t="s">
        <v>828</v>
      </c>
    </row>
    <row r="137" spans="1:9" ht="11.25" customHeight="1">
      <c r="A137" t="s">
        <v>2385</v>
      </c>
      <c r="B137" t="s">
        <v>16</v>
      </c>
      <c r="C137" t="s">
        <v>2858</v>
      </c>
      <c r="D137" t="s">
        <v>2859</v>
      </c>
      <c r="E137" t="s">
        <v>2860</v>
      </c>
      <c r="F137" t="s">
        <v>2837</v>
      </c>
      <c r="G137" t="s">
        <v>22</v>
      </c>
      <c r="H137" t="s">
        <v>22</v>
      </c>
      <c r="I137" t="s">
        <v>828</v>
      </c>
    </row>
    <row r="138" spans="1:9" ht="11.25" customHeight="1">
      <c r="A138" t="s">
        <v>2385</v>
      </c>
      <c r="B138" t="s">
        <v>16</v>
      </c>
      <c r="C138" t="s">
        <v>2861</v>
      </c>
      <c r="D138" t="s">
        <v>2862</v>
      </c>
      <c r="E138" t="s">
        <v>2863</v>
      </c>
      <c r="F138" t="s">
        <v>2667</v>
      </c>
      <c r="G138" t="s">
        <v>22</v>
      </c>
      <c r="H138" t="s">
        <v>22</v>
      </c>
      <c r="I138" t="s">
        <v>828</v>
      </c>
    </row>
    <row r="139" spans="1:9" ht="11.25" customHeight="1">
      <c r="A139" t="s">
        <v>2385</v>
      </c>
      <c r="B139" t="s">
        <v>16</v>
      </c>
      <c r="C139" t="s">
        <v>2864</v>
      </c>
      <c r="D139" t="s">
        <v>2865</v>
      </c>
      <c r="E139" t="s">
        <v>2866</v>
      </c>
      <c r="F139" t="s">
        <v>2819</v>
      </c>
      <c r="G139" t="s">
        <v>22</v>
      </c>
      <c r="H139" t="s">
        <v>22</v>
      </c>
      <c r="I139" t="s">
        <v>828</v>
      </c>
    </row>
    <row r="140" spans="1:9" ht="11.25" customHeight="1">
      <c r="A140" t="s">
        <v>2385</v>
      </c>
      <c r="B140" t="s">
        <v>16</v>
      </c>
      <c r="C140" t="s">
        <v>2867</v>
      </c>
      <c r="D140" t="s">
        <v>2868</v>
      </c>
      <c r="E140" t="s">
        <v>2869</v>
      </c>
      <c r="F140" t="s">
        <v>2819</v>
      </c>
      <c r="G140" t="s">
        <v>22</v>
      </c>
      <c r="H140" t="s">
        <v>22</v>
      </c>
      <c r="I140" t="s">
        <v>828</v>
      </c>
    </row>
    <row r="141" spans="1:9" ht="11.25" customHeight="1">
      <c r="A141" t="s">
        <v>2385</v>
      </c>
      <c r="B141" t="s">
        <v>16</v>
      </c>
      <c r="C141" t="s">
        <v>2870</v>
      </c>
      <c r="D141" t="s">
        <v>2871</v>
      </c>
      <c r="E141" t="s">
        <v>2872</v>
      </c>
      <c r="F141" t="s">
        <v>2819</v>
      </c>
      <c r="G141" t="s">
        <v>22</v>
      </c>
      <c r="H141" t="s">
        <v>22</v>
      </c>
      <c r="I141" t="s">
        <v>828</v>
      </c>
    </row>
    <row r="142" spans="1:9" ht="11.25" customHeight="1">
      <c r="A142" t="s">
        <v>2385</v>
      </c>
      <c r="B142" t="s">
        <v>16</v>
      </c>
      <c r="C142" t="s">
        <v>2873</v>
      </c>
      <c r="D142" t="s">
        <v>2874</v>
      </c>
      <c r="E142" t="s">
        <v>2875</v>
      </c>
      <c r="F142" t="s">
        <v>2819</v>
      </c>
      <c r="G142" t="s">
        <v>22</v>
      </c>
      <c r="H142" t="s">
        <v>22</v>
      </c>
      <c r="I142" t="s">
        <v>828</v>
      </c>
    </row>
    <row r="143" spans="1:9" ht="11.25" customHeight="1">
      <c r="A143" t="s">
        <v>2385</v>
      </c>
      <c r="B143" t="s">
        <v>16</v>
      </c>
      <c r="C143" t="s">
        <v>2876</v>
      </c>
      <c r="D143" t="s">
        <v>2877</v>
      </c>
      <c r="E143" t="s">
        <v>2878</v>
      </c>
      <c r="F143" t="s">
        <v>2819</v>
      </c>
      <c r="G143" t="s">
        <v>22</v>
      </c>
      <c r="H143" t="s">
        <v>22</v>
      </c>
      <c r="I143" t="s">
        <v>828</v>
      </c>
    </row>
    <row r="144" spans="1:9" ht="11.25" customHeight="1">
      <c r="A144" t="s">
        <v>2385</v>
      </c>
      <c r="B144" t="s">
        <v>16</v>
      </c>
      <c r="C144" t="s">
        <v>2879</v>
      </c>
      <c r="D144" t="s">
        <v>2880</v>
      </c>
      <c r="E144" t="s">
        <v>2881</v>
      </c>
      <c r="F144" t="s">
        <v>2819</v>
      </c>
      <c r="G144" t="s">
        <v>22</v>
      </c>
      <c r="H144" t="s">
        <v>22</v>
      </c>
      <c r="I144" t="s">
        <v>828</v>
      </c>
    </row>
    <row r="145" spans="1:9" ht="11.25" customHeight="1">
      <c r="A145" t="s">
        <v>2385</v>
      </c>
      <c r="B145" t="s">
        <v>16</v>
      </c>
      <c r="C145" t="s">
        <v>2882</v>
      </c>
      <c r="D145" t="s">
        <v>2883</v>
      </c>
      <c r="E145" t="s">
        <v>2884</v>
      </c>
      <c r="F145" t="s">
        <v>2484</v>
      </c>
      <c r="G145" t="s">
        <v>22</v>
      </c>
      <c r="H145" t="s">
        <v>22</v>
      </c>
      <c r="I145" t="s">
        <v>828</v>
      </c>
    </row>
    <row r="146" spans="1:9" ht="11.25" customHeight="1">
      <c r="A146" t="s">
        <v>2385</v>
      </c>
      <c r="B146" t="s">
        <v>16</v>
      </c>
      <c r="C146" t="s">
        <v>2885</v>
      </c>
      <c r="D146" t="s">
        <v>2886</v>
      </c>
      <c r="E146" t="s">
        <v>2887</v>
      </c>
      <c r="F146" t="s">
        <v>2819</v>
      </c>
      <c r="G146" t="s">
        <v>22</v>
      </c>
      <c r="H146" t="s">
        <v>22</v>
      </c>
      <c r="I146" t="s">
        <v>828</v>
      </c>
    </row>
    <row r="147" spans="1:9" ht="11.25" customHeight="1">
      <c r="A147" t="s">
        <v>2385</v>
      </c>
      <c r="B147" t="s">
        <v>16</v>
      </c>
      <c r="C147" t="s">
        <v>2888</v>
      </c>
      <c r="D147" t="s">
        <v>2889</v>
      </c>
      <c r="E147" t="s">
        <v>2890</v>
      </c>
      <c r="F147" t="s">
        <v>2891</v>
      </c>
      <c r="G147" t="s">
        <v>22</v>
      </c>
      <c r="H147" t="s">
        <v>22</v>
      </c>
      <c r="I147" t="s">
        <v>828</v>
      </c>
    </row>
    <row r="148" spans="1:9" ht="11.25" customHeight="1">
      <c r="A148" t="s">
        <v>2385</v>
      </c>
      <c r="B148" t="s">
        <v>16</v>
      </c>
      <c r="C148" t="s">
        <v>2892</v>
      </c>
      <c r="D148" t="s">
        <v>2893</v>
      </c>
      <c r="E148" t="s">
        <v>2894</v>
      </c>
      <c r="F148" t="s">
        <v>2819</v>
      </c>
      <c r="G148" t="s">
        <v>22</v>
      </c>
      <c r="H148" t="s">
        <v>22</v>
      </c>
      <c r="I148" t="s">
        <v>828</v>
      </c>
    </row>
    <row r="149" spans="1:9" ht="11.25" customHeight="1">
      <c r="A149" t="s">
        <v>2385</v>
      </c>
      <c r="B149" t="s">
        <v>16</v>
      </c>
      <c r="C149" t="s">
        <v>2895</v>
      </c>
      <c r="D149" t="s">
        <v>2896</v>
      </c>
      <c r="E149" t="s">
        <v>2897</v>
      </c>
      <c r="F149" t="s">
        <v>2898</v>
      </c>
      <c r="G149" t="s">
        <v>22</v>
      </c>
      <c r="H149" t="s">
        <v>22</v>
      </c>
      <c r="I149" t="s">
        <v>828</v>
      </c>
    </row>
    <row r="150" spans="1:9" ht="11.25" customHeight="1">
      <c r="A150" t="s">
        <v>2385</v>
      </c>
      <c r="B150" t="s">
        <v>16</v>
      </c>
      <c r="C150" t="s">
        <v>2899</v>
      </c>
      <c r="D150" t="s">
        <v>2900</v>
      </c>
      <c r="E150" t="s">
        <v>2901</v>
      </c>
      <c r="F150" t="s">
        <v>2640</v>
      </c>
      <c r="G150" t="s">
        <v>22</v>
      </c>
      <c r="H150" t="s">
        <v>22</v>
      </c>
      <c r="I150" t="s">
        <v>828</v>
      </c>
    </row>
    <row r="151" spans="1:9" ht="11.25" customHeight="1">
      <c r="A151" t="s">
        <v>2385</v>
      </c>
      <c r="B151" t="s">
        <v>16</v>
      </c>
      <c r="C151" t="s">
        <v>2902</v>
      </c>
      <c r="D151" t="s">
        <v>2903</v>
      </c>
      <c r="E151" t="s">
        <v>2904</v>
      </c>
      <c r="F151" t="s">
        <v>2663</v>
      </c>
      <c r="G151" t="s">
        <v>22</v>
      </c>
      <c r="H151" t="s">
        <v>22</v>
      </c>
      <c r="I151" t="s">
        <v>828</v>
      </c>
    </row>
    <row r="152" spans="1:9" ht="11.25" customHeight="1">
      <c r="A152" t="s">
        <v>2385</v>
      </c>
      <c r="B152" t="s">
        <v>16</v>
      </c>
      <c r="C152" t="s">
        <v>2905</v>
      </c>
      <c r="D152" t="s">
        <v>2906</v>
      </c>
      <c r="E152" t="s">
        <v>2907</v>
      </c>
      <c r="F152" t="s">
        <v>2434</v>
      </c>
      <c r="G152" t="s">
        <v>22</v>
      </c>
      <c r="H152" t="s">
        <v>22</v>
      </c>
      <c r="I152" t="s">
        <v>828</v>
      </c>
    </row>
    <row r="153" spans="1:9" ht="11.25" customHeight="1">
      <c r="A153" t="s">
        <v>2385</v>
      </c>
      <c r="B153" t="s">
        <v>16</v>
      </c>
      <c r="C153" t="s">
        <v>2908</v>
      </c>
      <c r="D153" t="s">
        <v>2909</v>
      </c>
      <c r="E153" t="s">
        <v>2910</v>
      </c>
      <c r="F153" t="s">
        <v>2911</v>
      </c>
      <c r="G153" t="s">
        <v>22</v>
      </c>
      <c r="H153" t="s">
        <v>22</v>
      </c>
      <c r="I153" t="s">
        <v>828</v>
      </c>
    </row>
    <row r="154" spans="1:9" ht="11.25" customHeight="1">
      <c r="A154" t="s">
        <v>2385</v>
      </c>
      <c r="B154" t="s">
        <v>16</v>
      </c>
      <c r="C154" t="s">
        <v>2912</v>
      </c>
      <c r="D154" t="s">
        <v>2913</v>
      </c>
      <c r="E154" t="s">
        <v>2914</v>
      </c>
      <c r="F154" t="s">
        <v>2667</v>
      </c>
      <c r="G154" t="s">
        <v>22</v>
      </c>
      <c r="H154" t="s">
        <v>22</v>
      </c>
      <c r="I154" t="s">
        <v>828</v>
      </c>
    </row>
    <row r="155" spans="1:9" ht="11.25" customHeight="1">
      <c r="A155" t="s">
        <v>2385</v>
      </c>
      <c r="B155" t="s">
        <v>16</v>
      </c>
      <c r="C155" t="s">
        <v>2915</v>
      </c>
      <c r="D155" t="s">
        <v>2916</v>
      </c>
      <c r="E155" t="s">
        <v>2917</v>
      </c>
      <c r="F155" t="s">
        <v>2406</v>
      </c>
      <c r="G155" t="s">
        <v>22</v>
      </c>
      <c r="H155" t="s">
        <v>22</v>
      </c>
      <c r="I155" t="s">
        <v>828</v>
      </c>
    </row>
    <row r="156" spans="1:9" ht="11.25" customHeight="1">
      <c r="A156" t="s">
        <v>2385</v>
      </c>
      <c r="B156" t="s">
        <v>16</v>
      </c>
      <c r="C156" t="s">
        <v>2918</v>
      </c>
      <c r="D156" t="s">
        <v>2919</v>
      </c>
      <c r="E156" t="s">
        <v>2920</v>
      </c>
      <c r="F156" t="s">
        <v>2663</v>
      </c>
      <c r="G156" t="s">
        <v>22</v>
      </c>
      <c r="H156" t="s">
        <v>22</v>
      </c>
      <c r="I156" t="s">
        <v>828</v>
      </c>
    </row>
    <row r="157" spans="1:9" ht="11.25" customHeight="1">
      <c r="A157" t="s">
        <v>2385</v>
      </c>
      <c r="B157" t="s">
        <v>16</v>
      </c>
      <c r="C157" t="s">
        <v>2921</v>
      </c>
      <c r="D157" t="s">
        <v>2922</v>
      </c>
      <c r="E157" t="s">
        <v>2923</v>
      </c>
      <c r="F157" t="s">
        <v>2484</v>
      </c>
      <c r="G157" t="s">
        <v>22</v>
      </c>
      <c r="H157" t="s">
        <v>22</v>
      </c>
      <c r="I157" t="s">
        <v>828</v>
      </c>
    </row>
    <row r="158" spans="1:9" ht="11.25" customHeight="1">
      <c r="A158" t="s">
        <v>2385</v>
      </c>
      <c r="B158" t="s">
        <v>16</v>
      </c>
      <c r="C158" t="s">
        <v>2924</v>
      </c>
      <c r="D158" t="s">
        <v>2925</v>
      </c>
      <c r="E158" t="s">
        <v>2926</v>
      </c>
      <c r="F158" t="s">
        <v>2434</v>
      </c>
      <c r="G158" t="s">
        <v>22</v>
      </c>
      <c r="H158" t="s">
        <v>22</v>
      </c>
      <c r="I158" t="s">
        <v>828</v>
      </c>
    </row>
    <row r="159" spans="1:9" ht="11.25" customHeight="1">
      <c r="A159" t="s">
        <v>2385</v>
      </c>
      <c r="B159" t="s">
        <v>16</v>
      </c>
      <c r="C159" t="s">
        <v>2927</v>
      </c>
      <c r="D159" t="s">
        <v>2928</v>
      </c>
      <c r="E159" t="s">
        <v>2929</v>
      </c>
      <c r="F159" t="s">
        <v>2434</v>
      </c>
      <c r="G159" t="s">
        <v>22</v>
      </c>
      <c r="H159" t="s">
        <v>22</v>
      </c>
      <c r="I159" t="s">
        <v>828</v>
      </c>
    </row>
    <row r="160" spans="1:9" ht="11.25" customHeight="1">
      <c r="A160" t="s">
        <v>2385</v>
      </c>
      <c r="B160" t="s">
        <v>16</v>
      </c>
      <c r="C160" t="s">
        <v>2930</v>
      </c>
      <c r="D160" t="s">
        <v>2931</v>
      </c>
      <c r="E160" t="s">
        <v>2932</v>
      </c>
      <c r="F160" t="s">
        <v>2911</v>
      </c>
      <c r="G160" t="s">
        <v>22</v>
      </c>
      <c r="H160" t="s">
        <v>22</v>
      </c>
      <c r="I160" t="s">
        <v>828</v>
      </c>
    </row>
    <row r="161" spans="1:9" ht="11.25" customHeight="1">
      <c r="A161" t="s">
        <v>2385</v>
      </c>
      <c r="B161" t="s">
        <v>16</v>
      </c>
      <c r="C161" t="s">
        <v>2933</v>
      </c>
      <c r="D161" t="s">
        <v>2934</v>
      </c>
      <c r="E161" t="s">
        <v>2935</v>
      </c>
      <c r="F161" t="s">
        <v>2667</v>
      </c>
      <c r="G161" t="s">
        <v>22</v>
      </c>
      <c r="H161" t="s">
        <v>22</v>
      </c>
      <c r="I161" t="s">
        <v>828</v>
      </c>
    </row>
    <row r="162" spans="1:9" ht="11.25" customHeight="1">
      <c r="A162" t="s">
        <v>2385</v>
      </c>
      <c r="B162" t="s">
        <v>16</v>
      </c>
      <c r="C162" t="s">
        <v>2936</v>
      </c>
      <c r="D162" t="s">
        <v>2937</v>
      </c>
      <c r="E162" t="s">
        <v>2938</v>
      </c>
      <c r="F162" t="s">
        <v>2659</v>
      </c>
      <c r="G162" t="s">
        <v>22</v>
      </c>
      <c r="H162" t="s">
        <v>22</v>
      </c>
      <c r="I162" t="s">
        <v>828</v>
      </c>
    </row>
    <row r="163" spans="1:9" ht="11.25" customHeight="1">
      <c r="A163" t="s">
        <v>2385</v>
      </c>
      <c r="B163" t="s">
        <v>16</v>
      </c>
      <c r="C163" t="s">
        <v>2939</v>
      </c>
      <c r="D163" t="s">
        <v>2940</v>
      </c>
      <c r="E163" t="s">
        <v>2941</v>
      </c>
      <c r="F163" t="s">
        <v>2655</v>
      </c>
      <c r="G163" t="s">
        <v>22</v>
      </c>
      <c r="H163" t="s">
        <v>22</v>
      </c>
      <c r="I163" t="s">
        <v>828</v>
      </c>
    </row>
    <row r="164" spans="1:9" ht="11.25" customHeight="1">
      <c r="A164" t="s">
        <v>2385</v>
      </c>
      <c r="B164" t="s">
        <v>16</v>
      </c>
      <c r="C164" t="s">
        <v>2942</v>
      </c>
      <c r="D164" t="s">
        <v>2943</v>
      </c>
      <c r="E164" t="s">
        <v>2944</v>
      </c>
      <c r="F164" t="s">
        <v>2819</v>
      </c>
      <c r="G164" t="s">
        <v>22</v>
      </c>
      <c r="H164" t="s">
        <v>22</v>
      </c>
      <c r="I164" t="s">
        <v>828</v>
      </c>
    </row>
    <row r="165" spans="1:9" ht="11.25" customHeight="1">
      <c r="A165" t="s">
        <v>2385</v>
      </c>
      <c r="B165" t="s">
        <v>16</v>
      </c>
      <c r="C165" t="s">
        <v>2945</v>
      </c>
      <c r="D165" t="s">
        <v>2946</v>
      </c>
      <c r="E165" t="s">
        <v>2947</v>
      </c>
      <c r="F165" t="s">
        <v>2948</v>
      </c>
      <c r="G165" t="s">
        <v>22</v>
      </c>
      <c r="H165" t="s">
        <v>22</v>
      </c>
      <c r="I165" t="s">
        <v>828</v>
      </c>
    </row>
    <row r="166" spans="1:9" ht="11.25" customHeight="1">
      <c r="A166" t="s">
        <v>2385</v>
      </c>
      <c r="B166" t="s">
        <v>16</v>
      </c>
      <c r="C166" t="s">
        <v>2949</v>
      </c>
      <c r="D166" t="s">
        <v>2950</v>
      </c>
      <c r="E166" t="s">
        <v>2951</v>
      </c>
      <c r="F166" t="s">
        <v>2442</v>
      </c>
      <c r="G166" t="s">
        <v>22</v>
      </c>
      <c r="H166" t="s">
        <v>22</v>
      </c>
      <c r="I166" t="s">
        <v>828</v>
      </c>
    </row>
    <row r="167" spans="1:9" ht="11.25" customHeight="1">
      <c r="A167" t="s">
        <v>2385</v>
      </c>
      <c r="B167" t="s">
        <v>16</v>
      </c>
      <c r="C167" t="s">
        <v>2952</v>
      </c>
      <c r="D167" t="s">
        <v>2953</v>
      </c>
      <c r="E167" t="s">
        <v>2954</v>
      </c>
      <c r="F167" t="s">
        <v>2955</v>
      </c>
      <c r="G167" t="s">
        <v>22</v>
      </c>
      <c r="H167" t="s">
        <v>22</v>
      </c>
      <c r="I167" t="s">
        <v>828</v>
      </c>
    </row>
    <row r="168" spans="1:9" ht="11.25" customHeight="1">
      <c r="A168" t="s">
        <v>2385</v>
      </c>
      <c r="B168" t="s">
        <v>16</v>
      </c>
      <c r="C168" t="s">
        <v>2956</v>
      </c>
      <c r="D168" t="s">
        <v>2957</v>
      </c>
      <c r="E168" t="s">
        <v>2958</v>
      </c>
      <c r="F168" t="s">
        <v>2819</v>
      </c>
      <c r="G168" t="s">
        <v>22</v>
      </c>
      <c r="H168" t="s">
        <v>22</v>
      </c>
      <c r="I168" t="s">
        <v>828</v>
      </c>
    </row>
    <row r="169" spans="1:9" ht="11.25" customHeight="1">
      <c r="A169" t="s">
        <v>2385</v>
      </c>
      <c r="B169" t="s">
        <v>16</v>
      </c>
      <c r="C169" t="s">
        <v>2959</v>
      </c>
      <c r="D169" t="s">
        <v>2960</v>
      </c>
      <c r="E169" t="s">
        <v>2961</v>
      </c>
      <c r="F169" t="s">
        <v>2674</v>
      </c>
      <c r="G169" t="s">
        <v>22</v>
      </c>
      <c r="H169" t="s">
        <v>22</v>
      </c>
      <c r="I169" t="s">
        <v>828</v>
      </c>
    </row>
    <row r="170" spans="1:9" ht="11.25" customHeight="1">
      <c r="A170" t="s">
        <v>2385</v>
      </c>
      <c r="B170" t="s">
        <v>16</v>
      </c>
      <c r="C170" t="s">
        <v>2962</v>
      </c>
      <c r="D170" t="s">
        <v>2963</v>
      </c>
      <c r="E170" t="s">
        <v>2964</v>
      </c>
      <c r="F170" t="s">
        <v>2837</v>
      </c>
      <c r="G170" t="s">
        <v>22</v>
      </c>
      <c r="H170" t="s">
        <v>22</v>
      </c>
      <c r="I170" t="s">
        <v>828</v>
      </c>
    </row>
    <row r="171" spans="1:9" ht="11.25" customHeight="1">
      <c r="A171" t="s">
        <v>2385</v>
      </c>
      <c r="B171" t="s">
        <v>16</v>
      </c>
      <c r="C171" t="s">
        <v>2965</v>
      </c>
      <c r="D171" t="s">
        <v>2966</v>
      </c>
      <c r="E171" t="s">
        <v>2967</v>
      </c>
      <c r="F171" t="s">
        <v>2968</v>
      </c>
      <c r="G171" t="s">
        <v>22</v>
      </c>
      <c r="H171" t="s">
        <v>22</v>
      </c>
      <c r="I171" t="s">
        <v>828</v>
      </c>
    </row>
    <row r="172" spans="1:9" ht="11.25" customHeight="1">
      <c r="A172" t="s">
        <v>2385</v>
      </c>
      <c r="B172" t="s">
        <v>16</v>
      </c>
      <c r="C172" t="s">
        <v>2969</v>
      </c>
      <c r="D172" t="s">
        <v>2970</v>
      </c>
      <c r="E172" t="s">
        <v>2971</v>
      </c>
      <c r="F172" t="s">
        <v>2674</v>
      </c>
      <c r="G172" t="s">
        <v>22</v>
      </c>
      <c r="H172" t="s">
        <v>22</v>
      </c>
      <c r="I172" t="s">
        <v>828</v>
      </c>
    </row>
    <row r="173" spans="1:9" ht="11.25" customHeight="1">
      <c r="A173" t="s">
        <v>2385</v>
      </c>
      <c r="B173" t="s">
        <v>16</v>
      </c>
      <c r="C173" t="s">
        <v>2972</v>
      </c>
      <c r="D173" t="s">
        <v>2973</v>
      </c>
      <c r="E173" t="s">
        <v>2974</v>
      </c>
      <c r="F173" t="s">
        <v>2975</v>
      </c>
      <c r="G173" t="s">
        <v>22</v>
      </c>
      <c r="H173" t="s">
        <v>22</v>
      </c>
      <c r="I173" t="s">
        <v>828</v>
      </c>
    </row>
    <row r="174" spans="1:9" ht="11.25" customHeight="1">
      <c r="A174" t="s">
        <v>2385</v>
      </c>
      <c r="B174" t="s">
        <v>16</v>
      </c>
      <c r="C174" t="s">
        <v>2976</v>
      </c>
      <c r="D174" t="s">
        <v>2977</v>
      </c>
      <c r="E174" t="s">
        <v>2978</v>
      </c>
      <c r="F174" t="s">
        <v>2453</v>
      </c>
      <c r="G174" t="s">
        <v>22</v>
      </c>
      <c r="H174" t="s">
        <v>22</v>
      </c>
      <c r="I174" t="s">
        <v>828</v>
      </c>
    </row>
    <row r="175" spans="1:9" ht="11.25" customHeight="1">
      <c r="A175" t="s">
        <v>2385</v>
      </c>
      <c r="B175" t="s">
        <v>16</v>
      </c>
      <c r="C175" t="s">
        <v>2979</v>
      </c>
      <c r="D175" t="s">
        <v>2980</v>
      </c>
      <c r="E175" t="s">
        <v>2981</v>
      </c>
      <c r="F175" t="s">
        <v>2651</v>
      </c>
      <c r="G175" t="s">
        <v>22</v>
      </c>
      <c r="H175" t="s">
        <v>22</v>
      </c>
      <c r="I175" t="s">
        <v>828</v>
      </c>
    </row>
    <row r="176" spans="1:9" ht="11.25" customHeight="1">
      <c r="A176" t="s">
        <v>2385</v>
      </c>
      <c r="B176" t="s">
        <v>16</v>
      </c>
      <c r="C176" t="s">
        <v>2982</v>
      </c>
      <c r="D176" t="s">
        <v>2983</v>
      </c>
      <c r="E176" t="s">
        <v>2984</v>
      </c>
      <c r="F176" t="s">
        <v>2771</v>
      </c>
      <c r="G176" t="s">
        <v>2985</v>
      </c>
      <c r="H176" t="s">
        <v>22</v>
      </c>
      <c r="I176" t="s">
        <v>828</v>
      </c>
    </row>
    <row r="177" spans="1:9" ht="11.25" customHeight="1">
      <c r="A177" t="s">
        <v>2385</v>
      </c>
      <c r="B177" t="s">
        <v>16</v>
      </c>
      <c r="C177" t="s">
        <v>2986</v>
      </c>
      <c r="D177" t="s">
        <v>2987</v>
      </c>
      <c r="E177" t="s">
        <v>2988</v>
      </c>
      <c r="F177" t="s">
        <v>2830</v>
      </c>
      <c r="G177" t="s">
        <v>22</v>
      </c>
      <c r="H177" t="s">
        <v>22</v>
      </c>
      <c r="I177" t="s">
        <v>828</v>
      </c>
    </row>
    <row r="178" spans="1:9" ht="11.25" customHeight="1">
      <c r="A178" t="s">
        <v>2385</v>
      </c>
      <c r="B178" t="s">
        <v>16</v>
      </c>
      <c r="C178" t="s">
        <v>2989</v>
      </c>
      <c r="D178" t="s">
        <v>2990</v>
      </c>
      <c r="E178" t="s">
        <v>2991</v>
      </c>
      <c r="F178" t="s">
        <v>2659</v>
      </c>
      <c r="G178" t="s">
        <v>22</v>
      </c>
      <c r="H178" t="s">
        <v>22</v>
      </c>
      <c r="I178" t="s">
        <v>828</v>
      </c>
    </row>
    <row r="179" spans="1:9" ht="11.25" customHeight="1">
      <c r="A179" t="s">
        <v>2385</v>
      </c>
      <c r="B179" t="s">
        <v>16</v>
      </c>
      <c r="C179" t="s">
        <v>2992</v>
      </c>
      <c r="D179" t="s">
        <v>2993</v>
      </c>
      <c r="E179" t="s">
        <v>2994</v>
      </c>
      <c r="F179" t="s">
        <v>2995</v>
      </c>
      <c r="G179" t="s">
        <v>22</v>
      </c>
      <c r="H179" t="s">
        <v>22</v>
      </c>
      <c r="I179" t="s">
        <v>828</v>
      </c>
    </row>
    <row r="180" spans="1:9" ht="11.25" customHeight="1">
      <c r="A180" t="s">
        <v>2385</v>
      </c>
      <c r="B180" t="s">
        <v>16</v>
      </c>
      <c r="C180" t="s">
        <v>2996</v>
      </c>
      <c r="D180" t="s">
        <v>2997</v>
      </c>
      <c r="E180" t="s">
        <v>2998</v>
      </c>
      <c r="F180" t="s">
        <v>2631</v>
      </c>
      <c r="G180" t="s">
        <v>22</v>
      </c>
      <c r="H180" t="s">
        <v>22</v>
      </c>
      <c r="I180" t="s">
        <v>828</v>
      </c>
    </row>
    <row r="181" spans="1:9" ht="11.25" customHeight="1">
      <c r="A181" t="s">
        <v>2385</v>
      </c>
      <c r="B181" t="s">
        <v>16</v>
      </c>
      <c r="C181" t="s">
        <v>2999</v>
      </c>
      <c r="D181" t="s">
        <v>3000</v>
      </c>
      <c r="E181" t="s">
        <v>3001</v>
      </c>
      <c r="F181" t="s">
        <v>3002</v>
      </c>
      <c r="G181" t="s">
        <v>22</v>
      </c>
      <c r="H181" t="s">
        <v>22</v>
      </c>
      <c r="I181" t="s">
        <v>828</v>
      </c>
    </row>
    <row r="182" spans="1:9" ht="11.25" customHeight="1">
      <c r="A182" t="s">
        <v>2385</v>
      </c>
      <c r="B182" t="s">
        <v>16</v>
      </c>
      <c r="C182" t="s">
        <v>3003</v>
      </c>
      <c r="D182" t="s">
        <v>3004</v>
      </c>
      <c r="E182" t="s">
        <v>3005</v>
      </c>
      <c r="F182" t="s">
        <v>2667</v>
      </c>
      <c r="G182" t="s">
        <v>3006</v>
      </c>
      <c r="H182" t="s">
        <v>22</v>
      </c>
      <c r="I182" t="s">
        <v>828</v>
      </c>
    </row>
    <row r="183" spans="1:9" ht="11.25" customHeight="1">
      <c r="A183" t="s">
        <v>2385</v>
      </c>
      <c r="B183" t="s">
        <v>16</v>
      </c>
      <c r="C183" t="s">
        <v>3007</v>
      </c>
      <c r="D183" t="s">
        <v>3008</v>
      </c>
      <c r="E183" t="s">
        <v>3009</v>
      </c>
      <c r="F183" t="s">
        <v>2667</v>
      </c>
      <c r="G183" t="s">
        <v>22</v>
      </c>
      <c r="H183" t="s">
        <v>22</v>
      </c>
      <c r="I183" t="s">
        <v>828</v>
      </c>
    </row>
    <row r="184" spans="1:9" ht="11.25" customHeight="1">
      <c r="A184" t="s">
        <v>2385</v>
      </c>
      <c r="B184" t="s">
        <v>16</v>
      </c>
      <c r="C184" t="s">
        <v>3010</v>
      </c>
      <c r="D184" t="s">
        <v>3011</v>
      </c>
      <c r="E184" t="s">
        <v>3012</v>
      </c>
      <c r="F184" t="s">
        <v>3013</v>
      </c>
      <c r="G184" t="s">
        <v>22</v>
      </c>
      <c r="H184" t="s">
        <v>22</v>
      </c>
      <c r="I184" t="s">
        <v>828</v>
      </c>
    </row>
    <row r="185" spans="1:9" ht="11.25" customHeight="1">
      <c r="A185" t="s">
        <v>2385</v>
      </c>
      <c r="B185" t="s">
        <v>16</v>
      </c>
      <c r="C185" t="s">
        <v>3014</v>
      </c>
      <c r="D185" t="s">
        <v>3015</v>
      </c>
      <c r="E185" t="s">
        <v>3016</v>
      </c>
      <c r="F185" t="s">
        <v>2819</v>
      </c>
      <c r="G185" t="s">
        <v>22</v>
      </c>
      <c r="H185" t="s">
        <v>22</v>
      </c>
      <c r="I185" t="s">
        <v>828</v>
      </c>
    </row>
    <row r="186" spans="1:9" ht="11.25" customHeight="1">
      <c r="A186" t="s">
        <v>2385</v>
      </c>
      <c r="B186" t="s">
        <v>16</v>
      </c>
      <c r="C186" t="s">
        <v>3017</v>
      </c>
      <c r="D186" t="s">
        <v>3018</v>
      </c>
      <c r="E186" t="s">
        <v>3019</v>
      </c>
      <c r="F186" t="s">
        <v>2631</v>
      </c>
      <c r="G186" t="s">
        <v>3020</v>
      </c>
      <c r="H186" t="s">
        <v>22</v>
      </c>
      <c r="I186" t="s">
        <v>828</v>
      </c>
    </row>
    <row r="187" spans="1:9" ht="11.25" customHeight="1">
      <c r="A187" t="s">
        <v>2385</v>
      </c>
      <c r="B187" t="s">
        <v>16</v>
      </c>
      <c r="C187" t="s">
        <v>3021</v>
      </c>
      <c r="D187" t="s">
        <v>3022</v>
      </c>
      <c r="E187" t="s">
        <v>3023</v>
      </c>
      <c r="F187" t="s">
        <v>2975</v>
      </c>
      <c r="G187" t="s">
        <v>22</v>
      </c>
      <c r="H187" t="s">
        <v>22</v>
      </c>
      <c r="I187" t="s">
        <v>828</v>
      </c>
    </row>
    <row r="188" spans="1:9" ht="11.25" customHeight="1">
      <c r="A188" t="s">
        <v>2385</v>
      </c>
      <c r="B188" t="s">
        <v>16</v>
      </c>
      <c r="C188" t="s">
        <v>3024</v>
      </c>
      <c r="D188" t="s">
        <v>3025</v>
      </c>
      <c r="E188" t="s">
        <v>3026</v>
      </c>
      <c r="F188" t="s">
        <v>3027</v>
      </c>
      <c r="G188" t="s">
        <v>22</v>
      </c>
      <c r="H188" t="s">
        <v>22</v>
      </c>
      <c r="I188" t="s">
        <v>828</v>
      </c>
    </row>
    <row r="189" spans="1:9" ht="11.25" customHeight="1">
      <c r="A189" t="s">
        <v>2385</v>
      </c>
      <c r="B189" t="s">
        <v>16</v>
      </c>
      <c r="C189" t="s">
        <v>3028</v>
      </c>
      <c r="D189" t="s">
        <v>3029</v>
      </c>
      <c r="E189" t="s">
        <v>3030</v>
      </c>
      <c r="F189" t="s">
        <v>2975</v>
      </c>
      <c r="G189" t="s">
        <v>22</v>
      </c>
      <c r="H189" t="s">
        <v>22</v>
      </c>
      <c r="I189" t="s">
        <v>828</v>
      </c>
    </row>
    <row r="190" spans="1:9" ht="11.25" customHeight="1">
      <c r="A190" t="s">
        <v>2385</v>
      </c>
      <c r="B190" t="s">
        <v>16</v>
      </c>
      <c r="C190" t="s">
        <v>3031</v>
      </c>
      <c r="D190" t="s">
        <v>3032</v>
      </c>
      <c r="E190" t="s">
        <v>3033</v>
      </c>
      <c r="F190" t="s">
        <v>2771</v>
      </c>
      <c r="G190" t="s">
        <v>3034</v>
      </c>
      <c r="H190" t="s">
        <v>3035</v>
      </c>
      <c r="I190" t="s">
        <v>828</v>
      </c>
    </row>
    <row r="191" spans="1:9" ht="11.25" customHeight="1">
      <c r="A191" t="s">
        <v>2385</v>
      </c>
      <c r="B191" t="s">
        <v>16</v>
      </c>
      <c r="C191" t="s">
        <v>3036</v>
      </c>
      <c r="D191" t="s">
        <v>3037</v>
      </c>
      <c r="E191" t="s">
        <v>3038</v>
      </c>
      <c r="F191" t="s">
        <v>2631</v>
      </c>
      <c r="G191" t="s">
        <v>3039</v>
      </c>
      <c r="H191" t="s">
        <v>22</v>
      </c>
      <c r="I191" t="s">
        <v>828</v>
      </c>
    </row>
    <row r="192" spans="1:9" ht="11.25" customHeight="1">
      <c r="A192" t="s">
        <v>2385</v>
      </c>
      <c r="B192" t="s">
        <v>16</v>
      </c>
      <c r="C192" t="s">
        <v>3040</v>
      </c>
      <c r="D192" t="s">
        <v>3041</v>
      </c>
      <c r="E192" t="s">
        <v>3042</v>
      </c>
      <c r="F192" t="s">
        <v>2393</v>
      </c>
      <c r="G192" t="s">
        <v>22</v>
      </c>
      <c r="H192" t="s">
        <v>22</v>
      </c>
      <c r="I192" t="s">
        <v>828</v>
      </c>
    </row>
    <row r="193" spans="1:9" ht="11.25" customHeight="1">
      <c r="A193" t="s">
        <v>2385</v>
      </c>
      <c r="B193" t="s">
        <v>16</v>
      </c>
      <c r="C193" t="s">
        <v>3043</v>
      </c>
      <c r="D193" t="s">
        <v>3044</v>
      </c>
      <c r="E193" t="s">
        <v>3045</v>
      </c>
      <c r="F193" t="s">
        <v>2393</v>
      </c>
      <c r="G193" t="s">
        <v>22</v>
      </c>
      <c r="H193" t="s">
        <v>22</v>
      </c>
      <c r="I193" t="s">
        <v>828</v>
      </c>
    </row>
    <row r="194" spans="1:9" ht="11.25" customHeight="1">
      <c r="A194" t="s">
        <v>2385</v>
      </c>
      <c r="B194" t="s">
        <v>16</v>
      </c>
      <c r="C194" t="s">
        <v>3046</v>
      </c>
      <c r="D194" t="s">
        <v>3047</v>
      </c>
      <c r="E194" t="s">
        <v>2626</v>
      </c>
      <c r="F194" t="s">
        <v>2690</v>
      </c>
      <c r="G194" t="s">
        <v>22</v>
      </c>
      <c r="H194" t="s">
        <v>22</v>
      </c>
      <c r="I194" t="s">
        <v>828</v>
      </c>
    </row>
    <row r="195" spans="1:9" ht="11.25" customHeight="1">
      <c r="A195" t="s">
        <v>2385</v>
      </c>
      <c r="B195" t="s">
        <v>16</v>
      </c>
      <c r="C195" t="s">
        <v>3048</v>
      </c>
      <c r="D195" t="s">
        <v>3049</v>
      </c>
      <c r="E195" t="s">
        <v>3050</v>
      </c>
      <c r="F195" t="s">
        <v>3051</v>
      </c>
      <c r="G195" t="s">
        <v>22</v>
      </c>
      <c r="H195" t="s">
        <v>22</v>
      </c>
      <c r="I195" t="s">
        <v>828</v>
      </c>
    </row>
    <row r="196" spans="1:9" ht="11.25" customHeight="1">
      <c r="A196" t="s">
        <v>2385</v>
      </c>
      <c r="B196" t="s">
        <v>16</v>
      </c>
      <c r="C196" t="s">
        <v>3052</v>
      </c>
      <c r="D196" t="s">
        <v>3053</v>
      </c>
      <c r="E196" t="s">
        <v>3050</v>
      </c>
      <c r="F196" t="s">
        <v>3054</v>
      </c>
      <c r="G196" t="s">
        <v>22</v>
      </c>
      <c r="H196" t="s">
        <v>22</v>
      </c>
      <c r="I196" t="s">
        <v>828</v>
      </c>
    </row>
    <row r="197" spans="1:9" ht="11.25" customHeight="1">
      <c r="A197" t="s">
        <v>2385</v>
      </c>
      <c r="B197" t="s">
        <v>16</v>
      </c>
      <c r="C197" t="s">
        <v>3055</v>
      </c>
      <c r="D197" t="s">
        <v>3056</v>
      </c>
      <c r="E197" t="s">
        <v>3057</v>
      </c>
      <c r="F197" t="s">
        <v>2631</v>
      </c>
      <c r="G197" t="s">
        <v>22</v>
      </c>
      <c r="H197" t="s">
        <v>22</v>
      </c>
      <c r="I197" t="s">
        <v>828</v>
      </c>
    </row>
    <row r="198" spans="1:9" ht="11.25" customHeight="1">
      <c r="A198" t="s">
        <v>2385</v>
      </c>
      <c r="B198" t="s">
        <v>16</v>
      </c>
      <c r="C198" t="s">
        <v>3058</v>
      </c>
      <c r="D198" t="s">
        <v>3059</v>
      </c>
      <c r="E198" t="s">
        <v>3060</v>
      </c>
      <c r="F198" t="s">
        <v>2690</v>
      </c>
      <c r="G198" t="s">
        <v>22</v>
      </c>
      <c r="H198" t="s">
        <v>22</v>
      </c>
      <c r="I198" t="s">
        <v>828</v>
      </c>
    </row>
    <row r="199" spans="1:9" ht="11.25" customHeight="1">
      <c r="A199" t="s">
        <v>2385</v>
      </c>
      <c r="B199" t="s">
        <v>16</v>
      </c>
      <c r="C199" t="s">
        <v>3061</v>
      </c>
      <c r="D199" t="s">
        <v>3062</v>
      </c>
      <c r="E199" t="s">
        <v>3063</v>
      </c>
      <c r="F199" t="s">
        <v>2613</v>
      </c>
      <c r="G199" t="s">
        <v>22</v>
      </c>
      <c r="H199" t="s">
        <v>22</v>
      </c>
      <c r="I199" t="s">
        <v>828</v>
      </c>
    </row>
    <row r="200" spans="1:9" ht="11.25" customHeight="1">
      <c r="A200" t="s">
        <v>2385</v>
      </c>
      <c r="B200" t="s">
        <v>16</v>
      </c>
      <c r="C200" t="s">
        <v>3064</v>
      </c>
      <c r="D200" t="s">
        <v>3065</v>
      </c>
      <c r="E200" t="s">
        <v>3066</v>
      </c>
      <c r="F200" t="s">
        <v>2674</v>
      </c>
      <c r="G200" t="s">
        <v>22</v>
      </c>
      <c r="H200" t="s">
        <v>22</v>
      </c>
      <c r="I200" t="s">
        <v>828</v>
      </c>
    </row>
    <row r="201" spans="1:9" ht="11.25" customHeight="1">
      <c r="A201" t="s">
        <v>2385</v>
      </c>
      <c r="B201" t="s">
        <v>16</v>
      </c>
      <c r="C201" t="s">
        <v>3067</v>
      </c>
      <c r="D201" t="s">
        <v>3068</v>
      </c>
      <c r="E201" t="s">
        <v>3069</v>
      </c>
      <c r="F201" t="s">
        <v>3070</v>
      </c>
      <c r="G201" t="s">
        <v>22</v>
      </c>
      <c r="H201" t="s">
        <v>22</v>
      </c>
      <c r="I201" t="s">
        <v>828</v>
      </c>
    </row>
    <row r="202" spans="1:9" ht="11.25" customHeight="1">
      <c r="A202" t="s">
        <v>2385</v>
      </c>
      <c r="B202" t="s">
        <v>16</v>
      </c>
      <c r="C202" t="s">
        <v>3071</v>
      </c>
      <c r="D202" t="s">
        <v>3072</v>
      </c>
      <c r="E202" t="s">
        <v>3073</v>
      </c>
      <c r="F202" t="s">
        <v>50</v>
      </c>
      <c r="G202" t="s">
        <v>22</v>
      </c>
      <c r="H202" t="s">
        <v>22</v>
      </c>
      <c r="I202" t="s">
        <v>828</v>
      </c>
    </row>
    <row r="203" spans="1:9" ht="11.25" customHeight="1">
      <c r="A203" t="s">
        <v>2385</v>
      </c>
      <c r="B203" t="s">
        <v>16</v>
      </c>
      <c r="C203" t="s">
        <v>3074</v>
      </c>
      <c r="D203" t="s">
        <v>3075</v>
      </c>
      <c r="E203" t="s">
        <v>2563</v>
      </c>
      <c r="F203" t="s">
        <v>3076</v>
      </c>
      <c r="G203" t="s">
        <v>22</v>
      </c>
      <c r="H203" t="s">
        <v>22</v>
      </c>
      <c r="I203" t="s">
        <v>828</v>
      </c>
    </row>
    <row r="204" spans="1:9" ht="11.25" customHeight="1">
      <c r="A204" t="s">
        <v>2385</v>
      </c>
      <c r="B204" t="s">
        <v>16</v>
      </c>
      <c r="C204" t="s">
        <v>3077</v>
      </c>
      <c r="D204" t="s">
        <v>3078</v>
      </c>
      <c r="E204" t="s">
        <v>3079</v>
      </c>
      <c r="F204" t="s">
        <v>2690</v>
      </c>
      <c r="G204" t="s">
        <v>22</v>
      </c>
      <c r="H204" t="s">
        <v>22</v>
      </c>
      <c r="I204" t="s">
        <v>828</v>
      </c>
    </row>
    <row r="205" spans="1:9" ht="11.25" customHeight="1">
      <c r="A205" t="s">
        <v>2385</v>
      </c>
      <c r="B205" t="s">
        <v>16</v>
      </c>
      <c r="C205" t="s">
        <v>3080</v>
      </c>
      <c r="D205" t="s">
        <v>3081</v>
      </c>
      <c r="E205" t="s">
        <v>3082</v>
      </c>
      <c r="F205" t="s">
        <v>2463</v>
      </c>
      <c r="G205" t="s">
        <v>22</v>
      </c>
      <c r="H205" t="s">
        <v>22</v>
      </c>
      <c r="I205" t="s">
        <v>828</v>
      </c>
    </row>
    <row r="206" spans="1:9" ht="11.25" customHeight="1">
      <c r="A206" t="s">
        <v>2385</v>
      </c>
      <c r="B206" t="s">
        <v>16</v>
      </c>
      <c r="C206" t="s">
        <v>3083</v>
      </c>
      <c r="D206" t="s">
        <v>3084</v>
      </c>
      <c r="E206" t="s">
        <v>3085</v>
      </c>
      <c r="F206" t="s">
        <v>50</v>
      </c>
      <c r="G206" t="s">
        <v>22</v>
      </c>
      <c r="H206" t="s">
        <v>22</v>
      </c>
      <c r="I206" t="s">
        <v>828</v>
      </c>
    </row>
    <row r="207" spans="1:9" ht="11.25" customHeight="1">
      <c r="A207" t="s">
        <v>2385</v>
      </c>
      <c r="B207" t="s">
        <v>16</v>
      </c>
      <c r="C207" t="s">
        <v>3086</v>
      </c>
      <c r="D207" t="s">
        <v>3087</v>
      </c>
      <c r="E207" t="s">
        <v>3088</v>
      </c>
      <c r="F207" t="s">
        <v>2449</v>
      </c>
      <c r="G207" t="s">
        <v>22</v>
      </c>
      <c r="H207" t="s">
        <v>22</v>
      </c>
      <c r="I207" t="s">
        <v>828</v>
      </c>
    </row>
    <row r="208" spans="1:9" ht="11.25" customHeight="1">
      <c r="A208" t="s">
        <v>2385</v>
      </c>
      <c r="B208" t="s">
        <v>16</v>
      </c>
      <c r="C208" t="s">
        <v>3089</v>
      </c>
      <c r="D208" t="s">
        <v>3090</v>
      </c>
      <c r="E208" t="s">
        <v>3091</v>
      </c>
      <c r="F208" t="s">
        <v>2463</v>
      </c>
      <c r="G208" t="s">
        <v>22</v>
      </c>
      <c r="H208" t="s">
        <v>22</v>
      </c>
      <c r="I208" t="s">
        <v>828</v>
      </c>
    </row>
    <row r="209" spans="1:9" ht="11.25" customHeight="1">
      <c r="A209" t="s">
        <v>2385</v>
      </c>
      <c r="B209" t="s">
        <v>16</v>
      </c>
      <c r="C209" t="s">
        <v>3092</v>
      </c>
      <c r="D209" t="s">
        <v>3093</v>
      </c>
      <c r="E209" t="s">
        <v>3094</v>
      </c>
      <c r="F209" t="s">
        <v>2508</v>
      </c>
      <c r="G209" t="s">
        <v>22</v>
      </c>
      <c r="H209" t="s">
        <v>22</v>
      </c>
      <c r="I209" t="s">
        <v>828</v>
      </c>
    </row>
    <row r="210" spans="1:9" ht="11.25" customHeight="1">
      <c r="A210" t="s">
        <v>2385</v>
      </c>
      <c r="B210" t="s">
        <v>16</v>
      </c>
      <c r="C210" t="s">
        <v>3095</v>
      </c>
      <c r="D210" t="s">
        <v>3096</v>
      </c>
      <c r="E210" t="s">
        <v>3097</v>
      </c>
      <c r="F210" t="s">
        <v>2667</v>
      </c>
      <c r="G210" t="s">
        <v>22</v>
      </c>
      <c r="H210" t="s">
        <v>3098</v>
      </c>
      <c r="I210" t="s">
        <v>828</v>
      </c>
    </row>
    <row r="211" spans="1:9" ht="11.25" customHeight="1">
      <c r="A211" t="s">
        <v>2385</v>
      </c>
      <c r="B211" t="s">
        <v>16</v>
      </c>
      <c r="C211" t="s">
        <v>3099</v>
      </c>
      <c r="D211" t="s">
        <v>3100</v>
      </c>
      <c r="E211" t="s">
        <v>3101</v>
      </c>
      <c r="F211" t="s">
        <v>3102</v>
      </c>
      <c r="G211" t="s">
        <v>22</v>
      </c>
      <c r="H211" t="s">
        <v>22</v>
      </c>
      <c r="I211" t="s">
        <v>828</v>
      </c>
    </row>
    <row r="212" spans="1:9" ht="11.25" customHeight="1">
      <c r="A212" t="s">
        <v>2385</v>
      </c>
      <c r="B212" t="s">
        <v>16</v>
      </c>
      <c r="C212" t="s">
        <v>3103</v>
      </c>
      <c r="D212" t="s">
        <v>3104</v>
      </c>
      <c r="E212" t="s">
        <v>3105</v>
      </c>
      <c r="F212" t="s">
        <v>2841</v>
      </c>
      <c r="G212" t="s">
        <v>22</v>
      </c>
      <c r="H212" t="s">
        <v>22</v>
      </c>
      <c r="I212" t="s">
        <v>828</v>
      </c>
    </row>
    <row r="213" spans="1:9" ht="11.25" customHeight="1">
      <c r="A213" t="s">
        <v>2385</v>
      </c>
      <c r="B213" t="s">
        <v>16</v>
      </c>
      <c r="C213" t="s">
        <v>3106</v>
      </c>
      <c r="D213" t="s">
        <v>3107</v>
      </c>
      <c r="E213" t="s">
        <v>3108</v>
      </c>
      <c r="F213" t="s">
        <v>2484</v>
      </c>
      <c r="G213" t="s">
        <v>22</v>
      </c>
      <c r="H213" t="s">
        <v>22</v>
      </c>
      <c r="I213" t="s">
        <v>828</v>
      </c>
    </row>
    <row r="214" spans="1:9" ht="11.25" customHeight="1">
      <c r="A214" t="s">
        <v>2385</v>
      </c>
      <c r="B214" t="s">
        <v>16</v>
      </c>
      <c r="C214" t="s">
        <v>3109</v>
      </c>
      <c r="D214" t="s">
        <v>3110</v>
      </c>
      <c r="E214" t="s">
        <v>3111</v>
      </c>
      <c r="F214" t="s">
        <v>2442</v>
      </c>
      <c r="G214" t="s">
        <v>22</v>
      </c>
      <c r="H214" t="s">
        <v>22</v>
      </c>
      <c r="I214" t="s">
        <v>828</v>
      </c>
    </row>
    <row r="215" spans="1:9" ht="11.25" customHeight="1">
      <c r="A215" t="s">
        <v>2385</v>
      </c>
      <c r="B215" t="s">
        <v>16</v>
      </c>
      <c r="C215" t="s">
        <v>3112</v>
      </c>
      <c r="D215" t="s">
        <v>3113</v>
      </c>
      <c r="E215" t="s">
        <v>3114</v>
      </c>
      <c r="F215" t="s">
        <v>2416</v>
      </c>
      <c r="G215" t="s">
        <v>22</v>
      </c>
      <c r="H215" t="s">
        <v>22</v>
      </c>
      <c r="I215" t="s">
        <v>828</v>
      </c>
    </row>
    <row r="216" spans="1:9" ht="11.25" customHeight="1">
      <c r="A216" t="s">
        <v>2385</v>
      </c>
      <c r="B216" t="s">
        <v>16</v>
      </c>
      <c r="C216" t="s">
        <v>3115</v>
      </c>
      <c r="D216" t="s">
        <v>3116</v>
      </c>
      <c r="E216" t="s">
        <v>3117</v>
      </c>
      <c r="F216" t="s">
        <v>2508</v>
      </c>
      <c r="G216" t="s">
        <v>22</v>
      </c>
      <c r="H216" t="s">
        <v>22</v>
      </c>
      <c r="I216" t="s">
        <v>828</v>
      </c>
    </row>
    <row r="217" spans="1:9" ht="11.25" customHeight="1">
      <c r="A217" t="s">
        <v>2385</v>
      </c>
      <c r="B217" t="s">
        <v>16</v>
      </c>
      <c r="C217" t="s">
        <v>3118</v>
      </c>
      <c r="D217" t="s">
        <v>3119</v>
      </c>
      <c r="E217" t="s">
        <v>3120</v>
      </c>
      <c r="F217" t="s">
        <v>2819</v>
      </c>
      <c r="G217" t="s">
        <v>22</v>
      </c>
      <c r="H217" t="s">
        <v>22</v>
      </c>
      <c r="I217" t="s">
        <v>828</v>
      </c>
    </row>
    <row r="218" spans="1:9" ht="11.25" customHeight="1">
      <c r="A218" t="s">
        <v>2385</v>
      </c>
      <c r="B218" t="s">
        <v>16</v>
      </c>
      <c r="C218" t="s">
        <v>3121</v>
      </c>
      <c r="D218" t="s">
        <v>3122</v>
      </c>
      <c r="E218" t="s">
        <v>3123</v>
      </c>
      <c r="F218" t="s">
        <v>2442</v>
      </c>
      <c r="G218" t="s">
        <v>22</v>
      </c>
      <c r="H218" t="s">
        <v>22</v>
      </c>
      <c r="I218" t="s">
        <v>828</v>
      </c>
    </row>
    <row r="219" spans="1:9" ht="11.25" customHeight="1">
      <c r="A219" t="s">
        <v>2385</v>
      </c>
      <c r="B219" t="s">
        <v>16</v>
      </c>
      <c r="C219" t="s">
        <v>3124</v>
      </c>
      <c r="D219" t="s">
        <v>3125</v>
      </c>
      <c r="E219" t="s">
        <v>3126</v>
      </c>
      <c r="F219" t="s">
        <v>2799</v>
      </c>
      <c r="G219" t="s">
        <v>22</v>
      </c>
      <c r="H219" t="s">
        <v>22</v>
      </c>
      <c r="I219" t="s">
        <v>828</v>
      </c>
    </row>
    <row r="220" spans="1:9" ht="11.25" customHeight="1">
      <c r="A220" t="s">
        <v>2385</v>
      </c>
      <c r="B220" t="s">
        <v>16</v>
      </c>
      <c r="C220" t="s">
        <v>3127</v>
      </c>
      <c r="D220" t="s">
        <v>3128</v>
      </c>
      <c r="E220" t="s">
        <v>2699</v>
      </c>
      <c r="F220" t="s">
        <v>3129</v>
      </c>
      <c r="G220" t="s">
        <v>22</v>
      </c>
      <c r="H220" t="s">
        <v>22</v>
      </c>
      <c r="I220" t="s">
        <v>828</v>
      </c>
    </row>
    <row r="221" spans="1:9" ht="11.25" customHeight="1">
      <c r="A221" t="s">
        <v>2385</v>
      </c>
      <c r="B221" t="s">
        <v>16</v>
      </c>
      <c r="C221" t="s">
        <v>3130</v>
      </c>
      <c r="D221" t="s">
        <v>3131</v>
      </c>
      <c r="E221" t="s">
        <v>3132</v>
      </c>
      <c r="F221" t="s">
        <v>2613</v>
      </c>
      <c r="G221" t="s">
        <v>22</v>
      </c>
      <c r="H221" t="s">
        <v>22</v>
      </c>
      <c r="I221" t="s">
        <v>828</v>
      </c>
    </row>
    <row r="222" spans="1:9" ht="11.25" customHeight="1">
      <c r="A222" t="s">
        <v>2385</v>
      </c>
      <c r="B222" t="s">
        <v>16</v>
      </c>
      <c r="C222" t="s">
        <v>3133</v>
      </c>
      <c r="D222" t="s">
        <v>3134</v>
      </c>
      <c r="E222" t="s">
        <v>3135</v>
      </c>
      <c r="F222" t="s">
        <v>2406</v>
      </c>
      <c r="G222" t="s">
        <v>22</v>
      </c>
      <c r="H222" t="s">
        <v>22</v>
      </c>
      <c r="I222" t="s">
        <v>828</v>
      </c>
    </row>
    <row r="223" spans="1:9" ht="11.25" customHeight="1">
      <c r="A223" t="s">
        <v>2385</v>
      </c>
      <c r="B223" t="s">
        <v>16</v>
      </c>
      <c r="C223" t="s">
        <v>3136</v>
      </c>
      <c r="D223" t="s">
        <v>3137</v>
      </c>
      <c r="E223" t="s">
        <v>3138</v>
      </c>
      <c r="F223" t="s">
        <v>2463</v>
      </c>
      <c r="G223" t="s">
        <v>22</v>
      </c>
      <c r="H223" t="s">
        <v>22</v>
      </c>
      <c r="I223" t="s">
        <v>828</v>
      </c>
    </row>
    <row r="224" spans="1:9" ht="11.25" customHeight="1">
      <c r="A224" t="s">
        <v>2385</v>
      </c>
      <c r="B224" t="s">
        <v>16</v>
      </c>
      <c r="C224" t="s">
        <v>3139</v>
      </c>
      <c r="D224" t="s">
        <v>3140</v>
      </c>
      <c r="E224" t="s">
        <v>3141</v>
      </c>
      <c r="F224" t="s">
        <v>2393</v>
      </c>
      <c r="G224" t="s">
        <v>22</v>
      </c>
      <c r="H224" t="s">
        <v>22</v>
      </c>
      <c r="I224" t="s">
        <v>828</v>
      </c>
    </row>
    <row r="225" spans="1:9" ht="11.25" customHeight="1">
      <c r="A225" t="s">
        <v>2385</v>
      </c>
      <c r="B225" t="s">
        <v>16</v>
      </c>
      <c r="C225" t="s">
        <v>3142</v>
      </c>
      <c r="D225" t="s">
        <v>3143</v>
      </c>
      <c r="E225" t="s">
        <v>3144</v>
      </c>
      <c r="F225" t="s">
        <v>2651</v>
      </c>
      <c r="G225" t="s">
        <v>22</v>
      </c>
      <c r="H225" t="s">
        <v>22</v>
      </c>
      <c r="I225" t="s">
        <v>828</v>
      </c>
    </row>
    <row r="226" spans="1:9" ht="11.25" customHeight="1">
      <c r="A226" t="s">
        <v>2385</v>
      </c>
      <c r="B226" t="s">
        <v>16</v>
      </c>
      <c r="C226" t="s">
        <v>3145</v>
      </c>
      <c r="D226" t="s">
        <v>3146</v>
      </c>
      <c r="E226" t="s">
        <v>3147</v>
      </c>
      <c r="F226" t="s">
        <v>3148</v>
      </c>
      <c r="G226" t="s">
        <v>22</v>
      </c>
      <c r="H226" t="s">
        <v>22</v>
      </c>
      <c r="I226" t="s">
        <v>828</v>
      </c>
    </row>
    <row r="227" spans="1:9" ht="11.25" customHeight="1">
      <c r="A227" t="s">
        <v>2385</v>
      </c>
      <c r="B227" t="s">
        <v>16</v>
      </c>
      <c r="C227" t="s">
        <v>3149</v>
      </c>
      <c r="D227" t="s">
        <v>3150</v>
      </c>
      <c r="E227" t="s">
        <v>3151</v>
      </c>
      <c r="F227" t="s">
        <v>2463</v>
      </c>
      <c r="G227" t="s">
        <v>22</v>
      </c>
      <c r="H227" t="s">
        <v>22</v>
      </c>
      <c r="I227" t="s">
        <v>828</v>
      </c>
    </row>
    <row r="228" spans="1:9" ht="11.25" customHeight="1">
      <c r="A228" t="s">
        <v>2385</v>
      </c>
      <c r="B228" t="s">
        <v>16</v>
      </c>
      <c r="C228" t="s">
        <v>3152</v>
      </c>
      <c r="D228" t="s">
        <v>3153</v>
      </c>
      <c r="E228" t="s">
        <v>3154</v>
      </c>
      <c r="F228" t="s">
        <v>3102</v>
      </c>
      <c r="G228" t="s">
        <v>22</v>
      </c>
      <c r="H228" t="s">
        <v>22</v>
      </c>
      <c r="I228" t="s">
        <v>828</v>
      </c>
    </row>
    <row r="229" spans="1:9" ht="11.25" customHeight="1">
      <c r="A229" t="s">
        <v>2385</v>
      </c>
      <c r="B229" t="s">
        <v>16</v>
      </c>
      <c r="C229" t="s">
        <v>3155</v>
      </c>
      <c r="D229" t="s">
        <v>3156</v>
      </c>
      <c r="E229" t="s">
        <v>3157</v>
      </c>
      <c r="F229" t="s">
        <v>2690</v>
      </c>
      <c r="G229" t="s">
        <v>22</v>
      </c>
      <c r="H229" t="s">
        <v>22</v>
      </c>
      <c r="I229" t="s">
        <v>828</v>
      </c>
    </row>
    <row r="230" spans="1:9" ht="11.25" customHeight="1">
      <c r="A230" t="s">
        <v>2385</v>
      </c>
      <c r="B230" t="s">
        <v>16</v>
      </c>
      <c r="C230" t="s">
        <v>3158</v>
      </c>
      <c r="D230" t="s">
        <v>3159</v>
      </c>
      <c r="E230" t="s">
        <v>3160</v>
      </c>
      <c r="F230" t="s">
        <v>2427</v>
      </c>
      <c r="G230" t="s">
        <v>22</v>
      </c>
      <c r="H230" t="s">
        <v>22</v>
      </c>
      <c r="I230" t="s">
        <v>828</v>
      </c>
    </row>
    <row r="231" spans="1:9" ht="11.25" customHeight="1">
      <c r="A231" t="s">
        <v>2385</v>
      </c>
      <c r="B231" t="s">
        <v>16</v>
      </c>
      <c r="C231" t="s">
        <v>3161</v>
      </c>
      <c r="D231" t="s">
        <v>3162</v>
      </c>
      <c r="E231" t="s">
        <v>3163</v>
      </c>
      <c r="F231" t="s">
        <v>2427</v>
      </c>
      <c r="G231" t="s">
        <v>22</v>
      </c>
      <c r="H231" t="s">
        <v>22</v>
      </c>
      <c r="I231" t="s">
        <v>828</v>
      </c>
    </row>
    <row r="232" spans="1:9" ht="11.25" customHeight="1">
      <c r="A232" t="s">
        <v>2385</v>
      </c>
      <c r="B232" t="s">
        <v>16</v>
      </c>
      <c r="C232" t="s">
        <v>3164</v>
      </c>
      <c r="D232" t="s">
        <v>3165</v>
      </c>
      <c r="E232" t="s">
        <v>3166</v>
      </c>
      <c r="F232" t="s">
        <v>2508</v>
      </c>
      <c r="G232" t="s">
        <v>22</v>
      </c>
      <c r="H232" t="s">
        <v>22</v>
      </c>
      <c r="I232" t="s">
        <v>828</v>
      </c>
    </row>
    <row r="233" spans="1:9" ht="11.25" customHeight="1">
      <c r="A233" t="s">
        <v>2385</v>
      </c>
      <c r="B233" t="s">
        <v>16</v>
      </c>
      <c r="C233" t="s">
        <v>3167</v>
      </c>
      <c r="D233" t="s">
        <v>3168</v>
      </c>
      <c r="E233" t="s">
        <v>3169</v>
      </c>
      <c r="F233" t="s">
        <v>2393</v>
      </c>
      <c r="G233" t="s">
        <v>22</v>
      </c>
      <c r="H233" t="s">
        <v>22</v>
      </c>
      <c r="I233" t="s">
        <v>828</v>
      </c>
    </row>
    <row r="234" spans="1:9" ht="11.25" customHeight="1">
      <c r="A234" t="s">
        <v>2385</v>
      </c>
      <c r="B234" t="s">
        <v>16</v>
      </c>
      <c r="C234" t="s">
        <v>3170</v>
      </c>
      <c r="D234" t="s">
        <v>3171</v>
      </c>
      <c r="E234" t="s">
        <v>2635</v>
      </c>
      <c r="F234" t="s">
        <v>2406</v>
      </c>
      <c r="G234" t="s">
        <v>22</v>
      </c>
      <c r="H234" t="s">
        <v>22</v>
      </c>
      <c r="I234" t="s">
        <v>828</v>
      </c>
    </row>
    <row r="235" spans="1:9" ht="11.25" customHeight="1">
      <c r="A235" t="s">
        <v>2385</v>
      </c>
      <c r="B235" t="s">
        <v>16</v>
      </c>
      <c r="C235" t="s">
        <v>3172</v>
      </c>
      <c r="D235" t="s">
        <v>3173</v>
      </c>
      <c r="E235" t="s">
        <v>3174</v>
      </c>
      <c r="F235" t="s">
        <v>2508</v>
      </c>
      <c r="G235" t="s">
        <v>22</v>
      </c>
      <c r="H235" t="s">
        <v>22</v>
      </c>
      <c r="I235" t="s">
        <v>828</v>
      </c>
    </row>
    <row r="236" spans="1:9" ht="11.25" customHeight="1">
      <c r="A236" t="s">
        <v>2385</v>
      </c>
      <c r="B236" t="s">
        <v>16</v>
      </c>
      <c r="C236" t="s">
        <v>3175</v>
      </c>
      <c r="D236" t="s">
        <v>3176</v>
      </c>
      <c r="E236" t="s">
        <v>3177</v>
      </c>
      <c r="F236" t="s">
        <v>2613</v>
      </c>
      <c r="G236" t="s">
        <v>22</v>
      </c>
      <c r="H236" t="s">
        <v>22</v>
      </c>
      <c r="I236" t="s">
        <v>828</v>
      </c>
    </row>
    <row r="237" spans="1:9" ht="11.25" customHeight="1">
      <c r="A237" t="s">
        <v>2385</v>
      </c>
      <c r="B237" t="s">
        <v>16</v>
      </c>
      <c r="C237" t="s">
        <v>3178</v>
      </c>
      <c r="D237" t="s">
        <v>3179</v>
      </c>
      <c r="E237" t="s">
        <v>3180</v>
      </c>
      <c r="F237" t="s">
        <v>2416</v>
      </c>
      <c r="G237" t="s">
        <v>22</v>
      </c>
      <c r="H237" t="s">
        <v>22</v>
      </c>
      <c r="I237" t="s">
        <v>828</v>
      </c>
    </row>
    <row r="238" spans="1:9" ht="11.25" customHeight="1">
      <c r="A238" t="s">
        <v>2385</v>
      </c>
      <c r="B238" t="s">
        <v>16</v>
      </c>
      <c r="C238" t="s">
        <v>3181</v>
      </c>
      <c r="D238" t="s">
        <v>3182</v>
      </c>
      <c r="E238" t="s">
        <v>3183</v>
      </c>
      <c r="F238" t="s">
        <v>2416</v>
      </c>
      <c r="G238" t="s">
        <v>22</v>
      </c>
      <c r="H238" t="s">
        <v>22</v>
      </c>
      <c r="I238" t="s">
        <v>828</v>
      </c>
    </row>
    <row r="239" spans="1:9" ht="11.25" customHeight="1">
      <c r="A239" t="s">
        <v>2385</v>
      </c>
      <c r="B239" t="s">
        <v>16</v>
      </c>
      <c r="C239" t="s">
        <v>3184</v>
      </c>
      <c r="D239" t="s">
        <v>3185</v>
      </c>
      <c r="E239" t="s">
        <v>3186</v>
      </c>
      <c r="F239" t="s">
        <v>2508</v>
      </c>
      <c r="G239" t="s">
        <v>22</v>
      </c>
      <c r="H239" t="s">
        <v>22</v>
      </c>
      <c r="I239" t="s">
        <v>828</v>
      </c>
    </row>
    <row r="240" spans="1:9" ht="11.25" customHeight="1">
      <c r="A240" t="s">
        <v>2385</v>
      </c>
      <c r="B240" t="s">
        <v>16</v>
      </c>
      <c r="C240" t="s">
        <v>3187</v>
      </c>
      <c r="D240" t="s">
        <v>3185</v>
      </c>
      <c r="E240" t="s">
        <v>3188</v>
      </c>
      <c r="F240" t="s">
        <v>2522</v>
      </c>
      <c r="G240" t="s">
        <v>3189</v>
      </c>
      <c r="H240" t="s">
        <v>22</v>
      </c>
      <c r="I240" t="s">
        <v>828</v>
      </c>
    </row>
    <row r="241" spans="1:9" ht="11.25" customHeight="1">
      <c r="A241" t="s">
        <v>2385</v>
      </c>
      <c r="B241" t="s">
        <v>16</v>
      </c>
      <c r="C241" t="s">
        <v>3190</v>
      </c>
      <c r="D241" t="s">
        <v>3191</v>
      </c>
      <c r="E241" t="s">
        <v>3192</v>
      </c>
      <c r="F241" t="s">
        <v>2484</v>
      </c>
      <c r="G241" t="s">
        <v>22</v>
      </c>
      <c r="H241" t="s">
        <v>22</v>
      </c>
      <c r="I241" t="s">
        <v>828</v>
      </c>
    </row>
    <row r="242" spans="1:9" ht="11.25" customHeight="1">
      <c r="A242" t="s">
        <v>2385</v>
      </c>
      <c r="B242" t="s">
        <v>16</v>
      </c>
      <c r="C242" t="s">
        <v>3193</v>
      </c>
      <c r="D242" t="s">
        <v>3194</v>
      </c>
      <c r="E242" t="s">
        <v>3195</v>
      </c>
      <c r="F242" t="s">
        <v>2416</v>
      </c>
      <c r="G242" t="s">
        <v>22</v>
      </c>
      <c r="H242" t="s">
        <v>22</v>
      </c>
      <c r="I242" t="s">
        <v>828</v>
      </c>
    </row>
    <row r="243" spans="1:9" ht="11.25" customHeight="1">
      <c r="A243" t="s">
        <v>2385</v>
      </c>
      <c r="B243" t="s">
        <v>16</v>
      </c>
      <c r="C243" t="s">
        <v>3196</v>
      </c>
      <c r="D243" t="s">
        <v>3197</v>
      </c>
      <c r="E243" t="s">
        <v>3198</v>
      </c>
      <c r="F243" t="s">
        <v>2416</v>
      </c>
      <c r="G243" t="s">
        <v>22</v>
      </c>
      <c r="H243" t="s">
        <v>22</v>
      </c>
      <c r="I243" t="s">
        <v>828</v>
      </c>
    </row>
    <row r="244" spans="1:9" ht="11.25" customHeight="1">
      <c r="A244" t="s">
        <v>2385</v>
      </c>
      <c r="B244" t="s">
        <v>16</v>
      </c>
      <c r="C244" t="s">
        <v>3199</v>
      </c>
      <c r="D244" t="s">
        <v>3200</v>
      </c>
      <c r="E244" t="s">
        <v>3201</v>
      </c>
      <c r="F244" t="s">
        <v>2416</v>
      </c>
      <c r="G244" t="s">
        <v>22</v>
      </c>
      <c r="H244" t="s">
        <v>22</v>
      </c>
      <c r="I244" t="s">
        <v>828</v>
      </c>
    </row>
    <row r="245" spans="1:9" ht="11.25" customHeight="1">
      <c r="A245" t="s">
        <v>2385</v>
      </c>
      <c r="B245" t="s">
        <v>16</v>
      </c>
      <c r="C245" t="s">
        <v>3202</v>
      </c>
      <c r="D245" t="s">
        <v>3203</v>
      </c>
      <c r="E245" t="s">
        <v>3204</v>
      </c>
      <c r="F245" t="s">
        <v>2667</v>
      </c>
      <c r="G245" t="s">
        <v>22</v>
      </c>
      <c r="H245" t="s">
        <v>22</v>
      </c>
      <c r="I245" t="s">
        <v>828</v>
      </c>
    </row>
    <row r="246" spans="1:9" ht="11.25" customHeight="1">
      <c r="A246" t="s">
        <v>2385</v>
      </c>
      <c r="B246" t="s">
        <v>16</v>
      </c>
      <c r="C246" t="s">
        <v>3205</v>
      </c>
      <c r="D246" t="s">
        <v>3203</v>
      </c>
      <c r="E246" t="s">
        <v>3206</v>
      </c>
      <c r="F246" t="s">
        <v>2690</v>
      </c>
      <c r="G246" t="s">
        <v>22</v>
      </c>
      <c r="H246" t="s">
        <v>22</v>
      </c>
      <c r="I246" t="s">
        <v>828</v>
      </c>
    </row>
    <row r="247" spans="1:9" ht="11.25" customHeight="1">
      <c r="A247" t="s">
        <v>2385</v>
      </c>
      <c r="B247" t="s">
        <v>16</v>
      </c>
      <c r="C247" t="s">
        <v>3207</v>
      </c>
      <c r="D247" t="s">
        <v>3208</v>
      </c>
      <c r="E247" t="s">
        <v>3209</v>
      </c>
      <c r="F247" t="s">
        <v>3210</v>
      </c>
      <c r="G247" t="s">
        <v>22</v>
      </c>
      <c r="H247" t="s">
        <v>22</v>
      </c>
      <c r="I247" t="s">
        <v>828</v>
      </c>
    </row>
    <row r="248" spans="1:9" ht="11.25" customHeight="1">
      <c r="A248" t="s">
        <v>2385</v>
      </c>
      <c r="B248" t="s">
        <v>16</v>
      </c>
      <c r="C248" t="s">
        <v>3211</v>
      </c>
      <c r="D248" t="s">
        <v>3212</v>
      </c>
      <c r="E248" t="s">
        <v>3213</v>
      </c>
      <c r="F248" t="s">
        <v>50</v>
      </c>
      <c r="G248" t="s">
        <v>22</v>
      </c>
      <c r="H248" t="s">
        <v>22</v>
      </c>
      <c r="I248" t="s">
        <v>828</v>
      </c>
    </row>
    <row r="249" spans="1:9" ht="11.25" customHeight="1">
      <c r="A249" t="s">
        <v>2385</v>
      </c>
      <c r="B249" t="s">
        <v>16</v>
      </c>
      <c r="C249" t="s">
        <v>3214</v>
      </c>
      <c r="D249" t="s">
        <v>3215</v>
      </c>
      <c r="E249" t="s">
        <v>3216</v>
      </c>
      <c r="F249" t="s">
        <v>2420</v>
      </c>
      <c r="G249" t="s">
        <v>22</v>
      </c>
      <c r="H249" t="s">
        <v>22</v>
      </c>
      <c r="I249" t="s">
        <v>828</v>
      </c>
    </row>
    <row r="250" spans="1:9" ht="11.25" customHeight="1">
      <c r="A250" t="s">
        <v>2385</v>
      </c>
      <c r="B250" t="s">
        <v>16</v>
      </c>
      <c r="C250" t="s">
        <v>3217</v>
      </c>
      <c r="D250" t="s">
        <v>3218</v>
      </c>
      <c r="E250" t="s">
        <v>3219</v>
      </c>
      <c r="F250" t="s">
        <v>2434</v>
      </c>
      <c r="G250" t="s">
        <v>22</v>
      </c>
      <c r="H250" t="s">
        <v>22</v>
      </c>
      <c r="I250" t="s">
        <v>828</v>
      </c>
    </row>
    <row r="251" spans="1:9" ht="11.25" customHeight="1">
      <c r="A251" t="s">
        <v>2385</v>
      </c>
      <c r="B251" t="s">
        <v>16</v>
      </c>
      <c r="C251" t="s">
        <v>3220</v>
      </c>
      <c r="D251" t="s">
        <v>3221</v>
      </c>
      <c r="E251" t="s">
        <v>3222</v>
      </c>
      <c r="F251" t="s">
        <v>2763</v>
      </c>
      <c r="G251" t="s">
        <v>22</v>
      </c>
      <c r="H251" t="s">
        <v>22</v>
      </c>
      <c r="I251" t="s">
        <v>828</v>
      </c>
    </row>
    <row r="252" spans="1:9" ht="11.25" customHeight="1">
      <c r="A252" t="s">
        <v>2385</v>
      </c>
      <c r="B252" t="s">
        <v>16</v>
      </c>
      <c r="C252" t="s">
        <v>3223</v>
      </c>
      <c r="D252" t="s">
        <v>3224</v>
      </c>
      <c r="E252" t="s">
        <v>3225</v>
      </c>
      <c r="F252" t="s">
        <v>50</v>
      </c>
      <c r="G252" t="s">
        <v>3226</v>
      </c>
      <c r="H252" t="s">
        <v>22</v>
      </c>
      <c r="I252" t="s">
        <v>828</v>
      </c>
    </row>
    <row r="253" spans="1:9" ht="11.25" customHeight="1">
      <c r="A253" t="s">
        <v>2385</v>
      </c>
      <c r="B253" t="s">
        <v>16</v>
      </c>
      <c r="C253" t="s">
        <v>3227</v>
      </c>
      <c r="D253" t="s">
        <v>3228</v>
      </c>
      <c r="E253" t="s">
        <v>3229</v>
      </c>
      <c r="F253" t="s">
        <v>2674</v>
      </c>
      <c r="G253" t="s">
        <v>22</v>
      </c>
      <c r="H253" t="s">
        <v>22</v>
      </c>
      <c r="I253" t="s">
        <v>828</v>
      </c>
    </row>
    <row r="254" spans="1:9" ht="11.25" customHeight="1">
      <c r="A254" t="s">
        <v>2385</v>
      </c>
      <c r="B254" t="s">
        <v>16</v>
      </c>
      <c r="C254" t="s">
        <v>3230</v>
      </c>
      <c r="D254" t="s">
        <v>3228</v>
      </c>
      <c r="E254" t="s">
        <v>3231</v>
      </c>
      <c r="F254" t="s">
        <v>2830</v>
      </c>
      <c r="G254" t="s">
        <v>22</v>
      </c>
      <c r="H254" t="s">
        <v>22</v>
      </c>
      <c r="I254" t="s">
        <v>828</v>
      </c>
    </row>
    <row r="255" spans="1:9" ht="11.25" customHeight="1">
      <c r="A255" t="s">
        <v>2385</v>
      </c>
      <c r="B255" t="s">
        <v>16</v>
      </c>
      <c r="C255" t="s">
        <v>3232</v>
      </c>
      <c r="D255" t="s">
        <v>3233</v>
      </c>
      <c r="E255" t="s">
        <v>3234</v>
      </c>
      <c r="F255" t="s">
        <v>2401</v>
      </c>
      <c r="G255" t="s">
        <v>22</v>
      </c>
      <c r="H255" t="s">
        <v>22</v>
      </c>
      <c r="I255" t="s">
        <v>828</v>
      </c>
    </row>
    <row r="256" spans="1:9" ht="11.25" customHeight="1">
      <c r="A256" t="s">
        <v>2385</v>
      </c>
      <c r="B256" t="s">
        <v>16</v>
      </c>
      <c r="C256" t="s">
        <v>3235</v>
      </c>
      <c r="D256" t="s">
        <v>3236</v>
      </c>
      <c r="E256" t="s">
        <v>3237</v>
      </c>
      <c r="F256" t="s">
        <v>2659</v>
      </c>
      <c r="G256" t="s">
        <v>22</v>
      </c>
      <c r="H256" t="s">
        <v>22</v>
      </c>
      <c r="I256" t="s">
        <v>828</v>
      </c>
    </row>
    <row r="257" spans="1:9" ht="11.25" customHeight="1">
      <c r="A257" t="s">
        <v>2385</v>
      </c>
      <c r="B257" t="s">
        <v>16</v>
      </c>
      <c r="C257" t="s">
        <v>3238</v>
      </c>
      <c r="D257" t="s">
        <v>3239</v>
      </c>
      <c r="E257" t="s">
        <v>3240</v>
      </c>
      <c r="F257" t="s">
        <v>2393</v>
      </c>
      <c r="G257" t="s">
        <v>22</v>
      </c>
      <c r="H257" t="s">
        <v>22</v>
      </c>
      <c r="I257" t="s">
        <v>828</v>
      </c>
    </row>
    <row r="258" spans="1:9" ht="11.25" customHeight="1">
      <c r="A258" t="s">
        <v>2385</v>
      </c>
      <c r="B258" t="s">
        <v>16</v>
      </c>
      <c r="C258" t="s">
        <v>3241</v>
      </c>
      <c r="D258" t="s">
        <v>3242</v>
      </c>
      <c r="E258" t="s">
        <v>3243</v>
      </c>
      <c r="F258" t="s">
        <v>2690</v>
      </c>
      <c r="G258" t="s">
        <v>22</v>
      </c>
      <c r="H258" t="s">
        <v>22</v>
      </c>
      <c r="I258" t="s">
        <v>828</v>
      </c>
    </row>
    <row r="259" spans="1:9" ht="11.25" customHeight="1">
      <c r="A259" t="s">
        <v>2385</v>
      </c>
      <c r="B259" t="s">
        <v>16</v>
      </c>
      <c r="C259" t="s">
        <v>3244</v>
      </c>
      <c r="D259" t="s">
        <v>3245</v>
      </c>
      <c r="E259" t="s">
        <v>3246</v>
      </c>
      <c r="F259" t="s">
        <v>3247</v>
      </c>
      <c r="G259" t="s">
        <v>22</v>
      </c>
      <c r="H259" t="s">
        <v>22</v>
      </c>
      <c r="I259" t="s">
        <v>828</v>
      </c>
    </row>
    <row r="260" spans="1:9" ht="11.25" customHeight="1">
      <c r="A260" t="s">
        <v>2385</v>
      </c>
      <c r="B260" t="s">
        <v>16</v>
      </c>
      <c r="C260" t="s">
        <v>3248</v>
      </c>
      <c r="D260" t="s">
        <v>3249</v>
      </c>
      <c r="E260" t="s">
        <v>3250</v>
      </c>
      <c r="F260" t="s">
        <v>2613</v>
      </c>
      <c r="G260" t="s">
        <v>22</v>
      </c>
      <c r="H260" t="s">
        <v>22</v>
      </c>
      <c r="I260" t="s">
        <v>828</v>
      </c>
    </row>
    <row r="261" spans="1:9" ht="11.25" customHeight="1">
      <c r="A261" t="s">
        <v>2385</v>
      </c>
      <c r="B261" t="s">
        <v>16</v>
      </c>
      <c r="C261" t="s">
        <v>3251</v>
      </c>
      <c r="D261" t="s">
        <v>3252</v>
      </c>
      <c r="E261" t="s">
        <v>3253</v>
      </c>
      <c r="F261" t="s">
        <v>2453</v>
      </c>
      <c r="G261" t="s">
        <v>22</v>
      </c>
      <c r="H261" t="s">
        <v>22</v>
      </c>
      <c r="I261" t="s">
        <v>828</v>
      </c>
    </row>
    <row r="262" spans="1:9" ht="11.25" customHeight="1">
      <c r="A262" t="s">
        <v>2385</v>
      </c>
      <c r="B262" t="s">
        <v>16</v>
      </c>
      <c r="C262" t="s">
        <v>3254</v>
      </c>
      <c r="D262" t="s">
        <v>3255</v>
      </c>
      <c r="E262" t="s">
        <v>3256</v>
      </c>
      <c r="F262" t="s">
        <v>2819</v>
      </c>
      <c r="G262" t="s">
        <v>22</v>
      </c>
      <c r="H262" t="s">
        <v>22</v>
      </c>
      <c r="I262" t="s">
        <v>828</v>
      </c>
    </row>
    <row r="263" spans="1:9" ht="11.25" customHeight="1">
      <c r="A263" t="s">
        <v>2385</v>
      </c>
      <c r="B263" t="s">
        <v>16</v>
      </c>
      <c r="C263" t="s">
        <v>3257</v>
      </c>
      <c r="D263" t="s">
        <v>3258</v>
      </c>
      <c r="E263" t="s">
        <v>3259</v>
      </c>
      <c r="F263" t="s">
        <v>2393</v>
      </c>
      <c r="G263" t="s">
        <v>22</v>
      </c>
      <c r="H263" t="s">
        <v>22</v>
      </c>
      <c r="I263" t="s">
        <v>828</v>
      </c>
    </row>
    <row r="264" spans="1:9" ht="11.25" customHeight="1">
      <c r="A264" t="s">
        <v>2385</v>
      </c>
      <c r="B264" t="s">
        <v>16</v>
      </c>
      <c r="C264" t="s">
        <v>3260</v>
      </c>
      <c r="D264" t="s">
        <v>3261</v>
      </c>
      <c r="E264" t="s">
        <v>3262</v>
      </c>
      <c r="F264" t="s">
        <v>2393</v>
      </c>
      <c r="G264" t="s">
        <v>22</v>
      </c>
      <c r="H264" t="s">
        <v>22</v>
      </c>
      <c r="I264" t="s">
        <v>828</v>
      </c>
    </row>
    <row r="265" spans="1:9" ht="11.25" customHeight="1">
      <c r="A265" t="s">
        <v>2385</v>
      </c>
      <c r="B265" t="s">
        <v>16</v>
      </c>
      <c r="C265" t="s">
        <v>3263</v>
      </c>
      <c r="D265" t="s">
        <v>3264</v>
      </c>
      <c r="E265" t="s">
        <v>3265</v>
      </c>
      <c r="F265" t="s">
        <v>2613</v>
      </c>
      <c r="G265" t="s">
        <v>22</v>
      </c>
      <c r="H265" t="s">
        <v>22</v>
      </c>
      <c r="I265" t="s">
        <v>828</v>
      </c>
    </row>
    <row r="266" spans="1:9" ht="11.25" customHeight="1">
      <c r="A266" t="s">
        <v>2385</v>
      </c>
      <c r="B266" t="s">
        <v>16</v>
      </c>
      <c r="C266" t="s">
        <v>3266</v>
      </c>
      <c r="D266" t="s">
        <v>3267</v>
      </c>
      <c r="E266" t="s">
        <v>3268</v>
      </c>
      <c r="F266" t="s">
        <v>2449</v>
      </c>
      <c r="G266" t="s">
        <v>22</v>
      </c>
      <c r="H266" t="s">
        <v>22</v>
      </c>
      <c r="I266" t="s">
        <v>828</v>
      </c>
    </row>
    <row r="267" spans="1:9" ht="11.25" customHeight="1">
      <c r="A267" t="s">
        <v>2385</v>
      </c>
      <c r="B267" t="s">
        <v>16</v>
      </c>
      <c r="C267" t="s">
        <v>3269</v>
      </c>
      <c r="D267" t="s">
        <v>3270</v>
      </c>
      <c r="E267" t="s">
        <v>3271</v>
      </c>
      <c r="F267" t="s">
        <v>2463</v>
      </c>
      <c r="G267" t="s">
        <v>22</v>
      </c>
      <c r="H267" t="s">
        <v>22</v>
      </c>
      <c r="I267" t="s">
        <v>828</v>
      </c>
    </row>
    <row r="268" spans="1:9" ht="11.25" customHeight="1">
      <c r="A268" t="s">
        <v>2385</v>
      </c>
      <c r="B268" t="s">
        <v>16</v>
      </c>
      <c r="C268" t="s">
        <v>3272</v>
      </c>
      <c r="D268" t="s">
        <v>3273</v>
      </c>
      <c r="E268" t="s">
        <v>3274</v>
      </c>
      <c r="F268" t="s">
        <v>2586</v>
      </c>
      <c r="G268" t="s">
        <v>22</v>
      </c>
      <c r="H268" t="s">
        <v>22</v>
      </c>
      <c r="I268" t="s">
        <v>828</v>
      </c>
    </row>
    <row r="269" spans="1:9" ht="11.25" customHeight="1">
      <c r="A269" t="s">
        <v>2385</v>
      </c>
      <c r="B269" t="s">
        <v>16</v>
      </c>
      <c r="C269" t="s">
        <v>3275</v>
      </c>
      <c r="D269" t="s">
        <v>3276</v>
      </c>
      <c r="E269" t="s">
        <v>3277</v>
      </c>
      <c r="F269" t="s">
        <v>2586</v>
      </c>
      <c r="G269" t="s">
        <v>22</v>
      </c>
      <c r="H269" t="s">
        <v>22</v>
      </c>
      <c r="I269" t="s">
        <v>828</v>
      </c>
    </row>
    <row r="270" spans="1:9" ht="11.25" customHeight="1">
      <c r="A270" t="s">
        <v>2385</v>
      </c>
      <c r="B270" t="s">
        <v>16</v>
      </c>
      <c r="C270" t="s">
        <v>3278</v>
      </c>
      <c r="D270" t="s">
        <v>3279</v>
      </c>
      <c r="E270" t="s">
        <v>3280</v>
      </c>
      <c r="F270" t="s">
        <v>2690</v>
      </c>
      <c r="G270" t="s">
        <v>3281</v>
      </c>
      <c r="H270" t="s">
        <v>22</v>
      </c>
      <c r="I270" t="s">
        <v>828</v>
      </c>
    </row>
    <row r="271" spans="1:9" ht="11.25" customHeight="1">
      <c r="A271" t="s">
        <v>2385</v>
      </c>
      <c r="B271" t="s">
        <v>16</v>
      </c>
      <c r="C271" t="s">
        <v>3282</v>
      </c>
      <c r="D271" t="s">
        <v>3283</v>
      </c>
      <c r="E271" t="s">
        <v>3284</v>
      </c>
      <c r="F271" t="s">
        <v>2401</v>
      </c>
      <c r="G271" t="s">
        <v>22</v>
      </c>
      <c r="H271" t="s">
        <v>22</v>
      </c>
      <c r="I271" t="s">
        <v>828</v>
      </c>
    </row>
    <row r="272" spans="1:9" ht="11.25" customHeight="1">
      <c r="A272" t="s">
        <v>2385</v>
      </c>
      <c r="B272" t="s">
        <v>16</v>
      </c>
      <c r="C272" t="s">
        <v>3285</v>
      </c>
      <c r="D272" t="s">
        <v>3286</v>
      </c>
      <c r="E272" t="s">
        <v>3287</v>
      </c>
      <c r="F272" t="s">
        <v>2613</v>
      </c>
      <c r="G272" t="s">
        <v>22</v>
      </c>
      <c r="H272" t="s">
        <v>22</v>
      </c>
      <c r="I272" t="s">
        <v>828</v>
      </c>
    </row>
    <row r="273" spans="1:9" ht="11.25" customHeight="1">
      <c r="A273" t="s">
        <v>2385</v>
      </c>
      <c r="B273" t="s">
        <v>16</v>
      </c>
      <c r="C273" t="s">
        <v>3288</v>
      </c>
      <c r="D273" t="s">
        <v>3289</v>
      </c>
      <c r="E273" t="s">
        <v>3290</v>
      </c>
      <c r="F273" t="s">
        <v>2416</v>
      </c>
      <c r="G273" t="s">
        <v>3291</v>
      </c>
      <c r="H273" t="s">
        <v>22</v>
      </c>
      <c r="I273" t="s">
        <v>828</v>
      </c>
    </row>
    <row r="274" spans="1:9" ht="11.25" customHeight="1">
      <c r="A274" t="s">
        <v>2385</v>
      </c>
      <c r="B274" t="s">
        <v>16</v>
      </c>
      <c r="C274" t="s">
        <v>3292</v>
      </c>
      <c r="D274" t="s">
        <v>3293</v>
      </c>
      <c r="E274" t="s">
        <v>3294</v>
      </c>
      <c r="F274" t="s">
        <v>2416</v>
      </c>
      <c r="G274" t="s">
        <v>22</v>
      </c>
      <c r="H274" t="s">
        <v>22</v>
      </c>
      <c r="I274" t="s">
        <v>828</v>
      </c>
    </row>
    <row r="275" spans="1:9" ht="11.25" customHeight="1">
      <c r="A275" t="s">
        <v>2385</v>
      </c>
      <c r="B275" t="s">
        <v>16</v>
      </c>
      <c r="C275" t="s">
        <v>3295</v>
      </c>
      <c r="D275" t="s">
        <v>3296</v>
      </c>
      <c r="E275" t="s">
        <v>3297</v>
      </c>
      <c r="F275" t="s">
        <v>3102</v>
      </c>
      <c r="G275" t="s">
        <v>22</v>
      </c>
      <c r="H275" t="s">
        <v>22</v>
      </c>
      <c r="I275" t="s">
        <v>828</v>
      </c>
    </row>
    <row r="276" spans="1:9" ht="11.25" customHeight="1">
      <c r="A276" t="s">
        <v>2385</v>
      </c>
      <c r="B276" t="s">
        <v>16</v>
      </c>
      <c r="C276" t="s">
        <v>3298</v>
      </c>
      <c r="D276" t="s">
        <v>3299</v>
      </c>
      <c r="E276" t="s">
        <v>3300</v>
      </c>
      <c r="F276" t="s">
        <v>2522</v>
      </c>
      <c r="G276" t="s">
        <v>22</v>
      </c>
      <c r="H276" t="s">
        <v>22</v>
      </c>
      <c r="I276" t="s">
        <v>828</v>
      </c>
    </row>
    <row r="277" spans="1:9" ht="11.25" customHeight="1">
      <c r="A277" t="s">
        <v>2385</v>
      </c>
      <c r="B277" t="s">
        <v>16</v>
      </c>
      <c r="C277" t="s">
        <v>3301</v>
      </c>
      <c r="D277" t="s">
        <v>3302</v>
      </c>
      <c r="E277" t="s">
        <v>3303</v>
      </c>
      <c r="F277" t="s">
        <v>2393</v>
      </c>
      <c r="G277" t="s">
        <v>22</v>
      </c>
      <c r="H277" t="s">
        <v>22</v>
      </c>
      <c r="I277" t="s">
        <v>828</v>
      </c>
    </row>
    <row r="278" spans="1:9" ht="11.25" customHeight="1">
      <c r="A278" t="s">
        <v>2385</v>
      </c>
      <c r="B278" t="s">
        <v>16</v>
      </c>
      <c r="C278" t="s">
        <v>3304</v>
      </c>
      <c r="D278" t="s">
        <v>3305</v>
      </c>
      <c r="E278" t="s">
        <v>3306</v>
      </c>
      <c r="F278" t="s">
        <v>2522</v>
      </c>
      <c r="G278" t="s">
        <v>22</v>
      </c>
      <c r="H278" t="s">
        <v>22</v>
      </c>
      <c r="I278" t="s">
        <v>828</v>
      </c>
    </row>
    <row r="279" spans="1:9" ht="11.25" customHeight="1">
      <c r="A279" t="s">
        <v>2385</v>
      </c>
      <c r="B279" t="s">
        <v>16</v>
      </c>
      <c r="C279" t="s">
        <v>3307</v>
      </c>
      <c r="D279" t="s">
        <v>3308</v>
      </c>
      <c r="E279" t="s">
        <v>3309</v>
      </c>
      <c r="F279" t="s">
        <v>2522</v>
      </c>
      <c r="G279" t="s">
        <v>3310</v>
      </c>
      <c r="H279" t="s">
        <v>22</v>
      </c>
      <c r="I279" t="s">
        <v>828</v>
      </c>
    </row>
    <row r="280" spans="1:9" ht="11.25" customHeight="1">
      <c r="A280" t="s">
        <v>2385</v>
      </c>
      <c r="B280" t="s">
        <v>16</v>
      </c>
      <c r="C280" t="s">
        <v>3311</v>
      </c>
      <c r="D280" t="s">
        <v>3312</v>
      </c>
      <c r="E280" t="s">
        <v>3313</v>
      </c>
      <c r="F280" t="s">
        <v>2427</v>
      </c>
      <c r="G280" t="s">
        <v>22</v>
      </c>
      <c r="H280" t="s">
        <v>22</v>
      </c>
      <c r="I280" t="s">
        <v>828</v>
      </c>
    </row>
    <row r="281" spans="1:9" ht="11.25" customHeight="1">
      <c r="A281" t="s">
        <v>2385</v>
      </c>
      <c r="B281" t="s">
        <v>16</v>
      </c>
      <c r="C281" t="s">
        <v>3314</v>
      </c>
      <c r="D281" t="s">
        <v>3315</v>
      </c>
      <c r="E281" t="s">
        <v>3316</v>
      </c>
      <c r="F281" t="s">
        <v>2955</v>
      </c>
      <c r="G281" t="s">
        <v>22</v>
      </c>
      <c r="H281" t="s">
        <v>22</v>
      </c>
      <c r="I281" t="s">
        <v>828</v>
      </c>
    </row>
    <row r="282" spans="1:9" ht="11.25" customHeight="1">
      <c r="A282" t="s">
        <v>2385</v>
      </c>
      <c r="B282" t="s">
        <v>16</v>
      </c>
      <c r="C282" t="s">
        <v>3317</v>
      </c>
      <c r="D282" t="s">
        <v>3318</v>
      </c>
      <c r="E282" t="s">
        <v>3319</v>
      </c>
      <c r="F282" t="s">
        <v>2393</v>
      </c>
      <c r="G282" t="s">
        <v>22</v>
      </c>
      <c r="H282" t="s">
        <v>22</v>
      </c>
      <c r="I282" t="s">
        <v>828</v>
      </c>
    </row>
    <row r="283" spans="1:9" ht="11.25" customHeight="1">
      <c r="A283" t="s">
        <v>2385</v>
      </c>
      <c r="B283" t="s">
        <v>16</v>
      </c>
      <c r="C283" t="s">
        <v>3320</v>
      </c>
      <c r="D283" t="s">
        <v>3321</v>
      </c>
      <c r="E283" t="s">
        <v>3322</v>
      </c>
      <c r="F283" t="s">
        <v>2898</v>
      </c>
      <c r="G283" t="s">
        <v>22</v>
      </c>
      <c r="H283" t="s">
        <v>22</v>
      </c>
      <c r="I283" t="s">
        <v>828</v>
      </c>
    </row>
    <row r="284" spans="1:9" ht="11.25" customHeight="1">
      <c r="A284" t="s">
        <v>2385</v>
      </c>
      <c r="B284" t="s">
        <v>16</v>
      </c>
      <c r="C284" t="s">
        <v>3323</v>
      </c>
      <c r="D284" t="s">
        <v>3324</v>
      </c>
      <c r="E284" t="s">
        <v>3325</v>
      </c>
      <c r="F284" t="s">
        <v>2898</v>
      </c>
      <c r="G284" t="s">
        <v>3326</v>
      </c>
      <c r="H284" t="s">
        <v>22</v>
      </c>
      <c r="I284" t="s">
        <v>828</v>
      </c>
    </row>
    <row r="285" spans="1:9" ht="11.25" customHeight="1">
      <c r="A285" t="s">
        <v>2385</v>
      </c>
      <c r="B285" t="s">
        <v>16</v>
      </c>
      <c r="C285" t="s">
        <v>3327</v>
      </c>
      <c r="D285" t="s">
        <v>3328</v>
      </c>
      <c r="E285" t="s">
        <v>3329</v>
      </c>
      <c r="F285" t="s">
        <v>2640</v>
      </c>
      <c r="G285" t="s">
        <v>3330</v>
      </c>
      <c r="H285" t="s">
        <v>22</v>
      </c>
      <c r="I285" t="s">
        <v>828</v>
      </c>
    </row>
    <row r="286" spans="1:9" ht="11.25" customHeight="1">
      <c r="A286" t="s">
        <v>2385</v>
      </c>
      <c r="B286" t="s">
        <v>16</v>
      </c>
      <c r="C286" t="s">
        <v>3331</v>
      </c>
      <c r="D286" t="s">
        <v>3332</v>
      </c>
      <c r="E286" t="s">
        <v>3333</v>
      </c>
      <c r="F286" t="s">
        <v>2522</v>
      </c>
      <c r="G286" t="s">
        <v>22</v>
      </c>
      <c r="H286" t="s">
        <v>22</v>
      </c>
      <c r="I286" t="s">
        <v>828</v>
      </c>
    </row>
    <row r="287" spans="1:9" ht="11.25" customHeight="1">
      <c r="A287" t="s">
        <v>2385</v>
      </c>
      <c r="B287" t="s">
        <v>16</v>
      </c>
      <c r="C287" t="s">
        <v>3334</v>
      </c>
      <c r="D287" t="s">
        <v>3335</v>
      </c>
      <c r="E287" t="s">
        <v>3336</v>
      </c>
      <c r="F287" t="s">
        <v>2674</v>
      </c>
      <c r="G287" t="s">
        <v>22</v>
      </c>
      <c r="H287" t="s">
        <v>22</v>
      </c>
      <c r="I287" t="s">
        <v>828</v>
      </c>
    </row>
    <row r="288" spans="1:9" ht="11.25" customHeight="1">
      <c r="A288" t="s">
        <v>2385</v>
      </c>
      <c r="B288" t="s">
        <v>16</v>
      </c>
      <c r="C288" t="s">
        <v>3337</v>
      </c>
      <c r="D288" t="s">
        <v>3338</v>
      </c>
      <c r="E288" t="s">
        <v>3339</v>
      </c>
      <c r="F288" t="s">
        <v>2841</v>
      </c>
      <c r="G288" t="s">
        <v>22</v>
      </c>
      <c r="H288" t="s">
        <v>22</v>
      </c>
      <c r="I288" t="s">
        <v>828</v>
      </c>
    </row>
    <row r="289" spans="1:9" ht="11.25" customHeight="1">
      <c r="A289" t="s">
        <v>2385</v>
      </c>
      <c r="B289" t="s">
        <v>16</v>
      </c>
      <c r="C289" t="s">
        <v>3340</v>
      </c>
      <c r="D289" t="s">
        <v>3341</v>
      </c>
      <c r="E289" t="s">
        <v>3342</v>
      </c>
      <c r="F289" t="s">
        <v>2401</v>
      </c>
      <c r="G289" t="s">
        <v>22</v>
      </c>
      <c r="H289" t="s">
        <v>22</v>
      </c>
      <c r="I289" t="s">
        <v>828</v>
      </c>
    </row>
    <row r="290" spans="1:9" ht="11.25" customHeight="1">
      <c r="A290" t="s">
        <v>2385</v>
      </c>
      <c r="B290" t="s">
        <v>16</v>
      </c>
      <c r="C290" t="s">
        <v>3343</v>
      </c>
      <c r="D290" t="s">
        <v>3344</v>
      </c>
      <c r="E290" t="s">
        <v>3345</v>
      </c>
      <c r="F290" t="s">
        <v>3346</v>
      </c>
      <c r="G290" t="s">
        <v>22</v>
      </c>
      <c r="H290" t="s">
        <v>22</v>
      </c>
      <c r="I290" t="s">
        <v>828</v>
      </c>
    </row>
    <row r="291" spans="1:9" ht="11.25" customHeight="1">
      <c r="A291" t="s">
        <v>2385</v>
      </c>
      <c r="B291" t="s">
        <v>16</v>
      </c>
      <c r="C291" t="s">
        <v>3347</v>
      </c>
      <c r="D291" t="s">
        <v>3348</v>
      </c>
      <c r="E291" t="s">
        <v>3349</v>
      </c>
      <c r="F291" t="s">
        <v>50</v>
      </c>
      <c r="G291" t="s">
        <v>22</v>
      </c>
      <c r="H291" t="s">
        <v>22</v>
      </c>
      <c r="I291" t="s">
        <v>828</v>
      </c>
    </row>
    <row r="292" spans="1:9" ht="11.25" customHeight="1">
      <c r="A292" t="s">
        <v>2385</v>
      </c>
      <c r="B292" t="s">
        <v>16</v>
      </c>
      <c r="C292" t="s">
        <v>3350</v>
      </c>
      <c r="D292" t="s">
        <v>3351</v>
      </c>
      <c r="E292" t="s">
        <v>3352</v>
      </c>
      <c r="F292" t="s">
        <v>2948</v>
      </c>
      <c r="G292" t="s">
        <v>3353</v>
      </c>
      <c r="H292" t="s">
        <v>22</v>
      </c>
      <c r="I292" t="s">
        <v>828</v>
      </c>
    </row>
    <row r="293" spans="1:9" ht="11.25" customHeight="1">
      <c r="A293" t="s">
        <v>2385</v>
      </c>
      <c r="B293" t="s">
        <v>16</v>
      </c>
      <c r="C293" t="s">
        <v>3354</v>
      </c>
      <c r="D293" t="s">
        <v>3355</v>
      </c>
      <c r="E293" t="s">
        <v>3356</v>
      </c>
      <c r="F293" t="s">
        <v>2690</v>
      </c>
      <c r="G293" t="s">
        <v>3357</v>
      </c>
      <c r="H293" t="s">
        <v>22</v>
      </c>
      <c r="I293" t="s">
        <v>828</v>
      </c>
    </row>
    <row r="294" spans="1:9" ht="11.25" customHeight="1">
      <c r="A294" t="s">
        <v>2385</v>
      </c>
      <c r="B294" t="s">
        <v>16</v>
      </c>
      <c r="C294" t="s">
        <v>3358</v>
      </c>
      <c r="D294" t="s">
        <v>3359</v>
      </c>
      <c r="E294" t="s">
        <v>3360</v>
      </c>
      <c r="F294" t="s">
        <v>2522</v>
      </c>
      <c r="G294" t="s">
        <v>3361</v>
      </c>
      <c r="H294" t="s">
        <v>22</v>
      </c>
      <c r="I294" t="s">
        <v>828</v>
      </c>
    </row>
    <row r="295" spans="1:9" ht="11.25" customHeight="1">
      <c r="A295" t="s">
        <v>2385</v>
      </c>
      <c r="B295" t="s">
        <v>16</v>
      </c>
      <c r="C295" t="s">
        <v>3362</v>
      </c>
      <c r="D295" t="s">
        <v>3363</v>
      </c>
      <c r="E295" t="s">
        <v>3364</v>
      </c>
      <c r="F295" t="s">
        <v>2393</v>
      </c>
      <c r="G295" t="s">
        <v>22</v>
      </c>
      <c r="H295" t="s">
        <v>22</v>
      </c>
      <c r="I295" t="s">
        <v>828</v>
      </c>
    </row>
    <row r="296" spans="1:9" ht="11.25" customHeight="1">
      <c r="A296" t="s">
        <v>2385</v>
      </c>
      <c r="B296" t="s">
        <v>16</v>
      </c>
      <c r="C296" t="s">
        <v>3365</v>
      </c>
      <c r="D296" t="s">
        <v>3366</v>
      </c>
      <c r="E296" t="s">
        <v>3367</v>
      </c>
      <c r="F296" t="s">
        <v>2690</v>
      </c>
      <c r="G296" t="s">
        <v>3368</v>
      </c>
      <c r="H296" t="s">
        <v>22</v>
      </c>
      <c r="I296" t="s">
        <v>828</v>
      </c>
    </row>
    <row r="297" spans="1:9" ht="11.25" customHeight="1">
      <c r="A297" t="s">
        <v>2385</v>
      </c>
      <c r="B297" t="s">
        <v>16</v>
      </c>
      <c r="C297" t="s">
        <v>3369</v>
      </c>
      <c r="D297" t="s">
        <v>3370</v>
      </c>
      <c r="E297" t="s">
        <v>3371</v>
      </c>
      <c r="F297" t="s">
        <v>2512</v>
      </c>
      <c r="G297" t="s">
        <v>3372</v>
      </c>
      <c r="H297" t="s">
        <v>22</v>
      </c>
      <c r="I297" t="s">
        <v>828</v>
      </c>
    </row>
    <row r="298" spans="1:9" ht="11.25" customHeight="1">
      <c r="A298" t="s">
        <v>2385</v>
      </c>
      <c r="B298" t="s">
        <v>16</v>
      </c>
      <c r="C298" t="s">
        <v>3373</v>
      </c>
      <c r="D298" t="s">
        <v>3374</v>
      </c>
      <c r="E298" t="s">
        <v>3375</v>
      </c>
      <c r="F298" t="s">
        <v>50</v>
      </c>
      <c r="G298" t="s">
        <v>22</v>
      </c>
      <c r="H298" t="s">
        <v>22</v>
      </c>
      <c r="I298" t="s">
        <v>828</v>
      </c>
    </row>
    <row r="299" spans="1:9" ht="11.25" customHeight="1">
      <c r="A299" t="s">
        <v>2385</v>
      </c>
      <c r="B299" t="s">
        <v>16</v>
      </c>
      <c r="C299" t="s">
        <v>3376</v>
      </c>
      <c r="D299" t="s">
        <v>3377</v>
      </c>
      <c r="E299" t="s">
        <v>3378</v>
      </c>
      <c r="F299" t="s">
        <v>2690</v>
      </c>
      <c r="G299" t="s">
        <v>22</v>
      </c>
      <c r="H299" t="s">
        <v>22</v>
      </c>
      <c r="I299" t="s">
        <v>828</v>
      </c>
    </row>
    <row r="300" spans="1:9" ht="11.25" customHeight="1">
      <c r="A300" t="s">
        <v>2385</v>
      </c>
      <c r="B300" t="s">
        <v>16</v>
      </c>
      <c r="C300" t="s">
        <v>3379</v>
      </c>
      <c r="D300" t="s">
        <v>3380</v>
      </c>
      <c r="E300" t="s">
        <v>3381</v>
      </c>
      <c r="F300" t="s">
        <v>2393</v>
      </c>
      <c r="G300" t="s">
        <v>22</v>
      </c>
      <c r="H300" t="s">
        <v>22</v>
      </c>
      <c r="I300" t="s">
        <v>828</v>
      </c>
    </row>
    <row r="301" spans="1:9" ht="11.25" customHeight="1">
      <c r="A301" t="s">
        <v>2385</v>
      </c>
      <c r="B301" t="s">
        <v>16</v>
      </c>
      <c r="C301" t="s">
        <v>3382</v>
      </c>
      <c r="D301" t="s">
        <v>3383</v>
      </c>
      <c r="E301" t="s">
        <v>3384</v>
      </c>
      <c r="F301" t="s">
        <v>2586</v>
      </c>
      <c r="G301" t="s">
        <v>22</v>
      </c>
      <c r="H301" t="s">
        <v>22</v>
      </c>
      <c r="I301" t="s">
        <v>828</v>
      </c>
    </row>
    <row r="302" spans="1:9" ht="11.25" customHeight="1">
      <c r="A302" t="s">
        <v>2385</v>
      </c>
      <c r="B302" t="s">
        <v>16</v>
      </c>
      <c r="C302" t="s">
        <v>3385</v>
      </c>
      <c r="D302" t="s">
        <v>3386</v>
      </c>
      <c r="E302" t="s">
        <v>3387</v>
      </c>
      <c r="F302" t="s">
        <v>50</v>
      </c>
      <c r="G302" t="s">
        <v>3388</v>
      </c>
      <c r="H302" t="s">
        <v>22</v>
      </c>
      <c r="I302" t="s">
        <v>828</v>
      </c>
    </row>
    <row r="303" spans="1:9" ht="11.25" customHeight="1">
      <c r="A303" t="s">
        <v>2385</v>
      </c>
      <c r="B303" t="s">
        <v>16</v>
      </c>
      <c r="C303" t="s">
        <v>3389</v>
      </c>
      <c r="D303" t="s">
        <v>3390</v>
      </c>
      <c r="E303" t="s">
        <v>3391</v>
      </c>
      <c r="F303" t="s">
        <v>2667</v>
      </c>
      <c r="G303" t="s">
        <v>22</v>
      </c>
      <c r="H303" t="s">
        <v>22</v>
      </c>
      <c r="I303" t="s">
        <v>828</v>
      </c>
    </row>
    <row r="304" spans="1:9" ht="11.25" customHeight="1">
      <c r="A304" t="s">
        <v>2385</v>
      </c>
      <c r="B304" t="s">
        <v>16</v>
      </c>
      <c r="C304" t="s">
        <v>3392</v>
      </c>
      <c r="D304" t="s">
        <v>3393</v>
      </c>
      <c r="E304" t="s">
        <v>3394</v>
      </c>
      <c r="F304" t="s">
        <v>2508</v>
      </c>
      <c r="G304" t="s">
        <v>22</v>
      </c>
      <c r="H304" t="s">
        <v>22</v>
      </c>
      <c r="I304" t="s">
        <v>828</v>
      </c>
    </row>
    <row r="305" spans="1:9" ht="11.25" customHeight="1">
      <c r="A305" t="s">
        <v>2385</v>
      </c>
      <c r="B305" t="s">
        <v>16</v>
      </c>
      <c r="C305" t="s">
        <v>3395</v>
      </c>
      <c r="D305" t="s">
        <v>3396</v>
      </c>
      <c r="E305" t="s">
        <v>3397</v>
      </c>
      <c r="F305" t="s">
        <v>2393</v>
      </c>
      <c r="G305" t="s">
        <v>22</v>
      </c>
      <c r="H305" t="s">
        <v>22</v>
      </c>
      <c r="I305" t="s">
        <v>828</v>
      </c>
    </row>
    <row r="306" spans="1:9" ht="11.25" customHeight="1">
      <c r="A306" t="s">
        <v>2385</v>
      </c>
      <c r="B306" t="s">
        <v>16</v>
      </c>
      <c r="C306" t="s">
        <v>3398</v>
      </c>
      <c r="D306" t="s">
        <v>3399</v>
      </c>
      <c r="E306" t="s">
        <v>3400</v>
      </c>
      <c r="F306" t="s">
        <v>3027</v>
      </c>
      <c r="G306" t="s">
        <v>22</v>
      </c>
      <c r="H306" t="s">
        <v>22</v>
      </c>
      <c r="I306" t="s">
        <v>828</v>
      </c>
    </row>
    <row r="307" spans="1:9" ht="11.25" customHeight="1">
      <c r="A307" t="s">
        <v>2385</v>
      </c>
      <c r="B307" t="s">
        <v>16</v>
      </c>
      <c r="C307" t="s">
        <v>3401</v>
      </c>
      <c r="D307" t="s">
        <v>3402</v>
      </c>
      <c r="E307" t="s">
        <v>3403</v>
      </c>
      <c r="F307" t="s">
        <v>2442</v>
      </c>
      <c r="G307" t="s">
        <v>22</v>
      </c>
      <c r="H307" t="s">
        <v>22</v>
      </c>
      <c r="I307" t="s">
        <v>828</v>
      </c>
    </row>
    <row r="308" spans="1:9" ht="11.25" customHeight="1">
      <c r="A308" t="s">
        <v>2385</v>
      </c>
      <c r="B308" t="s">
        <v>16</v>
      </c>
      <c r="C308" t="s">
        <v>3404</v>
      </c>
      <c r="D308" t="s">
        <v>3405</v>
      </c>
      <c r="E308" t="s">
        <v>3406</v>
      </c>
      <c r="F308" t="s">
        <v>3027</v>
      </c>
      <c r="G308" t="s">
        <v>3407</v>
      </c>
      <c r="H308" t="s">
        <v>22</v>
      </c>
      <c r="I308" t="s">
        <v>828</v>
      </c>
    </row>
    <row r="309" spans="1:9" ht="11.25" customHeight="1">
      <c r="A309" t="s">
        <v>2385</v>
      </c>
      <c r="B309" t="s">
        <v>16</v>
      </c>
      <c r="C309" t="s">
        <v>3408</v>
      </c>
      <c r="D309" t="s">
        <v>3409</v>
      </c>
      <c r="E309" t="s">
        <v>3410</v>
      </c>
      <c r="F309" t="s">
        <v>2406</v>
      </c>
      <c r="G309" t="s">
        <v>22</v>
      </c>
      <c r="H309" t="s">
        <v>22</v>
      </c>
      <c r="I309" t="s">
        <v>828</v>
      </c>
    </row>
    <row r="310" spans="1:9" ht="11.25" customHeight="1">
      <c r="A310" t="s">
        <v>2385</v>
      </c>
      <c r="B310" t="s">
        <v>16</v>
      </c>
      <c r="C310" t="s">
        <v>3411</v>
      </c>
      <c r="D310" t="s">
        <v>3412</v>
      </c>
      <c r="E310" t="s">
        <v>3413</v>
      </c>
      <c r="F310" t="s">
        <v>2463</v>
      </c>
      <c r="G310" t="s">
        <v>22</v>
      </c>
      <c r="H310" t="s">
        <v>22</v>
      </c>
      <c r="I310" t="s">
        <v>828</v>
      </c>
    </row>
    <row r="311" spans="1:9" ht="11.25" customHeight="1">
      <c r="A311" t="s">
        <v>2385</v>
      </c>
      <c r="B311" t="s">
        <v>16</v>
      </c>
      <c r="C311" t="s">
        <v>3414</v>
      </c>
      <c r="D311" t="s">
        <v>3415</v>
      </c>
      <c r="E311" t="s">
        <v>3416</v>
      </c>
      <c r="F311" t="s">
        <v>2434</v>
      </c>
      <c r="G311" t="s">
        <v>22</v>
      </c>
      <c r="H311" t="s">
        <v>22</v>
      </c>
      <c r="I311" t="s">
        <v>828</v>
      </c>
    </row>
    <row r="312" spans="1:9" ht="11.25" customHeight="1">
      <c r="A312" t="s">
        <v>2385</v>
      </c>
      <c r="B312" t="s">
        <v>16</v>
      </c>
      <c r="C312" t="s">
        <v>3417</v>
      </c>
      <c r="D312" t="s">
        <v>3418</v>
      </c>
      <c r="E312" t="s">
        <v>3419</v>
      </c>
      <c r="F312" t="s">
        <v>2522</v>
      </c>
      <c r="G312" t="s">
        <v>22</v>
      </c>
      <c r="H312" t="s">
        <v>22</v>
      </c>
      <c r="I312" t="s">
        <v>828</v>
      </c>
    </row>
    <row r="313" spans="1:9" ht="11.25" customHeight="1">
      <c r="A313" t="s">
        <v>2385</v>
      </c>
      <c r="B313" t="s">
        <v>16</v>
      </c>
      <c r="C313" t="s">
        <v>3420</v>
      </c>
      <c r="D313" t="s">
        <v>3421</v>
      </c>
      <c r="E313" t="s">
        <v>3422</v>
      </c>
      <c r="F313" t="s">
        <v>2416</v>
      </c>
      <c r="G313" t="s">
        <v>22</v>
      </c>
      <c r="H313" t="s">
        <v>3423</v>
      </c>
      <c r="I313" t="s">
        <v>828</v>
      </c>
    </row>
    <row r="314" spans="1:9" ht="11.25" customHeight="1">
      <c r="A314" t="s">
        <v>2385</v>
      </c>
      <c r="B314" t="s">
        <v>16</v>
      </c>
      <c r="C314" t="s">
        <v>3424</v>
      </c>
      <c r="D314" t="s">
        <v>3425</v>
      </c>
      <c r="E314" t="s">
        <v>3426</v>
      </c>
      <c r="F314" t="s">
        <v>2767</v>
      </c>
      <c r="G314" t="s">
        <v>22</v>
      </c>
      <c r="H314" t="s">
        <v>22</v>
      </c>
      <c r="I314" t="s">
        <v>828</v>
      </c>
    </row>
    <row r="315" spans="1:9" ht="11.25" customHeight="1">
      <c r="A315" t="s">
        <v>2385</v>
      </c>
      <c r="B315" t="s">
        <v>16</v>
      </c>
      <c r="C315" t="s">
        <v>3427</v>
      </c>
      <c r="D315" t="s">
        <v>3428</v>
      </c>
      <c r="E315" t="s">
        <v>3429</v>
      </c>
      <c r="F315" t="s">
        <v>2830</v>
      </c>
      <c r="G315" t="s">
        <v>22</v>
      </c>
      <c r="H315" t="s">
        <v>3430</v>
      </c>
      <c r="I315" t="s">
        <v>828</v>
      </c>
    </row>
    <row r="316" spans="1:9" ht="11.25" customHeight="1">
      <c r="A316" t="s">
        <v>2385</v>
      </c>
      <c r="B316" t="s">
        <v>16</v>
      </c>
      <c r="C316" t="s">
        <v>3431</v>
      </c>
      <c r="D316" t="s">
        <v>3432</v>
      </c>
      <c r="E316" t="s">
        <v>3433</v>
      </c>
      <c r="F316" t="s">
        <v>2508</v>
      </c>
      <c r="G316" t="s">
        <v>22</v>
      </c>
      <c r="H316" t="s">
        <v>22</v>
      </c>
      <c r="I316" t="s">
        <v>828</v>
      </c>
    </row>
    <row r="317" spans="1:9" ht="11.25" customHeight="1">
      <c r="A317" t="s">
        <v>2385</v>
      </c>
      <c r="B317" t="s">
        <v>16</v>
      </c>
      <c r="C317" t="s">
        <v>3434</v>
      </c>
      <c r="D317" t="s">
        <v>3435</v>
      </c>
      <c r="E317" t="s">
        <v>3436</v>
      </c>
      <c r="F317" t="s">
        <v>2763</v>
      </c>
      <c r="G317" t="s">
        <v>22</v>
      </c>
      <c r="H317" t="s">
        <v>22</v>
      </c>
      <c r="I317" t="s">
        <v>828</v>
      </c>
    </row>
    <row r="318" spans="1:9" ht="11.25" customHeight="1">
      <c r="A318" t="s">
        <v>2385</v>
      </c>
      <c r="B318" t="s">
        <v>16</v>
      </c>
      <c r="C318" t="s">
        <v>3437</v>
      </c>
      <c r="D318" t="s">
        <v>3438</v>
      </c>
      <c r="E318" t="s">
        <v>3439</v>
      </c>
      <c r="F318" t="s">
        <v>3440</v>
      </c>
      <c r="G318" t="s">
        <v>22</v>
      </c>
      <c r="H318" t="s">
        <v>22</v>
      </c>
      <c r="I318" t="s">
        <v>828</v>
      </c>
    </row>
    <row r="319" spans="1:9" ht="11.25" customHeight="1">
      <c r="A319" t="s">
        <v>2385</v>
      </c>
      <c r="B319" t="s">
        <v>16</v>
      </c>
      <c r="C319" t="s">
        <v>3441</v>
      </c>
      <c r="D319" t="s">
        <v>3442</v>
      </c>
      <c r="E319" t="s">
        <v>3443</v>
      </c>
      <c r="F319" t="s">
        <v>3444</v>
      </c>
      <c r="G319" t="s">
        <v>22</v>
      </c>
      <c r="H319" t="s">
        <v>22</v>
      </c>
      <c r="I319" t="s">
        <v>828</v>
      </c>
    </row>
    <row r="320" spans="1:9" ht="11.25" customHeight="1">
      <c r="A320" t="s">
        <v>2385</v>
      </c>
      <c r="B320" t="s">
        <v>16</v>
      </c>
      <c r="C320" t="s">
        <v>3445</v>
      </c>
      <c r="D320" t="s">
        <v>3446</v>
      </c>
      <c r="E320" t="s">
        <v>3447</v>
      </c>
      <c r="F320" t="s">
        <v>3448</v>
      </c>
      <c r="G320" t="s">
        <v>22</v>
      </c>
      <c r="H320" t="s">
        <v>22</v>
      </c>
      <c r="I320" t="s">
        <v>828</v>
      </c>
    </row>
    <row r="321" spans="1:9" ht="11.25" customHeight="1">
      <c r="A321" t="s">
        <v>2385</v>
      </c>
      <c r="B321" t="s">
        <v>16</v>
      </c>
      <c r="C321" t="s">
        <v>3449</v>
      </c>
      <c r="D321" t="s">
        <v>3450</v>
      </c>
      <c r="E321" t="s">
        <v>3451</v>
      </c>
      <c r="F321" t="s">
        <v>50</v>
      </c>
      <c r="G321" t="s">
        <v>22</v>
      </c>
      <c r="H321" t="s">
        <v>22</v>
      </c>
      <c r="I321" t="s">
        <v>828</v>
      </c>
    </row>
    <row r="322" spans="1:9" ht="11.25" customHeight="1">
      <c r="A322" t="s">
        <v>2385</v>
      </c>
      <c r="B322" t="s">
        <v>16</v>
      </c>
      <c r="C322" t="s">
        <v>3452</v>
      </c>
      <c r="D322" t="s">
        <v>3453</v>
      </c>
      <c r="E322" t="s">
        <v>3454</v>
      </c>
      <c r="F322" t="s">
        <v>2484</v>
      </c>
      <c r="G322" t="s">
        <v>22</v>
      </c>
      <c r="H322" t="s">
        <v>22</v>
      </c>
      <c r="I322" t="s">
        <v>828</v>
      </c>
    </row>
    <row r="323" spans="1:9" ht="11.25" customHeight="1">
      <c r="A323" t="s">
        <v>2385</v>
      </c>
      <c r="B323" t="s">
        <v>16</v>
      </c>
      <c r="C323" t="s">
        <v>3455</v>
      </c>
      <c r="D323" t="s">
        <v>3456</v>
      </c>
      <c r="E323" t="s">
        <v>3457</v>
      </c>
      <c r="F323" t="s">
        <v>3458</v>
      </c>
      <c r="G323" t="s">
        <v>22</v>
      </c>
      <c r="H323" t="s">
        <v>22</v>
      </c>
      <c r="I323" t="s">
        <v>828</v>
      </c>
    </row>
    <row r="324" spans="1:9" ht="11.25" customHeight="1">
      <c r="A324" t="s">
        <v>2385</v>
      </c>
      <c r="B324" t="s">
        <v>16</v>
      </c>
      <c r="C324" t="s">
        <v>3459</v>
      </c>
      <c r="D324" t="s">
        <v>3460</v>
      </c>
      <c r="E324" t="s">
        <v>3461</v>
      </c>
      <c r="F324" t="s">
        <v>2463</v>
      </c>
      <c r="G324" t="s">
        <v>22</v>
      </c>
      <c r="H324" t="s">
        <v>22</v>
      </c>
      <c r="I324" t="s">
        <v>828</v>
      </c>
    </row>
    <row r="325" spans="1:9" ht="11.25" customHeight="1">
      <c r="A325" t="s">
        <v>2385</v>
      </c>
      <c r="B325" t="s">
        <v>16</v>
      </c>
      <c r="C325" t="s">
        <v>3462</v>
      </c>
      <c r="D325" t="s">
        <v>3463</v>
      </c>
      <c r="E325" t="s">
        <v>3464</v>
      </c>
      <c r="F325" t="s">
        <v>2393</v>
      </c>
      <c r="G325" t="s">
        <v>3465</v>
      </c>
      <c r="H325" t="s">
        <v>22</v>
      </c>
      <c r="I325" t="s">
        <v>828</v>
      </c>
    </row>
    <row r="326" spans="1:9" ht="11.25" customHeight="1">
      <c r="A326" t="s">
        <v>2385</v>
      </c>
      <c r="B326" t="s">
        <v>16</v>
      </c>
      <c r="C326" t="s">
        <v>3466</v>
      </c>
      <c r="D326" t="s">
        <v>3467</v>
      </c>
      <c r="E326" t="s">
        <v>3468</v>
      </c>
      <c r="F326" t="s">
        <v>2442</v>
      </c>
      <c r="G326" t="s">
        <v>22</v>
      </c>
      <c r="H326" t="s">
        <v>22</v>
      </c>
      <c r="I326" t="s">
        <v>828</v>
      </c>
    </row>
    <row r="327" spans="1:9" ht="11.25" customHeight="1">
      <c r="A327" t="s">
        <v>2385</v>
      </c>
      <c r="B327" t="s">
        <v>16</v>
      </c>
      <c r="C327" t="s">
        <v>3469</v>
      </c>
      <c r="D327" t="s">
        <v>3470</v>
      </c>
      <c r="E327" t="s">
        <v>3471</v>
      </c>
      <c r="F327" t="s">
        <v>2640</v>
      </c>
      <c r="G327" t="s">
        <v>22</v>
      </c>
      <c r="H327" t="s">
        <v>22</v>
      </c>
      <c r="I327" t="s">
        <v>828</v>
      </c>
    </row>
    <row r="328" spans="1:9" ht="11.25" customHeight="1">
      <c r="A328" t="s">
        <v>2385</v>
      </c>
      <c r="B328" t="s">
        <v>16</v>
      </c>
      <c r="C328" t="s">
        <v>3472</v>
      </c>
      <c r="D328" t="s">
        <v>3473</v>
      </c>
      <c r="E328" t="s">
        <v>3474</v>
      </c>
      <c r="F328" t="s">
        <v>2674</v>
      </c>
      <c r="G328" t="s">
        <v>22</v>
      </c>
      <c r="H328" t="s">
        <v>22</v>
      </c>
      <c r="I328" t="s">
        <v>828</v>
      </c>
    </row>
    <row r="329" spans="1:9" ht="11.25" customHeight="1">
      <c r="A329" t="s">
        <v>2385</v>
      </c>
      <c r="B329" t="s">
        <v>16</v>
      </c>
      <c r="C329" t="s">
        <v>3475</v>
      </c>
      <c r="D329" t="s">
        <v>3476</v>
      </c>
      <c r="E329" t="s">
        <v>3477</v>
      </c>
      <c r="F329" t="s">
        <v>2799</v>
      </c>
      <c r="G329" t="s">
        <v>22</v>
      </c>
      <c r="H329" t="s">
        <v>22</v>
      </c>
      <c r="I329" t="s">
        <v>828</v>
      </c>
    </row>
    <row r="330" spans="1:9" ht="11.25" customHeight="1">
      <c r="A330" t="s">
        <v>2385</v>
      </c>
      <c r="B330" t="s">
        <v>16</v>
      </c>
      <c r="C330" t="s">
        <v>3478</v>
      </c>
      <c r="D330" t="s">
        <v>3479</v>
      </c>
      <c r="E330" t="s">
        <v>3480</v>
      </c>
      <c r="F330" t="s">
        <v>50</v>
      </c>
      <c r="G330" t="s">
        <v>22</v>
      </c>
      <c r="H330" t="s">
        <v>22</v>
      </c>
      <c r="I330" t="s">
        <v>828</v>
      </c>
    </row>
    <row r="331" spans="1:9" ht="11.25" customHeight="1">
      <c r="A331" t="s">
        <v>2385</v>
      </c>
      <c r="B331" t="s">
        <v>16</v>
      </c>
      <c r="C331" t="s">
        <v>3481</v>
      </c>
      <c r="D331" t="s">
        <v>3482</v>
      </c>
      <c r="E331" t="s">
        <v>3483</v>
      </c>
      <c r="F331" t="s">
        <v>2551</v>
      </c>
      <c r="G331" t="s">
        <v>22</v>
      </c>
      <c r="H331" t="s">
        <v>22</v>
      </c>
      <c r="I331" t="s">
        <v>828</v>
      </c>
    </row>
    <row r="332" spans="1:9" ht="11.25" customHeight="1">
      <c r="A332" t="s">
        <v>2385</v>
      </c>
      <c r="B332" t="s">
        <v>16</v>
      </c>
      <c r="C332" t="s">
        <v>3484</v>
      </c>
      <c r="D332" t="s">
        <v>3485</v>
      </c>
      <c r="E332" t="s">
        <v>3486</v>
      </c>
      <c r="F332" t="s">
        <v>2393</v>
      </c>
      <c r="G332" t="s">
        <v>22</v>
      </c>
      <c r="H332" t="s">
        <v>22</v>
      </c>
      <c r="I332" t="s">
        <v>828</v>
      </c>
    </row>
    <row r="333" spans="1:9" ht="11.25" customHeight="1">
      <c r="A333" t="s">
        <v>2385</v>
      </c>
      <c r="B333" t="s">
        <v>16</v>
      </c>
      <c r="C333" t="s">
        <v>3487</v>
      </c>
      <c r="D333" t="s">
        <v>3488</v>
      </c>
      <c r="E333" t="s">
        <v>3489</v>
      </c>
      <c r="F333" t="s">
        <v>3490</v>
      </c>
      <c r="G333" t="s">
        <v>3491</v>
      </c>
      <c r="H333" t="s">
        <v>22</v>
      </c>
      <c r="I333" t="s">
        <v>828</v>
      </c>
    </row>
    <row r="334" spans="1:9" ht="11.25" customHeight="1">
      <c r="A334" t="s">
        <v>2385</v>
      </c>
      <c r="B334" t="s">
        <v>16</v>
      </c>
      <c r="C334" t="s">
        <v>3492</v>
      </c>
      <c r="D334" t="s">
        <v>3493</v>
      </c>
      <c r="E334" t="s">
        <v>3494</v>
      </c>
      <c r="F334" t="s">
        <v>2819</v>
      </c>
      <c r="G334" t="s">
        <v>3495</v>
      </c>
      <c r="H334" t="s">
        <v>22</v>
      </c>
      <c r="I334" t="s">
        <v>828</v>
      </c>
    </row>
    <row r="335" spans="1:9" ht="11.25" customHeight="1">
      <c r="A335" t="s">
        <v>2385</v>
      </c>
      <c r="B335" t="s">
        <v>16</v>
      </c>
      <c r="C335" t="s">
        <v>3496</v>
      </c>
      <c r="D335" t="s">
        <v>3497</v>
      </c>
      <c r="E335" t="s">
        <v>3498</v>
      </c>
      <c r="F335" t="s">
        <v>2393</v>
      </c>
      <c r="G335" t="s">
        <v>22</v>
      </c>
      <c r="H335" t="s">
        <v>22</v>
      </c>
      <c r="I335" t="s">
        <v>828</v>
      </c>
    </row>
    <row r="336" spans="1:9" ht="11.25" customHeight="1">
      <c r="A336" t="s">
        <v>2385</v>
      </c>
      <c r="B336" t="s">
        <v>16</v>
      </c>
      <c r="C336" t="s">
        <v>3499</v>
      </c>
      <c r="D336" t="s">
        <v>3500</v>
      </c>
      <c r="E336" t="s">
        <v>3501</v>
      </c>
      <c r="F336" t="s">
        <v>2393</v>
      </c>
      <c r="G336" t="s">
        <v>22</v>
      </c>
      <c r="H336" t="s">
        <v>22</v>
      </c>
      <c r="I336" t="s">
        <v>828</v>
      </c>
    </row>
    <row r="337" spans="1:9" ht="11.25" customHeight="1">
      <c r="A337" t="s">
        <v>2385</v>
      </c>
      <c r="B337" t="s">
        <v>16</v>
      </c>
      <c r="C337" t="s">
        <v>3502</v>
      </c>
      <c r="D337" t="s">
        <v>3503</v>
      </c>
      <c r="E337" t="s">
        <v>3504</v>
      </c>
      <c r="F337" t="s">
        <v>2667</v>
      </c>
      <c r="G337" t="s">
        <v>22</v>
      </c>
      <c r="H337" t="s">
        <v>22</v>
      </c>
      <c r="I337" t="s">
        <v>828</v>
      </c>
    </row>
    <row r="338" spans="1:9" ht="11.25" customHeight="1">
      <c r="A338" t="s">
        <v>2385</v>
      </c>
      <c r="B338" t="s">
        <v>16</v>
      </c>
      <c r="C338" t="s">
        <v>3505</v>
      </c>
      <c r="D338" t="s">
        <v>3506</v>
      </c>
      <c r="E338" t="s">
        <v>3507</v>
      </c>
      <c r="F338" t="s">
        <v>2690</v>
      </c>
      <c r="G338" t="s">
        <v>22</v>
      </c>
      <c r="H338" t="s">
        <v>22</v>
      </c>
      <c r="I338" t="s">
        <v>828</v>
      </c>
    </row>
    <row r="339" spans="1:9" ht="11.25" customHeight="1">
      <c r="A339" t="s">
        <v>2385</v>
      </c>
      <c r="B339" t="s">
        <v>16</v>
      </c>
      <c r="C339" t="s">
        <v>3508</v>
      </c>
      <c r="D339" t="s">
        <v>3509</v>
      </c>
      <c r="E339" t="s">
        <v>3510</v>
      </c>
      <c r="F339" t="s">
        <v>2586</v>
      </c>
      <c r="G339" t="s">
        <v>22</v>
      </c>
      <c r="H339" t="s">
        <v>22</v>
      </c>
      <c r="I339" t="s">
        <v>828</v>
      </c>
    </row>
    <row r="340" spans="1:9" ht="11.25" customHeight="1">
      <c r="A340" t="s">
        <v>2385</v>
      </c>
      <c r="B340" t="s">
        <v>16</v>
      </c>
      <c r="C340" t="s">
        <v>3511</v>
      </c>
      <c r="D340" t="s">
        <v>3512</v>
      </c>
      <c r="E340" t="s">
        <v>3513</v>
      </c>
      <c r="F340" t="s">
        <v>2453</v>
      </c>
      <c r="G340" t="s">
        <v>22</v>
      </c>
      <c r="H340" t="s">
        <v>22</v>
      </c>
      <c r="I340" t="s">
        <v>828</v>
      </c>
    </row>
    <row r="341" spans="1:9" ht="11.25" customHeight="1">
      <c r="A341" t="s">
        <v>2385</v>
      </c>
      <c r="B341" t="s">
        <v>16</v>
      </c>
      <c r="C341" t="s">
        <v>3514</v>
      </c>
      <c r="D341" t="s">
        <v>3515</v>
      </c>
      <c r="E341" t="s">
        <v>3516</v>
      </c>
      <c r="F341" t="s">
        <v>2690</v>
      </c>
      <c r="G341" t="s">
        <v>22</v>
      </c>
      <c r="H341" t="s">
        <v>22</v>
      </c>
      <c r="I341" t="s">
        <v>828</v>
      </c>
    </row>
    <row r="342" spans="1:9" ht="11.25" customHeight="1">
      <c r="A342" t="s">
        <v>2385</v>
      </c>
      <c r="B342" t="s">
        <v>16</v>
      </c>
      <c r="C342" t="s">
        <v>3517</v>
      </c>
      <c r="D342" t="s">
        <v>3518</v>
      </c>
      <c r="E342" t="s">
        <v>3519</v>
      </c>
      <c r="F342" t="s">
        <v>2522</v>
      </c>
      <c r="G342" t="s">
        <v>22</v>
      </c>
      <c r="H342" t="s">
        <v>22</v>
      </c>
      <c r="I342" t="s">
        <v>828</v>
      </c>
    </row>
    <row r="343" spans="1:9" ht="11.25" customHeight="1">
      <c r="A343" t="s">
        <v>2385</v>
      </c>
      <c r="B343" t="s">
        <v>16</v>
      </c>
      <c r="C343" t="s">
        <v>3520</v>
      </c>
      <c r="D343" t="s">
        <v>3521</v>
      </c>
      <c r="E343" t="s">
        <v>3522</v>
      </c>
      <c r="F343" t="s">
        <v>2613</v>
      </c>
      <c r="G343" t="s">
        <v>22</v>
      </c>
      <c r="H343" t="s">
        <v>22</v>
      </c>
      <c r="I343" t="s">
        <v>828</v>
      </c>
    </row>
    <row r="344" spans="1:9" ht="11.25" customHeight="1">
      <c r="A344" t="s">
        <v>2385</v>
      </c>
      <c r="B344" t="s">
        <v>16</v>
      </c>
      <c r="C344" t="s">
        <v>3523</v>
      </c>
      <c r="D344" t="s">
        <v>3524</v>
      </c>
      <c r="E344" t="s">
        <v>3525</v>
      </c>
      <c r="F344" t="s">
        <v>2393</v>
      </c>
      <c r="G344" t="s">
        <v>22</v>
      </c>
      <c r="H344" t="s">
        <v>22</v>
      </c>
      <c r="I344" t="s">
        <v>828</v>
      </c>
    </row>
    <row r="345" spans="1:9" ht="11.25" customHeight="1">
      <c r="A345" t="s">
        <v>2385</v>
      </c>
      <c r="B345" t="s">
        <v>16</v>
      </c>
      <c r="C345" t="s">
        <v>3526</v>
      </c>
      <c r="D345" t="s">
        <v>3527</v>
      </c>
      <c r="E345" t="s">
        <v>3528</v>
      </c>
      <c r="F345" t="s">
        <v>2449</v>
      </c>
      <c r="G345" t="s">
        <v>22</v>
      </c>
      <c r="H345" t="s">
        <v>22</v>
      </c>
      <c r="I345" t="s">
        <v>828</v>
      </c>
    </row>
    <row r="346" spans="1:9" ht="11.25" customHeight="1">
      <c r="A346" t="s">
        <v>2385</v>
      </c>
      <c r="B346" t="s">
        <v>16</v>
      </c>
      <c r="C346" t="s">
        <v>3529</v>
      </c>
      <c r="D346" t="s">
        <v>3530</v>
      </c>
      <c r="E346" t="s">
        <v>3531</v>
      </c>
      <c r="F346" t="s">
        <v>3102</v>
      </c>
      <c r="G346" t="s">
        <v>22</v>
      </c>
      <c r="H346" t="s">
        <v>22</v>
      </c>
      <c r="I346" t="s">
        <v>828</v>
      </c>
    </row>
    <row r="347" spans="1:9" ht="11.25" customHeight="1">
      <c r="A347" t="s">
        <v>2385</v>
      </c>
      <c r="B347" t="s">
        <v>16</v>
      </c>
      <c r="C347" t="s">
        <v>3532</v>
      </c>
      <c r="D347" t="s">
        <v>3533</v>
      </c>
      <c r="E347" t="s">
        <v>3534</v>
      </c>
      <c r="F347" t="s">
        <v>2434</v>
      </c>
      <c r="G347" t="s">
        <v>22</v>
      </c>
      <c r="H347" t="s">
        <v>22</v>
      </c>
      <c r="I347" t="s">
        <v>828</v>
      </c>
    </row>
    <row r="348" spans="1:9" ht="11.25" customHeight="1">
      <c r="A348" t="s">
        <v>2385</v>
      </c>
      <c r="B348" t="s">
        <v>16</v>
      </c>
      <c r="C348" t="s">
        <v>3535</v>
      </c>
      <c r="D348" t="s">
        <v>3536</v>
      </c>
      <c r="E348" t="s">
        <v>3537</v>
      </c>
      <c r="F348" t="s">
        <v>2442</v>
      </c>
      <c r="G348" t="s">
        <v>22</v>
      </c>
      <c r="H348" t="s">
        <v>22</v>
      </c>
      <c r="I348" t="s">
        <v>828</v>
      </c>
    </row>
    <row r="349" spans="1:9" ht="11.25" customHeight="1">
      <c r="A349" t="s">
        <v>2385</v>
      </c>
      <c r="B349" t="s">
        <v>16</v>
      </c>
      <c r="C349" t="s">
        <v>3538</v>
      </c>
      <c r="D349" t="s">
        <v>3539</v>
      </c>
      <c r="E349" t="s">
        <v>3540</v>
      </c>
      <c r="F349" t="s">
        <v>3027</v>
      </c>
      <c r="G349" t="s">
        <v>22</v>
      </c>
      <c r="H349" t="s">
        <v>22</v>
      </c>
      <c r="I349" t="s">
        <v>828</v>
      </c>
    </row>
    <row r="350" spans="1:9" ht="11.25" customHeight="1">
      <c r="A350" t="s">
        <v>2385</v>
      </c>
      <c r="B350" t="s">
        <v>16</v>
      </c>
      <c r="C350" t="s">
        <v>3541</v>
      </c>
      <c r="D350" t="s">
        <v>3542</v>
      </c>
      <c r="E350" t="s">
        <v>3543</v>
      </c>
      <c r="F350" t="s">
        <v>2690</v>
      </c>
      <c r="G350" t="s">
        <v>22</v>
      </c>
      <c r="H350" t="s">
        <v>22</v>
      </c>
      <c r="I350" t="s">
        <v>828</v>
      </c>
    </row>
    <row r="351" spans="1:9" ht="11.25" customHeight="1">
      <c r="A351" t="s">
        <v>2385</v>
      </c>
      <c r="B351" t="s">
        <v>16</v>
      </c>
      <c r="C351" t="s">
        <v>3544</v>
      </c>
      <c r="D351" t="s">
        <v>3545</v>
      </c>
      <c r="E351" t="s">
        <v>3546</v>
      </c>
      <c r="F351" t="s">
        <v>2453</v>
      </c>
      <c r="G351" t="s">
        <v>22</v>
      </c>
      <c r="H351" t="s">
        <v>22</v>
      </c>
      <c r="I351" t="s">
        <v>828</v>
      </c>
    </row>
    <row r="352" spans="1:9" ht="11.25" customHeight="1">
      <c r="A352" t="s">
        <v>2385</v>
      </c>
      <c r="B352" t="s">
        <v>16</v>
      </c>
      <c r="C352" t="s">
        <v>3547</v>
      </c>
      <c r="D352" t="s">
        <v>3548</v>
      </c>
      <c r="E352" t="s">
        <v>3549</v>
      </c>
      <c r="F352" t="s">
        <v>2416</v>
      </c>
      <c r="G352" t="s">
        <v>22</v>
      </c>
      <c r="H352" t="s">
        <v>22</v>
      </c>
      <c r="I352" t="s">
        <v>828</v>
      </c>
    </row>
    <row r="353" spans="1:9" ht="11.25" customHeight="1">
      <c r="A353" t="s">
        <v>2385</v>
      </c>
      <c r="B353" t="s">
        <v>16</v>
      </c>
      <c r="C353" t="s">
        <v>3550</v>
      </c>
      <c r="D353" t="s">
        <v>3551</v>
      </c>
      <c r="E353" t="s">
        <v>3552</v>
      </c>
      <c r="F353" t="s">
        <v>3440</v>
      </c>
      <c r="G353" t="s">
        <v>22</v>
      </c>
      <c r="H353" t="s">
        <v>22</v>
      </c>
      <c r="I353" t="s">
        <v>828</v>
      </c>
    </row>
    <row r="354" spans="1:9" ht="11.25" customHeight="1">
      <c r="A354" t="s">
        <v>2385</v>
      </c>
      <c r="B354" t="s">
        <v>16</v>
      </c>
      <c r="C354" t="s">
        <v>3553</v>
      </c>
      <c r="D354" t="s">
        <v>3554</v>
      </c>
      <c r="E354" t="s">
        <v>3555</v>
      </c>
      <c r="F354" t="s">
        <v>2948</v>
      </c>
      <c r="G354" t="s">
        <v>22</v>
      </c>
      <c r="H354" t="s">
        <v>22</v>
      </c>
      <c r="I354" t="s">
        <v>828</v>
      </c>
    </row>
    <row r="355" spans="1:9" ht="11.25" customHeight="1">
      <c r="A355" t="s">
        <v>2385</v>
      </c>
      <c r="B355" t="s">
        <v>16</v>
      </c>
      <c r="C355" t="s">
        <v>3556</v>
      </c>
      <c r="D355" t="s">
        <v>3557</v>
      </c>
      <c r="E355" t="s">
        <v>3558</v>
      </c>
      <c r="F355" t="s">
        <v>2427</v>
      </c>
      <c r="G355" t="s">
        <v>22</v>
      </c>
      <c r="H355" t="s">
        <v>22</v>
      </c>
      <c r="I355" t="s">
        <v>828</v>
      </c>
    </row>
    <row r="356" spans="1:9" ht="11.25" customHeight="1">
      <c r="A356" t="s">
        <v>2385</v>
      </c>
      <c r="B356" t="s">
        <v>16</v>
      </c>
      <c r="C356" t="s">
        <v>3559</v>
      </c>
      <c r="D356" t="s">
        <v>3560</v>
      </c>
      <c r="E356" t="s">
        <v>3561</v>
      </c>
      <c r="F356" t="s">
        <v>3002</v>
      </c>
      <c r="G356" t="s">
        <v>22</v>
      </c>
      <c r="H356" t="s">
        <v>22</v>
      </c>
      <c r="I356" t="s">
        <v>828</v>
      </c>
    </row>
    <row r="357" spans="1:9" ht="11.25" customHeight="1">
      <c r="A357" t="s">
        <v>2385</v>
      </c>
      <c r="B357" t="s">
        <v>16</v>
      </c>
      <c r="C357" t="s">
        <v>3562</v>
      </c>
      <c r="D357" t="s">
        <v>3563</v>
      </c>
      <c r="E357" t="s">
        <v>3564</v>
      </c>
      <c r="F357" t="s">
        <v>3102</v>
      </c>
      <c r="G357" t="s">
        <v>22</v>
      </c>
      <c r="H357" t="s">
        <v>22</v>
      </c>
      <c r="I357" t="s">
        <v>828</v>
      </c>
    </row>
    <row r="358" spans="1:9" ht="11.25" customHeight="1">
      <c r="A358" t="s">
        <v>2385</v>
      </c>
      <c r="B358" t="s">
        <v>16</v>
      </c>
      <c r="C358" t="s">
        <v>3565</v>
      </c>
      <c r="D358" t="s">
        <v>3566</v>
      </c>
      <c r="E358" t="s">
        <v>3567</v>
      </c>
      <c r="F358" t="s">
        <v>3568</v>
      </c>
      <c r="G358" t="s">
        <v>3569</v>
      </c>
      <c r="H358" t="s">
        <v>22</v>
      </c>
      <c r="I358" t="s">
        <v>828</v>
      </c>
    </row>
    <row r="359" spans="1:9" ht="11.25" customHeight="1">
      <c r="A359" t="s">
        <v>2385</v>
      </c>
      <c r="B359" t="s">
        <v>16</v>
      </c>
      <c r="C359" t="s">
        <v>3570</v>
      </c>
      <c r="D359" t="s">
        <v>3571</v>
      </c>
      <c r="E359" t="s">
        <v>3572</v>
      </c>
      <c r="F359" t="s">
        <v>2416</v>
      </c>
      <c r="G359" t="s">
        <v>22</v>
      </c>
      <c r="H359" t="s">
        <v>22</v>
      </c>
      <c r="I359" t="s">
        <v>828</v>
      </c>
    </row>
    <row r="360" spans="1:9" ht="11.25" customHeight="1">
      <c r="A360" t="s">
        <v>2385</v>
      </c>
      <c r="B360" t="s">
        <v>16</v>
      </c>
      <c r="C360" t="s">
        <v>3573</v>
      </c>
      <c r="D360" t="s">
        <v>3574</v>
      </c>
      <c r="E360" t="s">
        <v>3575</v>
      </c>
      <c r="F360" t="s">
        <v>2449</v>
      </c>
      <c r="G360" t="s">
        <v>22</v>
      </c>
      <c r="H360" t="s">
        <v>22</v>
      </c>
      <c r="I360" t="s">
        <v>828</v>
      </c>
    </row>
    <row r="361" spans="1:9" ht="11.25" customHeight="1">
      <c r="A361" t="s">
        <v>2385</v>
      </c>
      <c r="B361" t="s">
        <v>16</v>
      </c>
      <c r="C361" t="s">
        <v>3576</v>
      </c>
      <c r="D361" t="s">
        <v>3577</v>
      </c>
      <c r="E361" t="s">
        <v>3578</v>
      </c>
      <c r="F361" t="s">
        <v>3579</v>
      </c>
      <c r="G361" t="s">
        <v>22</v>
      </c>
      <c r="H361" t="s">
        <v>22</v>
      </c>
      <c r="I361" t="s">
        <v>828</v>
      </c>
    </row>
    <row r="362" spans="1:9" ht="11.25" customHeight="1">
      <c r="A362" t="s">
        <v>2385</v>
      </c>
      <c r="B362" t="s">
        <v>16</v>
      </c>
      <c r="C362" t="s">
        <v>3580</v>
      </c>
      <c r="D362" t="s">
        <v>3581</v>
      </c>
      <c r="E362" t="s">
        <v>3582</v>
      </c>
      <c r="F362" t="s">
        <v>2667</v>
      </c>
      <c r="G362" t="s">
        <v>22</v>
      </c>
      <c r="H362" t="s">
        <v>22</v>
      </c>
      <c r="I362" t="s">
        <v>828</v>
      </c>
    </row>
    <row r="363" spans="1:9" ht="11.25" customHeight="1">
      <c r="A363" t="s">
        <v>2385</v>
      </c>
      <c r="B363" t="s">
        <v>16</v>
      </c>
      <c r="C363" t="s">
        <v>3583</v>
      </c>
      <c r="D363" t="s">
        <v>3584</v>
      </c>
      <c r="E363" t="s">
        <v>3585</v>
      </c>
      <c r="F363" t="s">
        <v>2674</v>
      </c>
      <c r="G363" t="s">
        <v>22</v>
      </c>
      <c r="H363" t="s">
        <v>22</v>
      </c>
      <c r="I363" t="s">
        <v>828</v>
      </c>
    </row>
    <row r="364" spans="1:9" ht="11.25" customHeight="1">
      <c r="A364" t="s">
        <v>2385</v>
      </c>
      <c r="B364" t="s">
        <v>16</v>
      </c>
      <c r="C364" t="s">
        <v>3586</v>
      </c>
      <c r="D364" t="s">
        <v>3587</v>
      </c>
      <c r="E364" t="s">
        <v>3588</v>
      </c>
      <c r="F364" t="s">
        <v>2434</v>
      </c>
      <c r="G364" t="s">
        <v>22</v>
      </c>
      <c r="H364" t="s">
        <v>22</v>
      </c>
      <c r="I364" t="s">
        <v>828</v>
      </c>
    </row>
    <row r="365" spans="1:9" ht="11.25" customHeight="1">
      <c r="A365" t="s">
        <v>2385</v>
      </c>
      <c r="B365" t="s">
        <v>16</v>
      </c>
      <c r="C365" t="s">
        <v>3589</v>
      </c>
      <c r="D365" t="s">
        <v>3590</v>
      </c>
      <c r="E365" t="s">
        <v>3591</v>
      </c>
      <c r="F365" t="s">
        <v>2522</v>
      </c>
      <c r="G365" t="s">
        <v>22</v>
      </c>
      <c r="H365" t="s">
        <v>22</v>
      </c>
      <c r="I365" t="s">
        <v>828</v>
      </c>
    </row>
    <row r="366" spans="1:9" ht="11.25" customHeight="1">
      <c r="A366" t="s">
        <v>2385</v>
      </c>
      <c r="B366" t="s">
        <v>16</v>
      </c>
      <c r="C366" t="s">
        <v>3592</v>
      </c>
      <c r="D366" t="s">
        <v>3593</v>
      </c>
      <c r="E366" t="s">
        <v>3594</v>
      </c>
      <c r="F366" t="s">
        <v>2442</v>
      </c>
      <c r="G366" t="s">
        <v>22</v>
      </c>
      <c r="H366" t="s">
        <v>22</v>
      </c>
      <c r="I366" t="s">
        <v>828</v>
      </c>
    </row>
    <row r="367" spans="1:9" ht="11.25" customHeight="1">
      <c r="A367" t="s">
        <v>2385</v>
      </c>
      <c r="B367" t="s">
        <v>16</v>
      </c>
      <c r="C367" t="s">
        <v>3595</v>
      </c>
      <c r="D367" t="s">
        <v>3596</v>
      </c>
      <c r="E367" t="s">
        <v>3597</v>
      </c>
      <c r="F367" t="s">
        <v>2393</v>
      </c>
      <c r="G367" t="s">
        <v>22</v>
      </c>
      <c r="H367" t="s">
        <v>22</v>
      </c>
      <c r="I367" t="s">
        <v>828</v>
      </c>
    </row>
    <row r="368" spans="1:9" ht="11.25" customHeight="1">
      <c r="A368" t="s">
        <v>2385</v>
      </c>
      <c r="B368" t="s">
        <v>16</v>
      </c>
      <c r="C368" t="s">
        <v>3598</v>
      </c>
      <c r="D368" t="s">
        <v>3599</v>
      </c>
      <c r="E368" t="s">
        <v>3600</v>
      </c>
      <c r="F368" t="s">
        <v>2463</v>
      </c>
      <c r="G368" t="s">
        <v>22</v>
      </c>
      <c r="H368" t="s">
        <v>22</v>
      </c>
      <c r="I368" t="s">
        <v>828</v>
      </c>
    </row>
    <row r="369" spans="1:9" ht="11.25" customHeight="1">
      <c r="A369" t="s">
        <v>2385</v>
      </c>
      <c r="B369" t="s">
        <v>16</v>
      </c>
      <c r="C369" t="s">
        <v>3601</v>
      </c>
      <c r="D369" t="s">
        <v>3602</v>
      </c>
      <c r="E369" t="s">
        <v>3603</v>
      </c>
      <c r="F369" t="s">
        <v>2463</v>
      </c>
      <c r="G369" t="s">
        <v>22</v>
      </c>
      <c r="H369" t="s">
        <v>22</v>
      </c>
      <c r="I369" t="s">
        <v>828</v>
      </c>
    </row>
    <row r="370" spans="1:9" ht="11.25" customHeight="1">
      <c r="A370" t="s">
        <v>2385</v>
      </c>
      <c r="B370" t="s">
        <v>16</v>
      </c>
      <c r="C370" t="s">
        <v>3604</v>
      </c>
      <c r="D370" t="s">
        <v>3605</v>
      </c>
      <c r="E370" t="s">
        <v>3606</v>
      </c>
      <c r="F370" t="s">
        <v>2663</v>
      </c>
      <c r="G370" t="s">
        <v>22</v>
      </c>
      <c r="H370" t="s">
        <v>22</v>
      </c>
      <c r="I370" t="s">
        <v>828</v>
      </c>
    </row>
    <row r="371" spans="1:9" ht="11.25" customHeight="1">
      <c r="A371" t="s">
        <v>2385</v>
      </c>
      <c r="B371" t="s">
        <v>16</v>
      </c>
      <c r="C371" t="s">
        <v>3607</v>
      </c>
      <c r="D371" t="s">
        <v>3608</v>
      </c>
      <c r="E371" t="s">
        <v>3609</v>
      </c>
      <c r="F371" t="s">
        <v>2393</v>
      </c>
      <c r="G371" t="s">
        <v>22</v>
      </c>
      <c r="H371" t="s">
        <v>22</v>
      </c>
      <c r="I371" t="s">
        <v>828</v>
      </c>
    </row>
    <row r="372" spans="1:9" ht="11.25" customHeight="1">
      <c r="A372" t="s">
        <v>2385</v>
      </c>
      <c r="B372" t="s">
        <v>16</v>
      </c>
      <c r="C372" t="s">
        <v>3610</v>
      </c>
      <c r="D372" t="s">
        <v>3611</v>
      </c>
      <c r="E372" t="s">
        <v>3612</v>
      </c>
      <c r="F372" t="s">
        <v>2463</v>
      </c>
      <c r="G372" t="s">
        <v>3613</v>
      </c>
      <c r="H372" t="s">
        <v>22</v>
      </c>
      <c r="I372" t="s">
        <v>828</v>
      </c>
    </row>
    <row r="373" spans="1:9" ht="11.25" customHeight="1">
      <c r="A373" t="s">
        <v>2385</v>
      </c>
      <c r="B373" t="s">
        <v>16</v>
      </c>
      <c r="C373" t="s">
        <v>3614</v>
      </c>
      <c r="D373" t="s">
        <v>3615</v>
      </c>
      <c r="E373" t="s">
        <v>3616</v>
      </c>
      <c r="F373" t="s">
        <v>50</v>
      </c>
      <c r="G373" t="s">
        <v>22</v>
      </c>
      <c r="H373" t="s">
        <v>22</v>
      </c>
      <c r="I373" t="s">
        <v>828</v>
      </c>
    </row>
    <row r="374" spans="1:9" ht="11.25" customHeight="1">
      <c r="A374" t="s">
        <v>2385</v>
      </c>
      <c r="B374" t="s">
        <v>16</v>
      </c>
      <c r="C374" t="s">
        <v>3617</v>
      </c>
      <c r="D374" t="s">
        <v>3618</v>
      </c>
      <c r="E374" t="s">
        <v>3619</v>
      </c>
      <c r="F374" t="s">
        <v>2508</v>
      </c>
      <c r="G374" t="s">
        <v>3620</v>
      </c>
      <c r="H374" t="s">
        <v>22</v>
      </c>
      <c r="I374" t="s">
        <v>828</v>
      </c>
    </row>
    <row r="375" spans="1:9" ht="11.25" customHeight="1">
      <c r="A375" t="s">
        <v>2385</v>
      </c>
      <c r="B375" t="s">
        <v>16</v>
      </c>
      <c r="C375" t="s">
        <v>3621</v>
      </c>
      <c r="D375" t="s">
        <v>3622</v>
      </c>
      <c r="E375" t="s">
        <v>3623</v>
      </c>
      <c r="F375" t="s">
        <v>2393</v>
      </c>
      <c r="G375" t="s">
        <v>22</v>
      </c>
      <c r="H375" t="s">
        <v>22</v>
      </c>
      <c r="I375" t="s">
        <v>828</v>
      </c>
    </row>
    <row r="376" spans="1:9" ht="11.25" customHeight="1">
      <c r="A376" t="s">
        <v>2385</v>
      </c>
      <c r="B376" t="s">
        <v>16</v>
      </c>
      <c r="C376" t="s">
        <v>3624</v>
      </c>
      <c r="D376" t="s">
        <v>3625</v>
      </c>
      <c r="E376" t="s">
        <v>3626</v>
      </c>
      <c r="F376" t="s">
        <v>2586</v>
      </c>
      <c r="G376" t="s">
        <v>22</v>
      </c>
      <c r="H376" t="s">
        <v>22</v>
      </c>
      <c r="I376" t="s">
        <v>828</v>
      </c>
    </row>
    <row r="377" spans="1:9" ht="11.25" customHeight="1">
      <c r="A377" t="s">
        <v>2385</v>
      </c>
      <c r="B377" t="s">
        <v>16</v>
      </c>
      <c r="C377" t="s">
        <v>3627</v>
      </c>
      <c r="D377" t="s">
        <v>3628</v>
      </c>
      <c r="E377" t="s">
        <v>3629</v>
      </c>
      <c r="F377" t="s">
        <v>2453</v>
      </c>
      <c r="G377" t="s">
        <v>22</v>
      </c>
      <c r="H377" t="s">
        <v>22</v>
      </c>
      <c r="I377" t="s">
        <v>828</v>
      </c>
    </row>
    <row r="378" spans="1:9" ht="11.25" customHeight="1">
      <c r="A378" t="s">
        <v>2385</v>
      </c>
      <c r="B378" t="s">
        <v>16</v>
      </c>
      <c r="C378" t="s">
        <v>3630</v>
      </c>
      <c r="D378" t="s">
        <v>3631</v>
      </c>
      <c r="E378" t="s">
        <v>3632</v>
      </c>
      <c r="F378" t="s">
        <v>2393</v>
      </c>
      <c r="G378" t="s">
        <v>22</v>
      </c>
      <c r="H378" t="s">
        <v>22</v>
      </c>
      <c r="I378" t="s">
        <v>828</v>
      </c>
    </row>
    <row r="379" spans="1:9" ht="11.25" customHeight="1">
      <c r="A379" t="s">
        <v>2385</v>
      </c>
      <c r="B379" t="s">
        <v>16</v>
      </c>
      <c r="C379" t="s">
        <v>3633</v>
      </c>
      <c r="D379" t="s">
        <v>3634</v>
      </c>
      <c r="E379" t="s">
        <v>3635</v>
      </c>
      <c r="F379" t="s">
        <v>2393</v>
      </c>
      <c r="G379" t="s">
        <v>22</v>
      </c>
      <c r="H379" t="s">
        <v>22</v>
      </c>
      <c r="I379" t="s">
        <v>828</v>
      </c>
    </row>
    <row r="380" spans="1:9" ht="11.25" customHeight="1">
      <c r="A380" t="s">
        <v>2385</v>
      </c>
      <c r="B380" t="s">
        <v>16</v>
      </c>
      <c r="C380" t="s">
        <v>3636</v>
      </c>
      <c r="D380" t="s">
        <v>3637</v>
      </c>
      <c r="E380" t="s">
        <v>3638</v>
      </c>
      <c r="F380" t="s">
        <v>2393</v>
      </c>
      <c r="G380" t="s">
        <v>22</v>
      </c>
      <c r="H380" t="s">
        <v>22</v>
      </c>
      <c r="I380" t="s">
        <v>828</v>
      </c>
    </row>
    <row r="381" spans="1:9" ht="11.25" customHeight="1">
      <c r="A381" t="s">
        <v>2385</v>
      </c>
      <c r="B381" t="s">
        <v>16</v>
      </c>
      <c r="C381" t="s">
        <v>3639</v>
      </c>
      <c r="D381" t="s">
        <v>3640</v>
      </c>
      <c r="E381" t="s">
        <v>3641</v>
      </c>
      <c r="F381" t="s">
        <v>2449</v>
      </c>
      <c r="G381" t="s">
        <v>22</v>
      </c>
      <c r="H381" t="s">
        <v>22</v>
      </c>
      <c r="I381" t="s">
        <v>828</v>
      </c>
    </row>
    <row r="382" spans="1:9" ht="11.25" customHeight="1">
      <c r="A382" t="s">
        <v>2385</v>
      </c>
      <c r="B382" t="s">
        <v>16</v>
      </c>
      <c r="C382" t="s">
        <v>3642</v>
      </c>
      <c r="D382" t="s">
        <v>3643</v>
      </c>
      <c r="E382" t="s">
        <v>3644</v>
      </c>
      <c r="F382" t="s">
        <v>2393</v>
      </c>
      <c r="G382" t="s">
        <v>3645</v>
      </c>
      <c r="H382" t="s">
        <v>22</v>
      </c>
      <c r="I382" t="s">
        <v>828</v>
      </c>
    </row>
    <row r="383" spans="1:9" ht="11.25" customHeight="1">
      <c r="A383" t="s">
        <v>2385</v>
      </c>
      <c r="B383" t="s">
        <v>16</v>
      </c>
      <c r="C383" t="s">
        <v>3646</v>
      </c>
      <c r="D383" t="s">
        <v>3647</v>
      </c>
      <c r="E383" t="s">
        <v>3648</v>
      </c>
      <c r="F383" t="s">
        <v>2434</v>
      </c>
      <c r="G383" t="s">
        <v>22</v>
      </c>
      <c r="H383" t="s">
        <v>22</v>
      </c>
      <c r="I383" t="s">
        <v>828</v>
      </c>
    </row>
    <row r="384" spans="1:9" ht="11.25" customHeight="1">
      <c r="A384" t="s">
        <v>2385</v>
      </c>
      <c r="B384" t="s">
        <v>16</v>
      </c>
      <c r="C384" t="s">
        <v>3649</v>
      </c>
      <c r="D384" t="s">
        <v>3650</v>
      </c>
      <c r="E384" t="s">
        <v>3651</v>
      </c>
      <c r="F384" t="s">
        <v>2442</v>
      </c>
      <c r="G384" t="s">
        <v>22</v>
      </c>
      <c r="H384" t="s">
        <v>22</v>
      </c>
      <c r="I384" t="s">
        <v>828</v>
      </c>
    </row>
    <row r="385" spans="1:9" ht="11.25" customHeight="1">
      <c r="A385" t="s">
        <v>2385</v>
      </c>
      <c r="B385" t="s">
        <v>16</v>
      </c>
      <c r="C385" t="s">
        <v>3652</v>
      </c>
      <c r="D385" t="s">
        <v>3653</v>
      </c>
      <c r="E385" t="s">
        <v>3654</v>
      </c>
      <c r="F385" t="s">
        <v>2771</v>
      </c>
      <c r="G385" t="s">
        <v>22</v>
      </c>
      <c r="H385" t="s">
        <v>22</v>
      </c>
      <c r="I385" t="s">
        <v>828</v>
      </c>
    </row>
    <row r="386" spans="1:9" ht="11.25" customHeight="1">
      <c r="A386" t="s">
        <v>2385</v>
      </c>
      <c r="B386" t="s">
        <v>16</v>
      </c>
      <c r="C386" t="s">
        <v>3655</v>
      </c>
      <c r="D386" t="s">
        <v>3656</v>
      </c>
      <c r="E386" t="s">
        <v>3657</v>
      </c>
      <c r="F386" t="s">
        <v>2442</v>
      </c>
      <c r="G386" t="s">
        <v>22</v>
      </c>
      <c r="H386" t="s">
        <v>22</v>
      </c>
      <c r="I386" t="s">
        <v>828</v>
      </c>
    </row>
    <row r="387" spans="1:9" ht="11.25" customHeight="1">
      <c r="A387" t="s">
        <v>2385</v>
      </c>
      <c r="B387" t="s">
        <v>16</v>
      </c>
      <c r="C387" t="s">
        <v>3658</v>
      </c>
      <c r="D387" t="s">
        <v>3659</v>
      </c>
      <c r="E387" t="s">
        <v>3660</v>
      </c>
      <c r="F387" t="s">
        <v>2613</v>
      </c>
      <c r="G387" t="s">
        <v>22</v>
      </c>
      <c r="H387" t="s">
        <v>22</v>
      </c>
      <c r="I387" t="s">
        <v>828</v>
      </c>
    </row>
    <row r="388" spans="1:9" ht="11.25" customHeight="1">
      <c r="A388" t="s">
        <v>2385</v>
      </c>
      <c r="B388" t="s">
        <v>16</v>
      </c>
      <c r="C388" t="s">
        <v>3661</v>
      </c>
      <c r="D388" t="s">
        <v>3662</v>
      </c>
      <c r="E388" t="s">
        <v>3663</v>
      </c>
      <c r="F388" t="s">
        <v>2763</v>
      </c>
      <c r="G388" t="s">
        <v>22</v>
      </c>
      <c r="H388" t="s">
        <v>22</v>
      </c>
      <c r="I388" t="s">
        <v>828</v>
      </c>
    </row>
    <row r="389" spans="1:9" ht="11.25" customHeight="1">
      <c r="A389" t="s">
        <v>2385</v>
      </c>
      <c r="B389" t="s">
        <v>16</v>
      </c>
      <c r="C389" t="s">
        <v>3664</v>
      </c>
      <c r="D389" t="s">
        <v>3665</v>
      </c>
      <c r="E389" t="s">
        <v>3666</v>
      </c>
      <c r="F389" t="s">
        <v>2613</v>
      </c>
      <c r="G389" t="s">
        <v>22</v>
      </c>
      <c r="H389" t="s">
        <v>22</v>
      </c>
      <c r="I389" t="s">
        <v>828</v>
      </c>
    </row>
    <row r="390" spans="1:9" ht="11.25" customHeight="1">
      <c r="A390" t="s">
        <v>2385</v>
      </c>
      <c r="B390" t="s">
        <v>16</v>
      </c>
      <c r="C390" t="s">
        <v>3667</v>
      </c>
      <c r="D390" t="s">
        <v>3668</v>
      </c>
      <c r="E390" t="s">
        <v>3669</v>
      </c>
      <c r="F390" t="s">
        <v>50</v>
      </c>
      <c r="G390" t="s">
        <v>22</v>
      </c>
      <c r="H390" t="s">
        <v>22</v>
      </c>
      <c r="I390" t="s">
        <v>828</v>
      </c>
    </row>
    <row r="391" spans="1:9" ht="11.25" customHeight="1">
      <c r="A391" t="s">
        <v>2385</v>
      </c>
      <c r="B391" t="s">
        <v>16</v>
      </c>
      <c r="C391" t="s">
        <v>3670</v>
      </c>
      <c r="D391" t="s">
        <v>3671</v>
      </c>
      <c r="E391" t="s">
        <v>3672</v>
      </c>
      <c r="F391" t="s">
        <v>2948</v>
      </c>
      <c r="G391" t="s">
        <v>22</v>
      </c>
      <c r="H391" t="s">
        <v>22</v>
      </c>
      <c r="I391" t="s">
        <v>828</v>
      </c>
    </row>
    <row r="392" spans="1:9" ht="11.25" customHeight="1">
      <c r="A392" t="s">
        <v>2385</v>
      </c>
      <c r="B392" t="s">
        <v>16</v>
      </c>
      <c r="C392" t="s">
        <v>3673</v>
      </c>
      <c r="D392" t="s">
        <v>3674</v>
      </c>
      <c r="E392" t="s">
        <v>3675</v>
      </c>
      <c r="F392" t="s">
        <v>2393</v>
      </c>
      <c r="G392" t="s">
        <v>3676</v>
      </c>
      <c r="H392" t="s">
        <v>22</v>
      </c>
      <c r="I392" t="s">
        <v>828</v>
      </c>
    </row>
    <row r="393" spans="1:9" ht="11.25" customHeight="1">
      <c r="A393" t="s">
        <v>2385</v>
      </c>
      <c r="B393" t="s">
        <v>16</v>
      </c>
      <c r="C393" t="s">
        <v>3677</v>
      </c>
      <c r="D393" t="s">
        <v>3678</v>
      </c>
      <c r="E393" t="s">
        <v>3679</v>
      </c>
      <c r="F393" t="s">
        <v>2522</v>
      </c>
      <c r="G393" t="s">
        <v>22</v>
      </c>
      <c r="H393" t="s">
        <v>22</v>
      </c>
      <c r="I393" t="s">
        <v>828</v>
      </c>
    </row>
    <row r="394" spans="1:9" ht="11.25" customHeight="1">
      <c r="A394" t="s">
        <v>2385</v>
      </c>
      <c r="B394" t="s">
        <v>16</v>
      </c>
      <c r="C394" t="s">
        <v>3680</v>
      </c>
      <c r="D394" t="s">
        <v>3681</v>
      </c>
      <c r="E394" t="s">
        <v>3682</v>
      </c>
      <c r="F394" t="s">
        <v>2427</v>
      </c>
      <c r="G394" t="s">
        <v>22</v>
      </c>
      <c r="H394" t="s">
        <v>22</v>
      </c>
      <c r="I394" t="s">
        <v>828</v>
      </c>
    </row>
    <row r="395" spans="1:9" ht="11.25" customHeight="1">
      <c r="A395" t="s">
        <v>2385</v>
      </c>
      <c r="B395" t="s">
        <v>16</v>
      </c>
      <c r="C395" t="s">
        <v>3683</v>
      </c>
      <c r="D395" t="s">
        <v>3684</v>
      </c>
      <c r="E395" t="s">
        <v>3685</v>
      </c>
      <c r="F395" t="s">
        <v>2434</v>
      </c>
      <c r="G395" t="s">
        <v>22</v>
      </c>
      <c r="H395" t="s">
        <v>22</v>
      </c>
      <c r="I395" t="s">
        <v>828</v>
      </c>
    </row>
    <row r="396" spans="1:9" ht="11.25" customHeight="1">
      <c r="A396" t="s">
        <v>2385</v>
      </c>
      <c r="B396" t="s">
        <v>16</v>
      </c>
      <c r="C396" t="s">
        <v>3686</v>
      </c>
      <c r="D396" t="s">
        <v>3687</v>
      </c>
      <c r="E396" t="s">
        <v>2437</v>
      </c>
      <c r="F396" t="s">
        <v>3688</v>
      </c>
      <c r="G396" t="s">
        <v>22</v>
      </c>
      <c r="H396" t="s">
        <v>22</v>
      </c>
      <c r="I396" t="s">
        <v>828</v>
      </c>
    </row>
    <row r="397" spans="1:9" ht="11.25" customHeight="1">
      <c r="A397" t="s">
        <v>2385</v>
      </c>
      <c r="B397" t="s">
        <v>16</v>
      </c>
      <c r="C397" t="s">
        <v>3689</v>
      </c>
      <c r="D397" t="s">
        <v>3690</v>
      </c>
      <c r="E397" t="s">
        <v>3691</v>
      </c>
      <c r="F397" t="s">
        <v>2393</v>
      </c>
      <c r="G397" t="s">
        <v>3692</v>
      </c>
      <c r="H397" t="s">
        <v>22</v>
      </c>
      <c r="I397" t="s">
        <v>828</v>
      </c>
    </row>
    <row r="398" spans="1:9" ht="11.25" customHeight="1">
      <c r="A398" t="s">
        <v>2385</v>
      </c>
      <c r="B398" t="s">
        <v>16</v>
      </c>
      <c r="C398" t="s">
        <v>3693</v>
      </c>
      <c r="D398" t="s">
        <v>3694</v>
      </c>
      <c r="E398" t="s">
        <v>3695</v>
      </c>
      <c r="F398" t="s">
        <v>2819</v>
      </c>
      <c r="G398" t="s">
        <v>22</v>
      </c>
      <c r="H398" t="s">
        <v>22</v>
      </c>
      <c r="I398" t="s">
        <v>828</v>
      </c>
    </row>
    <row r="399" spans="1:9" ht="11.25" customHeight="1">
      <c r="A399" t="s">
        <v>2385</v>
      </c>
      <c r="B399" t="s">
        <v>16</v>
      </c>
      <c r="C399" t="s">
        <v>3696</v>
      </c>
      <c r="D399" t="s">
        <v>3697</v>
      </c>
      <c r="E399" t="s">
        <v>3698</v>
      </c>
      <c r="F399" t="s">
        <v>2463</v>
      </c>
      <c r="G399" t="s">
        <v>22</v>
      </c>
      <c r="H399" t="s">
        <v>22</v>
      </c>
      <c r="I399" t="s">
        <v>828</v>
      </c>
    </row>
    <row r="400" spans="1:9" ht="11.25" customHeight="1">
      <c r="A400" t="s">
        <v>2385</v>
      </c>
      <c r="B400" t="s">
        <v>16</v>
      </c>
      <c r="C400" t="s">
        <v>3699</v>
      </c>
      <c r="D400" t="s">
        <v>3700</v>
      </c>
      <c r="E400" t="s">
        <v>3701</v>
      </c>
      <c r="F400" t="s">
        <v>2442</v>
      </c>
      <c r="G400" t="s">
        <v>22</v>
      </c>
      <c r="H400" t="s">
        <v>22</v>
      </c>
      <c r="I400" t="s">
        <v>828</v>
      </c>
    </row>
    <row r="401" spans="1:9" ht="11.25" customHeight="1">
      <c r="A401" t="s">
        <v>2385</v>
      </c>
      <c r="B401" t="s">
        <v>16</v>
      </c>
      <c r="C401" t="s">
        <v>3702</v>
      </c>
      <c r="D401" t="s">
        <v>3703</v>
      </c>
      <c r="E401" t="s">
        <v>3704</v>
      </c>
      <c r="F401" t="s">
        <v>2522</v>
      </c>
      <c r="G401" t="s">
        <v>3705</v>
      </c>
      <c r="H401" t="s">
        <v>22</v>
      </c>
      <c r="I401" t="s">
        <v>828</v>
      </c>
    </row>
    <row r="402" spans="1:9" ht="11.25" customHeight="1">
      <c r="A402" t="s">
        <v>2385</v>
      </c>
      <c r="B402" t="s">
        <v>16</v>
      </c>
      <c r="C402" t="s">
        <v>3706</v>
      </c>
      <c r="D402" t="s">
        <v>3707</v>
      </c>
      <c r="E402" t="s">
        <v>3708</v>
      </c>
      <c r="F402" t="s">
        <v>2572</v>
      </c>
      <c r="G402" t="s">
        <v>22</v>
      </c>
      <c r="H402" t="s">
        <v>22</v>
      </c>
      <c r="I402" t="s">
        <v>828</v>
      </c>
    </row>
    <row r="403" spans="1:9" ht="11.25" customHeight="1">
      <c r="A403" t="s">
        <v>2385</v>
      </c>
      <c r="B403" t="s">
        <v>16</v>
      </c>
      <c r="C403" t="s">
        <v>3709</v>
      </c>
      <c r="D403" t="s">
        <v>3710</v>
      </c>
      <c r="E403" t="s">
        <v>3711</v>
      </c>
      <c r="F403" t="s">
        <v>2442</v>
      </c>
      <c r="G403" t="s">
        <v>22</v>
      </c>
      <c r="H403" t="s">
        <v>22</v>
      </c>
      <c r="I403" t="s">
        <v>828</v>
      </c>
    </row>
    <row r="404" spans="1:9" ht="11.25" customHeight="1">
      <c r="A404" t="s">
        <v>2385</v>
      </c>
      <c r="B404" t="s">
        <v>16</v>
      </c>
      <c r="C404" t="s">
        <v>3712</v>
      </c>
      <c r="D404" t="s">
        <v>3713</v>
      </c>
      <c r="E404" t="s">
        <v>3714</v>
      </c>
      <c r="F404" t="s">
        <v>2442</v>
      </c>
      <c r="G404" t="s">
        <v>22</v>
      </c>
      <c r="H404" t="s">
        <v>22</v>
      </c>
      <c r="I404" t="s">
        <v>828</v>
      </c>
    </row>
    <row r="405" spans="1:9" ht="11.25" customHeight="1">
      <c r="A405" t="s">
        <v>2385</v>
      </c>
      <c r="B405" t="s">
        <v>16</v>
      </c>
      <c r="C405" t="s">
        <v>3715</v>
      </c>
      <c r="D405" t="s">
        <v>3716</v>
      </c>
      <c r="E405" t="s">
        <v>3717</v>
      </c>
      <c r="F405" t="s">
        <v>2763</v>
      </c>
      <c r="G405" t="s">
        <v>22</v>
      </c>
      <c r="H405" t="s">
        <v>22</v>
      </c>
      <c r="I405" t="s">
        <v>828</v>
      </c>
    </row>
    <row r="406" spans="1:9" ht="11.25" customHeight="1">
      <c r="A406" t="s">
        <v>2385</v>
      </c>
      <c r="B406" t="s">
        <v>16</v>
      </c>
      <c r="C406" t="s">
        <v>3718</v>
      </c>
      <c r="D406" t="s">
        <v>3719</v>
      </c>
      <c r="E406" t="s">
        <v>3720</v>
      </c>
      <c r="F406" t="s">
        <v>2898</v>
      </c>
      <c r="G406" t="s">
        <v>22</v>
      </c>
      <c r="H406" t="s">
        <v>22</v>
      </c>
      <c r="I406" t="s">
        <v>828</v>
      </c>
    </row>
    <row r="407" spans="1:9" ht="11.25" customHeight="1">
      <c r="A407" t="s">
        <v>2385</v>
      </c>
      <c r="B407" t="s">
        <v>16</v>
      </c>
      <c r="C407" t="s">
        <v>3721</v>
      </c>
      <c r="D407" t="s">
        <v>3722</v>
      </c>
      <c r="E407" t="s">
        <v>3723</v>
      </c>
      <c r="F407" t="s">
        <v>2771</v>
      </c>
      <c r="G407" t="s">
        <v>22</v>
      </c>
      <c r="H407" t="s">
        <v>22</v>
      </c>
      <c r="I407" t="s">
        <v>828</v>
      </c>
    </row>
    <row r="408" spans="1:9" ht="11.25" customHeight="1">
      <c r="A408" t="s">
        <v>2385</v>
      </c>
      <c r="B408" t="s">
        <v>16</v>
      </c>
      <c r="C408" t="s">
        <v>3724</v>
      </c>
      <c r="D408" t="s">
        <v>3725</v>
      </c>
      <c r="E408" t="s">
        <v>3726</v>
      </c>
      <c r="F408" t="s">
        <v>2442</v>
      </c>
      <c r="G408" t="s">
        <v>22</v>
      </c>
      <c r="H408" t="s">
        <v>22</v>
      </c>
      <c r="I408" t="s">
        <v>828</v>
      </c>
    </row>
    <row r="409" spans="1:9" ht="11.25" customHeight="1">
      <c r="A409" t="s">
        <v>2385</v>
      </c>
      <c r="B409" t="s">
        <v>16</v>
      </c>
      <c r="C409" t="s">
        <v>3727</v>
      </c>
      <c r="D409" t="s">
        <v>3728</v>
      </c>
      <c r="E409" t="s">
        <v>3729</v>
      </c>
      <c r="F409" t="s">
        <v>2586</v>
      </c>
      <c r="G409" t="s">
        <v>22</v>
      </c>
      <c r="H409" t="s">
        <v>22</v>
      </c>
      <c r="I409" t="s">
        <v>828</v>
      </c>
    </row>
    <row r="410" spans="1:9" ht="11.25" customHeight="1">
      <c r="A410" t="s">
        <v>2385</v>
      </c>
      <c r="B410" t="s">
        <v>16</v>
      </c>
      <c r="C410" t="s">
        <v>3730</v>
      </c>
      <c r="D410" t="s">
        <v>3731</v>
      </c>
      <c r="E410" t="s">
        <v>3732</v>
      </c>
      <c r="F410" t="s">
        <v>2830</v>
      </c>
      <c r="G410" t="s">
        <v>22</v>
      </c>
      <c r="H410" t="s">
        <v>22</v>
      </c>
      <c r="I410" t="s">
        <v>828</v>
      </c>
    </row>
    <row r="411" spans="1:9" ht="11.25" customHeight="1">
      <c r="A411" t="s">
        <v>2385</v>
      </c>
      <c r="B411" t="s">
        <v>16</v>
      </c>
      <c r="C411" t="s">
        <v>22</v>
      </c>
      <c r="D411" t="s">
        <v>3733</v>
      </c>
      <c r="E411" t="s">
        <v>3734</v>
      </c>
      <c r="F411" t="s">
        <v>2393</v>
      </c>
      <c r="G411" t="s">
        <v>22</v>
      </c>
      <c r="H411" t="s">
        <v>22</v>
      </c>
      <c r="I411" t="s">
        <v>828</v>
      </c>
    </row>
    <row r="412" spans="1:9" ht="11.25" customHeight="1">
      <c r="A412" t="s">
        <v>2385</v>
      </c>
      <c r="B412" t="s">
        <v>16</v>
      </c>
      <c r="C412" t="s">
        <v>3735</v>
      </c>
      <c r="D412" t="s">
        <v>3736</v>
      </c>
      <c r="E412" t="s">
        <v>3737</v>
      </c>
      <c r="F412" t="s">
        <v>3070</v>
      </c>
      <c r="G412" t="s">
        <v>22</v>
      </c>
      <c r="H412" t="s">
        <v>22</v>
      </c>
      <c r="I412" t="s">
        <v>828</v>
      </c>
    </row>
    <row r="413" spans="1:9" ht="11.25" customHeight="1">
      <c r="A413" t="s">
        <v>2385</v>
      </c>
      <c r="B413" t="s">
        <v>16</v>
      </c>
      <c r="C413" t="s">
        <v>3738</v>
      </c>
      <c r="D413" t="s">
        <v>3739</v>
      </c>
      <c r="E413" t="s">
        <v>3740</v>
      </c>
      <c r="F413" t="s">
        <v>2631</v>
      </c>
      <c r="G413" t="s">
        <v>3741</v>
      </c>
      <c r="H413" t="s">
        <v>22</v>
      </c>
      <c r="I413" t="s">
        <v>828</v>
      </c>
    </row>
    <row r="414" spans="1:9" ht="11.25" customHeight="1">
      <c r="A414" t="s">
        <v>2385</v>
      </c>
      <c r="B414" t="s">
        <v>16</v>
      </c>
      <c r="C414" t="s">
        <v>3742</v>
      </c>
      <c r="D414" t="s">
        <v>3743</v>
      </c>
      <c r="E414" t="s">
        <v>3744</v>
      </c>
      <c r="F414" t="s">
        <v>2631</v>
      </c>
      <c r="G414" t="s">
        <v>22</v>
      </c>
      <c r="H414" t="s">
        <v>22</v>
      </c>
      <c r="I414" t="s">
        <v>828</v>
      </c>
    </row>
    <row r="415" spans="1:9" ht="11.25" customHeight="1">
      <c r="A415" t="s">
        <v>2385</v>
      </c>
      <c r="B415" t="s">
        <v>16</v>
      </c>
      <c r="C415" t="s">
        <v>3745</v>
      </c>
      <c r="D415" t="s">
        <v>3746</v>
      </c>
      <c r="E415" t="s">
        <v>3747</v>
      </c>
      <c r="F415" t="s">
        <v>2393</v>
      </c>
      <c r="G415" t="s">
        <v>22</v>
      </c>
      <c r="H415" t="s">
        <v>22</v>
      </c>
      <c r="I415" t="s">
        <v>828</v>
      </c>
    </row>
    <row r="416" spans="1:9" ht="11.25" customHeight="1">
      <c r="A416" t="s">
        <v>2385</v>
      </c>
      <c r="B416" t="s">
        <v>16</v>
      </c>
      <c r="C416" t="s">
        <v>3748</v>
      </c>
      <c r="D416" t="s">
        <v>3749</v>
      </c>
      <c r="E416" t="s">
        <v>3750</v>
      </c>
      <c r="F416" t="s">
        <v>2674</v>
      </c>
      <c r="G416" t="s">
        <v>22</v>
      </c>
      <c r="H416" t="s">
        <v>22</v>
      </c>
      <c r="I416" t="s">
        <v>828</v>
      </c>
    </row>
    <row r="417" spans="1:9" ht="11.25" customHeight="1">
      <c r="A417" t="s">
        <v>2385</v>
      </c>
      <c r="B417" t="s">
        <v>16</v>
      </c>
      <c r="C417" t="s">
        <v>3751</v>
      </c>
      <c r="D417" t="s">
        <v>3752</v>
      </c>
      <c r="E417" t="s">
        <v>3753</v>
      </c>
      <c r="F417" t="s">
        <v>2393</v>
      </c>
      <c r="G417" t="s">
        <v>22</v>
      </c>
      <c r="H417" t="s">
        <v>22</v>
      </c>
      <c r="I417" t="s">
        <v>828</v>
      </c>
    </row>
    <row r="418" spans="1:9" ht="11.25" customHeight="1">
      <c r="A418" t="s">
        <v>2385</v>
      </c>
      <c r="B418" t="s">
        <v>16</v>
      </c>
      <c r="C418" t="s">
        <v>3754</v>
      </c>
      <c r="D418" t="s">
        <v>3755</v>
      </c>
      <c r="E418" t="s">
        <v>3756</v>
      </c>
      <c r="F418" t="s">
        <v>3688</v>
      </c>
      <c r="G418" t="s">
        <v>22</v>
      </c>
      <c r="H418" t="s">
        <v>22</v>
      </c>
      <c r="I418" t="s">
        <v>828</v>
      </c>
    </row>
    <row r="419" spans="1:9" ht="11.25" customHeight="1">
      <c r="A419" t="s">
        <v>2385</v>
      </c>
      <c r="B419" t="s">
        <v>16</v>
      </c>
      <c r="C419" t="s">
        <v>3757</v>
      </c>
      <c r="D419" t="s">
        <v>3755</v>
      </c>
      <c r="E419" t="s">
        <v>3756</v>
      </c>
      <c r="F419" t="s">
        <v>2568</v>
      </c>
      <c r="G419" t="s">
        <v>22</v>
      </c>
      <c r="H419" t="s">
        <v>22</v>
      </c>
      <c r="I419" t="s">
        <v>828</v>
      </c>
    </row>
    <row r="420" spans="1:9" ht="11.25" customHeight="1">
      <c r="A420" t="s">
        <v>2385</v>
      </c>
      <c r="B420" t="s">
        <v>16</v>
      </c>
      <c r="C420" t="s">
        <v>3758</v>
      </c>
      <c r="D420" t="s">
        <v>3759</v>
      </c>
      <c r="E420" t="s">
        <v>3760</v>
      </c>
      <c r="F420" t="s">
        <v>2576</v>
      </c>
      <c r="G420" t="s">
        <v>22</v>
      </c>
      <c r="H420" t="s">
        <v>22</v>
      </c>
      <c r="I420" t="s">
        <v>828</v>
      </c>
    </row>
    <row r="421" spans="1:9" ht="11.25" customHeight="1">
      <c r="A421" t="s">
        <v>2385</v>
      </c>
      <c r="B421" t="s">
        <v>16</v>
      </c>
      <c r="C421" t="s">
        <v>3761</v>
      </c>
      <c r="D421" t="s">
        <v>3762</v>
      </c>
      <c r="E421" t="s">
        <v>3763</v>
      </c>
      <c r="F421" t="s">
        <v>3764</v>
      </c>
      <c r="G421" t="s">
        <v>22</v>
      </c>
      <c r="H421" t="s">
        <v>22</v>
      </c>
      <c r="I421" t="s">
        <v>828</v>
      </c>
    </row>
    <row r="422" spans="1:9" ht="11.25" customHeight="1">
      <c r="A422" t="s">
        <v>2385</v>
      </c>
      <c r="B422" t="s">
        <v>16</v>
      </c>
      <c r="C422" t="s">
        <v>3765</v>
      </c>
      <c r="D422" t="s">
        <v>3766</v>
      </c>
      <c r="E422" t="s">
        <v>3767</v>
      </c>
      <c r="F422" t="s">
        <v>2449</v>
      </c>
      <c r="G422" t="s">
        <v>22</v>
      </c>
      <c r="H422" t="s">
        <v>22</v>
      </c>
      <c r="I422" t="s">
        <v>828</v>
      </c>
    </row>
    <row r="423" spans="1:9" ht="11.25" customHeight="1">
      <c r="A423" t="s">
        <v>2385</v>
      </c>
      <c r="B423" t="s">
        <v>16</v>
      </c>
      <c r="C423" t="s">
        <v>3768</v>
      </c>
      <c r="D423" t="s">
        <v>3769</v>
      </c>
      <c r="E423" t="s">
        <v>3770</v>
      </c>
      <c r="F423" t="s">
        <v>2586</v>
      </c>
      <c r="G423" t="s">
        <v>3771</v>
      </c>
      <c r="H423" t="s">
        <v>22</v>
      </c>
      <c r="I423" t="s">
        <v>828</v>
      </c>
    </row>
    <row r="424" spans="1:9" ht="11.25" customHeight="1">
      <c r="A424" t="s">
        <v>2385</v>
      </c>
      <c r="B424" t="s">
        <v>16</v>
      </c>
      <c r="C424" t="s">
        <v>3772</v>
      </c>
      <c r="D424" t="s">
        <v>3773</v>
      </c>
      <c r="E424" t="s">
        <v>3774</v>
      </c>
      <c r="F424" t="s">
        <v>2771</v>
      </c>
      <c r="G424" t="s">
        <v>3775</v>
      </c>
      <c r="H424" t="s">
        <v>22</v>
      </c>
      <c r="I424" t="s">
        <v>828</v>
      </c>
    </row>
    <row r="425" spans="1:9" ht="11.25" customHeight="1">
      <c r="A425" t="s">
        <v>2385</v>
      </c>
      <c r="B425" t="s">
        <v>16</v>
      </c>
      <c r="C425" t="s">
        <v>3776</v>
      </c>
      <c r="D425" t="s">
        <v>3777</v>
      </c>
      <c r="E425" t="s">
        <v>3778</v>
      </c>
      <c r="F425" t="s">
        <v>2647</v>
      </c>
      <c r="G425" t="s">
        <v>22</v>
      </c>
      <c r="H425" t="s">
        <v>22</v>
      </c>
      <c r="I425" t="s">
        <v>828</v>
      </c>
    </row>
    <row r="426" spans="1:9" ht="11.25" customHeight="1">
      <c r="A426" t="s">
        <v>2385</v>
      </c>
      <c r="B426" t="s">
        <v>16</v>
      </c>
      <c r="C426" t="s">
        <v>3779</v>
      </c>
      <c r="D426" t="s">
        <v>3780</v>
      </c>
      <c r="E426" t="s">
        <v>3781</v>
      </c>
      <c r="F426" t="s">
        <v>2841</v>
      </c>
      <c r="G426" t="s">
        <v>22</v>
      </c>
      <c r="H426" t="s">
        <v>22</v>
      </c>
      <c r="I426" t="s">
        <v>828</v>
      </c>
    </row>
    <row r="427" spans="1:9" ht="11.25" customHeight="1">
      <c r="A427" t="s">
        <v>2385</v>
      </c>
      <c r="B427" t="s">
        <v>16</v>
      </c>
      <c r="C427" t="s">
        <v>3782</v>
      </c>
      <c r="D427" t="s">
        <v>3783</v>
      </c>
      <c r="E427" t="s">
        <v>3784</v>
      </c>
      <c r="F427" t="s">
        <v>2659</v>
      </c>
      <c r="G427" t="s">
        <v>3771</v>
      </c>
      <c r="H427" t="s">
        <v>22</v>
      </c>
      <c r="I427" t="s">
        <v>828</v>
      </c>
    </row>
    <row r="428" spans="1:9" ht="11.25" customHeight="1">
      <c r="A428" t="s">
        <v>2385</v>
      </c>
      <c r="B428" t="s">
        <v>16</v>
      </c>
      <c r="C428" t="s">
        <v>3785</v>
      </c>
      <c r="D428" t="s">
        <v>3786</v>
      </c>
      <c r="E428" t="s">
        <v>3787</v>
      </c>
      <c r="F428" t="s">
        <v>2659</v>
      </c>
      <c r="G428" t="s">
        <v>22</v>
      </c>
      <c r="H428" t="s">
        <v>22</v>
      </c>
      <c r="I428" t="s">
        <v>828</v>
      </c>
    </row>
    <row r="429" spans="1:9" ht="11.25" customHeight="1">
      <c r="A429" t="s">
        <v>2385</v>
      </c>
      <c r="B429" t="s">
        <v>16</v>
      </c>
      <c r="C429" t="s">
        <v>3788</v>
      </c>
      <c r="D429" t="s">
        <v>3789</v>
      </c>
      <c r="E429" t="s">
        <v>3790</v>
      </c>
      <c r="F429" t="s">
        <v>2786</v>
      </c>
      <c r="G429" t="s">
        <v>22</v>
      </c>
      <c r="H429" t="s">
        <v>22</v>
      </c>
      <c r="I429" t="s">
        <v>828</v>
      </c>
    </row>
    <row r="430" spans="1:9" ht="11.25" customHeight="1">
      <c r="A430" t="s">
        <v>2385</v>
      </c>
      <c r="B430" t="s">
        <v>16</v>
      </c>
      <c r="C430" t="s">
        <v>3791</v>
      </c>
      <c r="D430" t="s">
        <v>3792</v>
      </c>
      <c r="E430" t="s">
        <v>3793</v>
      </c>
      <c r="F430" t="s">
        <v>2771</v>
      </c>
      <c r="G430" t="s">
        <v>3794</v>
      </c>
      <c r="H430" t="s">
        <v>22</v>
      </c>
      <c r="I430" t="s">
        <v>828</v>
      </c>
    </row>
    <row r="431" spans="1:9" ht="11.25" customHeight="1">
      <c r="A431" t="s">
        <v>2385</v>
      </c>
      <c r="B431" t="s">
        <v>16</v>
      </c>
      <c r="C431" t="s">
        <v>3795</v>
      </c>
      <c r="D431" t="s">
        <v>3796</v>
      </c>
      <c r="E431" t="s">
        <v>3797</v>
      </c>
      <c r="F431" t="s">
        <v>2442</v>
      </c>
      <c r="G431" t="s">
        <v>22</v>
      </c>
      <c r="H431" t="s">
        <v>22</v>
      </c>
      <c r="I431" t="s">
        <v>828</v>
      </c>
    </row>
    <row r="432" spans="1:9" ht="11.25" customHeight="1">
      <c r="A432" t="s">
        <v>2385</v>
      </c>
      <c r="B432" t="s">
        <v>16</v>
      </c>
      <c r="C432" t="s">
        <v>3798</v>
      </c>
      <c r="D432" t="s">
        <v>3799</v>
      </c>
      <c r="E432" t="s">
        <v>3800</v>
      </c>
      <c r="F432" t="s">
        <v>3444</v>
      </c>
      <c r="G432" t="s">
        <v>22</v>
      </c>
      <c r="H432" t="s">
        <v>22</v>
      </c>
      <c r="I432" t="s">
        <v>828</v>
      </c>
    </row>
    <row r="433" spans="1:9" ht="11.25" customHeight="1">
      <c r="A433" t="s">
        <v>2385</v>
      </c>
      <c r="B433" t="s">
        <v>16</v>
      </c>
      <c r="C433" t="s">
        <v>3801</v>
      </c>
      <c r="D433" t="s">
        <v>3802</v>
      </c>
      <c r="E433" t="s">
        <v>3803</v>
      </c>
      <c r="F433" t="s">
        <v>3804</v>
      </c>
      <c r="G433" t="s">
        <v>22</v>
      </c>
      <c r="H433" t="s">
        <v>22</v>
      </c>
      <c r="I433" t="s">
        <v>828</v>
      </c>
    </row>
    <row r="434" spans="1:9" ht="11.25" customHeight="1">
      <c r="A434" t="s">
        <v>2385</v>
      </c>
      <c r="B434" t="s">
        <v>16</v>
      </c>
      <c r="C434" t="s">
        <v>3805</v>
      </c>
      <c r="D434" t="s">
        <v>3806</v>
      </c>
      <c r="E434" t="s">
        <v>2388</v>
      </c>
      <c r="F434" t="s">
        <v>3807</v>
      </c>
      <c r="G434" t="s">
        <v>22</v>
      </c>
      <c r="H434" t="s">
        <v>22</v>
      </c>
      <c r="I434" t="s">
        <v>828</v>
      </c>
    </row>
    <row r="435" spans="1:9" ht="11.25" customHeight="1">
      <c r="A435" t="s">
        <v>2385</v>
      </c>
      <c r="B435" t="s">
        <v>16</v>
      </c>
      <c r="C435" t="s">
        <v>3808</v>
      </c>
      <c r="D435" t="s">
        <v>3809</v>
      </c>
      <c r="E435" t="s">
        <v>2388</v>
      </c>
      <c r="F435" t="s">
        <v>3810</v>
      </c>
      <c r="G435" t="s">
        <v>22</v>
      </c>
      <c r="H435" t="s">
        <v>22</v>
      </c>
      <c r="I435" t="s">
        <v>828</v>
      </c>
    </row>
    <row r="436" spans="1:9" ht="11.25" customHeight="1">
      <c r="A436" t="s">
        <v>2385</v>
      </c>
      <c r="B436" t="s">
        <v>16</v>
      </c>
      <c r="C436" t="s">
        <v>3811</v>
      </c>
      <c r="D436" t="s">
        <v>3812</v>
      </c>
      <c r="E436" t="s">
        <v>3813</v>
      </c>
      <c r="F436" t="s">
        <v>3814</v>
      </c>
      <c r="G436" t="s">
        <v>22</v>
      </c>
      <c r="H436" t="s">
        <v>22</v>
      </c>
      <c r="I436" t="s">
        <v>828</v>
      </c>
    </row>
    <row r="437" spans="1:9" ht="11.25" customHeight="1">
      <c r="A437" t="s">
        <v>2385</v>
      </c>
      <c r="B437" t="s">
        <v>16</v>
      </c>
      <c r="C437" t="s">
        <v>3815</v>
      </c>
      <c r="D437" t="s">
        <v>3816</v>
      </c>
      <c r="E437" t="s">
        <v>3760</v>
      </c>
      <c r="F437" t="s">
        <v>3817</v>
      </c>
      <c r="G437" t="s">
        <v>22</v>
      </c>
      <c r="H437" t="s">
        <v>22</v>
      </c>
      <c r="I437" t="s">
        <v>828</v>
      </c>
    </row>
    <row r="438" spans="1:9" ht="11.25" customHeight="1">
      <c r="A438" t="s">
        <v>2385</v>
      </c>
      <c r="B438" t="s">
        <v>16</v>
      </c>
      <c r="C438" t="s">
        <v>3818</v>
      </c>
      <c r="D438" t="s">
        <v>3819</v>
      </c>
      <c r="E438" t="s">
        <v>2388</v>
      </c>
      <c r="F438" t="s">
        <v>3820</v>
      </c>
      <c r="G438" t="s">
        <v>22</v>
      </c>
      <c r="H438" t="s">
        <v>22</v>
      </c>
      <c r="I438" t="s">
        <v>828</v>
      </c>
    </row>
    <row r="439" spans="1:9" ht="11.25" customHeight="1">
      <c r="A439" t="s">
        <v>2385</v>
      </c>
      <c r="B439" t="s">
        <v>16</v>
      </c>
      <c r="C439" t="s">
        <v>2390</v>
      </c>
      <c r="D439" t="s">
        <v>2391</v>
      </c>
      <c r="E439" t="s">
        <v>2392</v>
      </c>
      <c r="F439" t="s">
        <v>2393</v>
      </c>
      <c r="G439" t="s">
        <v>2394</v>
      </c>
      <c r="H439" t="s">
        <v>22</v>
      </c>
      <c r="I439" t="s">
        <v>916</v>
      </c>
    </row>
    <row r="440" spans="1:9" ht="11.25" customHeight="1">
      <c r="A440" t="s">
        <v>2385</v>
      </c>
      <c r="B440" t="s">
        <v>16</v>
      </c>
      <c r="C440" t="s">
        <v>2403</v>
      </c>
      <c r="D440" t="s">
        <v>2404</v>
      </c>
      <c r="E440" t="s">
        <v>2405</v>
      </c>
      <c r="F440" t="s">
        <v>2406</v>
      </c>
      <c r="G440" t="s">
        <v>22</v>
      </c>
      <c r="H440" t="s">
        <v>22</v>
      </c>
      <c r="I440" t="s">
        <v>916</v>
      </c>
    </row>
    <row r="441" spans="1:9" ht="11.25" customHeight="1">
      <c r="A441" t="s">
        <v>2385</v>
      </c>
      <c r="B441" t="s">
        <v>16</v>
      </c>
      <c r="C441" t="s">
        <v>2417</v>
      </c>
      <c r="D441" t="s">
        <v>2418</v>
      </c>
      <c r="E441" t="s">
        <v>2419</v>
      </c>
      <c r="F441" t="s">
        <v>2420</v>
      </c>
      <c r="G441" t="s">
        <v>22</v>
      </c>
      <c r="H441" t="s">
        <v>22</v>
      </c>
      <c r="I441" t="s">
        <v>916</v>
      </c>
    </row>
    <row r="442" spans="1:9" ht="11.25" customHeight="1">
      <c r="A442" t="s">
        <v>2385</v>
      </c>
      <c r="B442" t="s">
        <v>16</v>
      </c>
      <c r="C442" t="s">
        <v>2424</v>
      </c>
      <c r="D442" t="s">
        <v>2425</v>
      </c>
      <c r="E442" t="s">
        <v>2426</v>
      </c>
      <c r="F442" t="s">
        <v>2427</v>
      </c>
      <c r="G442" t="s">
        <v>22</v>
      </c>
      <c r="H442" t="s">
        <v>22</v>
      </c>
      <c r="I442" t="s">
        <v>916</v>
      </c>
    </row>
    <row r="443" spans="1:9" ht="11.25" customHeight="1">
      <c r="A443" t="s">
        <v>2385</v>
      </c>
      <c r="B443" t="s">
        <v>16</v>
      </c>
      <c r="C443" t="s">
        <v>2428</v>
      </c>
      <c r="D443" t="s">
        <v>2429</v>
      </c>
      <c r="E443" t="s">
        <v>2430</v>
      </c>
      <c r="F443" t="s">
        <v>2420</v>
      </c>
      <c r="G443" t="s">
        <v>22</v>
      </c>
      <c r="H443" t="s">
        <v>22</v>
      </c>
      <c r="I443" t="s">
        <v>916</v>
      </c>
    </row>
    <row r="444" spans="1:9" ht="11.25" customHeight="1">
      <c r="A444" t="s">
        <v>2385</v>
      </c>
      <c r="B444" t="s">
        <v>16</v>
      </c>
      <c r="C444" t="s">
        <v>2431</v>
      </c>
      <c r="D444" t="s">
        <v>2432</v>
      </c>
      <c r="E444" t="s">
        <v>2433</v>
      </c>
      <c r="F444" t="s">
        <v>2434</v>
      </c>
      <c r="G444" t="s">
        <v>22</v>
      </c>
      <c r="H444" t="s">
        <v>22</v>
      </c>
      <c r="I444" t="s">
        <v>916</v>
      </c>
    </row>
    <row r="445" spans="1:9" ht="11.25" customHeight="1">
      <c r="A445" t="s">
        <v>2385</v>
      </c>
      <c r="B445" t="s">
        <v>16</v>
      </c>
      <c r="C445" t="s">
        <v>2435</v>
      </c>
      <c r="D445" t="s">
        <v>2436</v>
      </c>
      <c r="E445" t="s">
        <v>2437</v>
      </c>
      <c r="F445" t="s">
        <v>2438</v>
      </c>
      <c r="G445" t="s">
        <v>22</v>
      </c>
      <c r="H445" t="s">
        <v>22</v>
      </c>
      <c r="I445" t="s">
        <v>916</v>
      </c>
    </row>
    <row r="446" spans="1:9" ht="11.25" customHeight="1">
      <c r="A446" t="s">
        <v>2385</v>
      </c>
      <c r="B446" t="s">
        <v>16</v>
      </c>
      <c r="C446" t="s">
        <v>2450</v>
      </c>
      <c r="D446" t="s">
        <v>2451</v>
      </c>
      <c r="E446" t="s">
        <v>2452</v>
      </c>
      <c r="F446" t="s">
        <v>2453</v>
      </c>
      <c r="G446" t="s">
        <v>22</v>
      </c>
      <c r="H446" t="s">
        <v>22</v>
      </c>
      <c r="I446" t="s">
        <v>916</v>
      </c>
    </row>
    <row r="447" spans="1:9" ht="11.25" customHeight="1">
      <c r="A447" t="s">
        <v>2385</v>
      </c>
      <c r="B447" t="s">
        <v>16</v>
      </c>
      <c r="C447" t="s">
        <v>2457</v>
      </c>
      <c r="D447" t="s">
        <v>2458</v>
      </c>
      <c r="E447" t="s">
        <v>2459</v>
      </c>
      <c r="F447" t="s">
        <v>2416</v>
      </c>
      <c r="G447" t="s">
        <v>22</v>
      </c>
      <c r="H447" t="s">
        <v>22</v>
      </c>
      <c r="I447" t="s">
        <v>916</v>
      </c>
    </row>
    <row r="448" spans="1:9" ht="11.25" customHeight="1">
      <c r="A448" t="s">
        <v>2385</v>
      </c>
      <c r="B448" t="s">
        <v>16</v>
      </c>
      <c r="C448" t="s">
        <v>2471</v>
      </c>
      <c r="D448" t="s">
        <v>2472</v>
      </c>
      <c r="E448" t="s">
        <v>2473</v>
      </c>
      <c r="F448" t="s">
        <v>2406</v>
      </c>
      <c r="G448" t="s">
        <v>22</v>
      </c>
      <c r="H448" t="s">
        <v>22</v>
      </c>
      <c r="I448" t="s">
        <v>916</v>
      </c>
    </row>
    <row r="449" spans="1:9" ht="11.25" customHeight="1">
      <c r="A449" t="s">
        <v>2385</v>
      </c>
      <c r="B449" t="s">
        <v>16</v>
      </c>
      <c r="C449" t="s">
        <v>2481</v>
      </c>
      <c r="D449" t="s">
        <v>2482</v>
      </c>
      <c r="E449" t="s">
        <v>2483</v>
      </c>
      <c r="F449" t="s">
        <v>2484</v>
      </c>
      <c r="G449" t="s">
        <v>2485</v>
      </c>
      <c r="H449" t="s">
        <v>22</v>
      </c>
      <c r="I449" t="s">
        <v>916</v>
      </c>
    </row>
    <row r="450" spans="1:9" ht="11.25" customHeight="1">
      <c r="A450" t="s">
        <v>2385</v>
      </c>
      <c r="B450" t="s">
        <v>16</v>
      </c>
      <c r="C450" t="s">
        <v>2492</v>
      </c>
      <c r="D450" t="s">
        <v>2493</v>
      </c>
      <c r="E450" t="s">
        <v>2494</v>
      </c>
      <c r="F450" t="s">
        <v>2495</v>
      </c>
      <c r="G450" t="s">
        <v>22</v>
      </c>
      <c r="H450" t="s">
        <v>22</v>
      </c>
      <c r="I450" t="s">
        <v>916</v>
      </c>
    </row>
    <row r="451" spans="1:9" ht="11.25" customHeight="1">
      <c r="A451" t="s">
        <v>2385</v>
      </c>
      <c r="B451" t="s">
        <v>16</v>
      </c>
      <c r="C451" t="s">
        <v>2499</v>
      </c>
      <c r="D451" t="s">
        <v>2500</v>
      </c>
      <c r="E451" t="s">
        <v>2501</v>
      </c>
      <c r="F451" t="s">
        <v>2453</v>
      </c>
      <c r="G451" t="s">
        <v>22</v>
      </c>
      <c r="H451" t="s">
        <v>22</v>
      </c>
      <c r="I451" t="s">
        <v>916</v>
      </c>
    </row>
    <row r="452" spans="1:9" ht="11.25" customHeight="1">
      <c r="A452" t="s">
        <v>2385</v>
      </c>
      <c r="B452" t="s">
        <v>16</v>
      </c>
      <c r="C452" t="s">
        <v>2505</v>
      </c>
      <c r="D452" t="s">
        <v>2506</v>
      </c>
      <c r="E452" t="s">
        <v>2507</v>
      </c>
      <c r="F452" t="s">
        <v>2508</v>
      </c>
      <c r="G452" t="s">
        <v>22</v>
      </c>
      <c r="H452" t="s">
        <v>22</v>
      </c>
      <c r="I452" t="s">
        <v>916</v>
      </c>
    </row>
    <row r="453" spans="1:9" ht="11.25" customHeight="1">
      <c r="A453" t="s">
        <v>2385</v>
      </c>
      <c r="B453" t="s">
        <v>16</v>
      </c>
      <c r="C453" t="s">
        <v>2527</v>
      </c>
      <c r="D453" t="s">
        <v>2528</v>
      </c>
      <c r="E453" t="s">
        <v>2526</v>
      </c>
      <c r="F453" t="s">
        <v>2529</v>
      </c>
      <c r="G453" t="s">
        <v>22</v>
      </c>
      <c r="H453" t="s">
        <v>22</v>
      </c>
      <c r="I453" t="s">
        <v>916</v>
      </c>
    </row>
    <row r="454" spans="1:9" ht="11.25" customHeight="1">
      <c r="A454" t="s">
        <v>2385</v>
      </c>
      <c r="B454" t="s">
        <v>16</v>
      </c>
      <c r="C454" t="s">
        <v>2530</v>
      </c>
      <c r="D454" t="s">
        <v>2531</v>
      </c>
      <c r="E454" t="s">
        <v>2526</v>
      </c>
      <c r="F454" t="s">
        <v>2532</v>
      </c>
      <c r="G454" t="s">
        <v>22</v>
      </c>
      <c r="H454" t="s">
        <v>22</v>
      </c>
      <c r="I454" t="s">
        <v>916</v>
      </c>
    </row>
    <row r="455" spans="1:9" ht="11.25" customHeight="1">
      <c r="A455" t="s">
        <v>2385</v>
      </c>
      <c r="B455" t="s">
        <v>16</v>
      </c>
      <c r="C455" t="s">
        <v>2536</v>
      </c>
      <c r="D455" t="s">
        <v>2537</v>
      </c>
      <c r="E455" t="s">
        <v>2526</v>
      </c>
      <c r="F455" t="s">
        <v>2538</v>
      </c>
      <c r="G455" t="s">
        <v>22</v>
      </c>
      <c r="H455" t="s">
        <v>22</v>
      </c>
      <c r="I455" t="s">
        <v>916</v>
      </c>
    </row>
    <row r="456" spans="1:9" ht="11.25" customHeight="1">
      <c r="A456" t="s">
        <v>2385</v>
      </c>
      <c r="B456" t="s">
        <v>16</v>
      </c>
      <c r="C456" t="s">
        <v>2539</v>
      </c>
      <c r="D456" t="s">
        <v>2540</v>
      </c>
      <c r="E456" t="s">
        <v>2526</v>
      </c>
      <c r="F456" t="s">
        <v>2541</v>
      </c>
      <c r="G456" t="s">
        <v>22</v>
      </c>
      <c r="H456" t="s">
        <v>22</v>
      </c>
      <c r="I456" t="s">
        <v>916</v>
      </c>
    </row>
    <row r="457" spans="1:9" ht="11.25" customHeight="1">
      <c r="A457" t="s">
        <v>2385</v>
      </c>
      <c r="B457" t="s">
        <v>16</v>
      </c>
      <c r="C457" t="s">
        <v>2542</v>
      </c>
      <c r="D457" t="s">
        <v>2543</v>
      </c>
      <c r="E457" t="s">
        <v>2526</v>
      </c>
      <c r="F457" t="s">
        <v>2544</v>
      </c>
      <c r="G457" t="s">
        <v>22</v>
      </c>
      <c r="H457" t="s">
        <v>22</v>
      </c>
      <c r="I457" t="s">
        <v>916</v>
      </c>
    </row>
    <row r="458" spans="1:9" ht="11.25" customHeight="1">
      <c r="A458" t="s">
        <v>2385</v>
      </c>
      <c r="B458" t="s">
        <v>16</v>
      </c>
      <c r="C458" t="s">
        <v>2545</v>
      </c>
      <c r="D458" t="s">
        <v>2546</v>
      </c>
      <c r="E458" t="s">
        <v>2526</v>
      </c>
      <c r="F458" t="s">
        <v>2547</v>
      </c>
      <c r="G458" t="s">
        <v>22</v>
      </c>
      <c r="H458" t="s">
        <v>22</v>
      </c>
      <c r="I458" t="s">
        <v>916</v>
      </c>
    </row>
    <row r="459" spans="1:9" ht="11.25" customHeight="1">
      <c r="A459" t="s">
        <v>2385</v>
      </c>
      <c r="B459" t="s">
        <v>16</v>
      </c>
      <c r="C459" t="s">
        <v>2561</v>
      </c>
      <c r="D459" t="s">
        <v>2562</v>
      </c>
      <c r="E459" t="s">
        <v>2563</v>
      </c>
      <c r="F459" t="s">
        <v>2564</v>
      </c>
      <c r="G459" t="s">
        <v>22</v>
      </c>
      <c r="H459" t="s">
        <v>22</v>
      </c>
      <c r="I459" t="s">
        <v>916</v>
      </c>
    </row>
    <row r="460" spans="1:9" ht="11.25" customHeight="1">
      <c r="A460" t="s">
        <v>2385</v>
      </c>
      <c r="B460" t="s">
        <v>16</v>
      </c>
      <c r="C460" t="s">
        <v>2577</v>
      </c>
      <c r="D460" t="s">
        <v>2578</v>
      </c>
      <c r="E460" t="s">
        <v>2579</v>
      </c>
      <c r="F460" t="s">
        <v>2401</v>
      </c>
      <c r="G460" t="s">
        <v>22</v>
      </c>
      <c r="H460" t="s">
        <v>22</v>
      </c>
      <c r="I460" t="s">
        <v>916</v>
      </c>
    </row>
    <row r="461" spans="1:9" ht="11.25" customHeight="1">
      <c r="A461" t="s">
        <v>2385</v>
      </c>
      <c r="B461" t="s">
        <v>16</v>
      </c>
      <c r="C461" t="s">
        <v>2580</v>
      </c>
      <c r="D461" t="s">
        <v>2581</v>
      </c>
      <c r="E461" t="s">
        <v>2582</v>
      </c>
      <c r="F461" t="s">
        <v>2576</v>
      </c>
      <c r="G461" t="s">
        <v>22</v>
      </c>
      <c r="H461" t="s">
        <v>22</v>
      </c>
      <c r="I461" t="s">
        <v>916</v>
      </c>
    </row>
    <row r="462" spans="1:9" ht="11.25" customHeight="1">
      <c r="A462" t="s">
        <v>2385</v>
      </c>
      <c r="B462" t="s">
        <v>16</v>
      </c>
      <c r="C462" t="s">
        <v>2591</v>
      </c>
      <c r="D462" t="s">
        <v>2592</v>
      </c>
      <c r="E462" t="s">
        <v>2593</v>
      </c>
      <c r="F462" t="s">
        <v>50</v>
      </c>
      <c r="G462" t="s">
        <v>22</v>
      </c>
      <c r="H462" t="s">
        <v>22</v>
      </c>
      <c r="I462" t="s">
        <v>916</v>
      </c>
    </row>
    <row r="463" spans="1:9" ht="11.25" customHeight="1">
      <c r="A463" t="s">
        <v>2385</v>
      </c>
      <c r="B463" t="s">
        <v>16</v>
      </c>
      <c r="C463" t="s">
        <v>2599</v>
      </c>
      <c r="D463" t="s">
        <v>2600</v>
      </c>
      <c r="E463" t="s">
        <v>2601</v>
      </c>
      <c r="F463" t="s">
        <v>2427</v>
      </c>
      <c r="G463" t="s">
        <v>2602</v>
      </c>
      <c r="H463" t="s">
        <v>22</v>
      </c>
      <c r="I463" t="s">
        <v>916</v>
      </c>
    </row>
    <row r="464" spans="1:9" ht="11.25" customHeight="1">
      <c r="A464" t="s">
        <v>2385</v>
      </c>
      <c r="B464" t="s">
        <v>16</v>
      </c>
      <c r="C464" t="s">
        <v>2606</v>
      </c>
      <c r="D464" t="s">
        <v>2607</v>
      </c>
      <c r="E464" t="s">
        <v>2608</v>
      </c>
      <c r="F464" t="s">
        <v>2406</v>
      </c>
      <c r="G464" t="s">
        <v>2609</v>
      </c>
      <c r="H464" t="s">
        <v>22</v>
      </c>
      <c r="I464" t="s">
        <v>916</v>
      </c>
    </row>
    <row r="465" spans="1:9" ht="11.25" customHeight="1">
      <c r="A465" t="s">
        <v>2385</v>
      </c>
      <c r="B465" t="s">
        <v>16</v>
      </c>
      <c r="C465" t="s">
        <v>2621</v>
      </c>
      <c r="D465" t="s">
        <v>2622</v>
      </c>
      <c r="E465" t="s">
        <v>2526</v>
      </c>
      <c r="F465" t="s">
        <v>2623</v>
      </c>
      <c r="G465" t="s">
        <v>22</v>
      </c>
      <c r="H465" t="s">
        <v>22</v>
      </c>
      <c r="I465" t="s">
        <v>916</v>
      </c>
    </row>
    <row r="466" spans="1:9" ht="11.25" customHeight="1">
      <c r="A466" t="s">
        <v>2385</v>
      </c>
      <c r="B466" t="s">
        <v>16</v>
      </c>
      <c r="C466" t="s">
        <v>2637</v>
      </c>
      <c r="D466" t="s">
        <v>2638</v>
      </c>
      <c r="E466" t="s">
        <v>2639</v>
      </c>
      <c r="F466" t="s">
        <v>2640</v>
      </c>
      <c r="G466" t="s">
        <v>22</v>
      </c>
      <c r="H466" t="s">
        <v>22</v>
      </c>
      <c r="I466" t="s">
        <v>916</v>
      </c>
    </row>
    <row r="467" spans="1:9" ht="11.25" customHeight="1">
      <c r="A467" t="s">
        <v>2385</v>
      </c>
      <c r="B467" t="s">
        <v>16</v>
      </c>
      <c r="C467" t="s">
        <v>2664</v>
      </c>
      <c r="D467" t="s">
        <v>2665</v>
      </c>
      <c r="E467" t="s">
        <v>2666</v>
      </c>
      <c r="F467" t="s">
        <v>2667</v>
      </c>
      <c r="G467" t="s">
        <v>22</v>
      </c>
      <c r="H467" t="s">
        <v>22</v>
      </c>
      <c r="I467" t="s">
        <v>916</v>
      </c>
    </row>
    <row r="468" spans="1:9" ht="11.25" customHeight="1">
      <c r="A468" t="s">
        <v>2385</v>
      </c>
      <c r="B468" t="s">
        <v>16</v>
      </c>
      <c r="C468" t="s">
        <v>2671</v>
      </c>
      <c r="D468" t="s">
        <v>2672</v>
      </c>
      <c r="E468" t="s">
        <v>2673</v>
      </c>
      <c r="F468" t="s">
        <v>2674</v>
      </c>
      <c r="G468" t="s">
        <v>22</v>
      </c>
      <c r="H468" t="s">
        <v>22</v>
      </c>
      <c r="I468" t="s">
        <v>916</v>
      </c>
    </row>
    <row r="469" spans="1:9" ht="11.25" customHeight="1">
      <c r="A469" t="s">
        <v>2385</v>
      </c>
      <c r="B469" t="s">
        <v>16</v>
      </c>
      <c r="C469" t="s">
        <v>2675</v>
      </c>
      <c r="D469" t="s">
        <v>2676</v>
      </c>
      <c r="E469" t="s">
        <v>2677</v>
      </c>
      <c r="F469" t="s">
        <v>2427</v>
      </c>
      <c r="G469" t="s">
        <v>22</v>
      </c>
      <c r="H469" t="s">
        <v>22</v>
      </c>
      <c r="I469" t="s">
        <v>916</v>
      </c>
    </row>
    <row r="470" spans="1:9" ht="11.25" customHeight="1">
      <c r="A470" t="s">
        <v>2385</v>
      </c>
      <c r="B470" t="s">
        <v>16</v>
      </c>
      <c r="C470" t="s">
        <v>2684</v>
      </c>
      <c r="D470" t="s">
        <v>2685</v>
      </c>
      <c r="E470" t="s">
        <v>2686</v>
      </c>
      <c r="F470" t="s">
        <v>2453</v>
      </c>
      <c r="G470" t="s">
        <v>22</v>
      </c>
      <c r="H470" t="s">
        <v>22</v>
      </c>
      <c r="I470" t="s">
        <v>916</v>
      </c>
    </row>
    <row r="471" spans="1:9" ht="11.25" customHeight="1">
      <c r="A471" t="s">
        <v>2385</v>
      </c>
      <c r="B471" t="s">
        <v>16</v>
      </c>
      <c r="C471" t="s">
        <v>2697</v>
      </c>
      <c r="D471" t="s">
        <v>2698</v>
      </c>
      <c r="E471" t="s">
        <v>2699</v>
      </c>
      <c r="F471" t="s">
        <v>2700</v>
      </c>
      <c r="G471" t="s">
        <v>22</v>
      </c>
      <c r="H471" t="s">
        <v>22</v>
      </c>
      <c r="I471" t="s">
        <v>916</v>
      </c>
    </row>
    <row r="472" spans="1:9" ht="11.25" customHeight="1">
      <c r="A472" t="s">
        <v>2385</v>
      </c>
      <c r="B472" t="s">
        <v>16</v>
      </c>
      <c r="C472" t="s">
        <v>2790</v>
      </c>
      <c r="D472" t="s">
        <v>2791</v>
      </c>
      <c r="E472" t="s">
        <v>2792</v>
      </c>
      <c r="F472" t="s">
        <v>2512</v>
      </c>
      <c r="G472" t="s">
        <v>22</v>
      </c>
      <c r="H472" t="s">
        <v>22</v>
      </c>
      <c r="I472" t="s">
        <v>916</v>
      </c>
    </row>
    <row r="473" spans="1:9" ht="11.25" customHeight="1">
      <c r="A473" t="s">
        <v>2385</v>
      </c>
      <c r="B473" t="s">
        <v>16</v>
      </c>
      <c r="C473" t="s">
        <v>2796</v>
      </c>
      <c r="D473" t="s">
        <v>2797</v>
      </c>
      <c r="E473" t="s">
        <v>2798</v>
      </c>
      <c r="F473" t="s">
        <v>2799</v>
      </c>
      <c r="G473" t="s">
        <v>22</v>
      </c>
      <c r="H473" t="s">
        <v>22</v>
      </c>
      <c r="I473" t="s">
        <v>916</v>
      </c>
    </row>
    <row r="474" spans="1:9" ht="11.25" customHeight="1">
      <c r="A474" t="s">
        <v>2385</v>
      </c>
      <c r="B474" t="s">
        <v>16</v>
      </c>
      <c r="C474" t="s">
        <v>2800</v>
      </c>
      <c r="D474" t="s">
        <v>2801</v>
      </c>
      <c r="E474" t="s">
        <v>2802</v>
      </c>
      <c r="F474" t="s">
        <v>2416</v>
      </c>
      <c r="G474" t="s">
        <v>22</v>
      </c>
      <c r="H474" t="s">
        <v>22</v>
      </c>
      <c r="I474" t="s">
        <v>916</v>
      </c>
    </row>
    <row r="475" spans="1:9" ht="11.25" customHeight="1">
      <c r="A475" t="s">
        <v>2385</v>
      </c>
      <c r="B475" t="s">
        <v>16</v>
      </c>
      <c r="C475" t="s">
        <v>2806</v>
      </c>
      <c r="D475" t="s">
        <v>2807</v>
      </c>
      <c r="E475" t="s">
        <v>2808</v>
      </c>
      <c r="F475" t="s">
        <v>2799</v>
      </c>
      <c r="G475" t="s">
        <v>22</v>
      </c>
      <c r="H475" t="s">
        <v>22</v>
      </c>
      <c r="I475" t="s">
        <v>916</v>
      </c>
    </row>
    <row r="476" spans="1:9" ht="11.25" customHeight="1">
      <c r="A476" t="s">
        <v>2385</v>
      </c>
      <c r="B476" t="s">
        <v>16</v>
      </c>
      <c r="C476" t="s">
        <v>2809</v>
      </c>
      <c r="D476" t="s">
        <v>2810</v>
      </c>
      <c r="E476" t="s">
        <v>2811</v>
      </c>
      <c r="F476" t="s">
        <v>2812</v>
      </c>
      <c r="G476" t="s">
        <v>22</v>
      </c>
      <c r="H476" t="s">
        <v>22</v>
      </c>
      <c r="I476" t="s">
        <v>916</v>
      </c>
    </row>
    <row r="477" spans="1:9" ht="11.25" customHeight="1">
      <c r="A477" t="s">
        <v>2385</v>
      </c>
      <c r="B477" t="s">
        <v>16</v>
      </c>
      <c r="C477" t="s">
        <v>2816</v>
      </c>
      <c r="D477" t="s">
        <v>2817</v>
      </c>
      <c r="E477" t="s">
        <v>2818</v>
      </c>
      <c r="F477" t="s">
        <v>2819</v>
      </c>
      <c r="G477" t="s">
        <v>2820</v>
      </c>
      <c r="H477" t="s">
        <v>22</v>
      </c>
      <c r="I477" t="s">
        <v>916</v>
      </c>
    </row>
    <row r="478" spans="1:9" ht="11.25" customHeight="1">
      <c r="A478" t="s">
        <v>2385</v>
      </c>
      <c r="B478" t="s">
        <v>16</v>
      </c>
      <c r="C478" t="s">
        <v>2821</v>
      </c>
      <c r="D478" t="s">
        <v>2822</v>
      </c>
      <c r="E478" t="s">
        <v>2823</v>
      </c>
      <c r="F478" t="s">
        <v>2389</v>
      </c>
      <c r="G478" t="s">
        <v>22</v>
      </c>
      <c r="H478" t="s">
        <v>22</v>
      </c>
      <c r="I478" t="s">
        <v>916</v>
      </c>
    </row>
    <row r="479" spans="1:9" ht="11.25" customHeight="1">
      <c r="A479" t="s">
        <v>2385</v>
      </c>
      <c r="B479" t="s">
        <v>16</v>
      </c>
      <c r="C479" t="s">
        <v>2831</v>
      </c>
      <c r="D479" t="s">
        <v>2832</v>
      </c>
      <c r="E479" t="s">
        <v>2833</v>
      </c>
      <c r="F479" t="s">
        <v>2434</v>
      </c>
      <c r="G479" t="s">
        <v>22</v>
      </c>
      <c r="H479" t="s">
        <v>22</v>
      </c>
      <c r="I479" t="s">
        <v>916</v>
      </c>
    </row>
    <row r="480" spans="1:9" ht="11.25" customHeight="1">
      <c r="A480" t="s">
        <v>2385</v>
      </c>
      <c r="B480" t="s">
        <v>16</v>
      </c>
      <c r="C480" t="s">
        <v>2855</v>
      </c>
      <c r="D480" t="s">
        <v>2856</v>
      </c>
      <c r="E480" t="s">
        <v>2857</v>
      </c>
      <c r="F480" t="s">
        <v>2449</v>
      </c>
      <c r="G480" t="s">
        <v>22</v>
      </c>
      <c r="H480" t="s">
        <v>22</v>
      </c>
      <c r="I480" t="s">
        <v>916</v>
      </c>
    </row>
    <row r="481" spans="1:9" ht="11.25" customHeight="1">
      <c r="A481" t="s">
        <v>2385</v>
      </c>
      <c r="B481" t="s">
        <v>16</v>
      </c>
      <c r="C481" t="s">
        <v>2861</v>
      </c>
      <c r="D481" t="s">
        <v>2862</v>
      </c>
      <c r="E481" t="s">
        <v>2863</v>
      </c>
      <c r="F481" t="s">
        <v>2667</v>
      </c>
      <c r="G481" t="s">
        <v>22</v>
      </c>
      <c r="H481" t="s">
        <v>22</v>
      </c>
      <c r="I481" t="s">
        <v>916</v>
      </c>
    </row>
    <row r="482" spans="1:9" ht="11.25" customHeight="1">
      <c r="A482" t="s">
        <v>2385</v>
      </c>
      <c r="B482" t="s">
        <v>16</v>
      </c>
      <c r="C482" t="s">
        <v>2867</v>
      </c>
      <c r="D482" t="s">
        <v>2868</v>
      </c>
      <c r="E482" t="s">
        <v>2869</v>
      </c>
      <c r="F482" t="s">
        <v>2819</v>
      </c>
      <c r="G482" t="s">
        <v>22</v>
      </c>
      <c r="H482" t="s">
        <v>22</v>
      </c>
      <c r="I482" t="s">
        <v>916</v>
      </c>
    </row>
    <row r="483" spans="1:9" ht="11.25" customHeight="1">
      <c r="A483" t="s">
        <v>2385</v>
      </c>
      <c r="B483" t="s">
        <v>16</v>
      </c>
      <c r="C483" t="s">
        <v>2882</v>
      </c>
      <c r="D483" t="s">
        <v>2883</v>
      </c>
      <c r="E483" t="s">
        <v>2884</v>
      </c>
      <c r="F483" t="s">
        <v>2484</v>
      </c>
      <c r="G483" t="s">
        <v>22</v>
      </c>
      <c r="H483" t="s">
        <v>22</v>
      </c>
      <c r="I483" t="s">
        <v>916</v>
      </c>
    </row>
    <row r="484" spans="1:9" ht="11.25" customHeight="1">
      <c r="A484" t="s">
        <v>2385</v>
      </c>
      <c r="B484" t="s">
        <v>16</v>
      </c>
      <c r="C484" t="s">
        <v>2888</v>
      </c>
      <c r="D484" t="s">
        <v>2889</v>
      </c>
      <c r="E484" t="s">
        <v>2890</v>
      </c>
      <c r="F484" t="s">
        <v>2891</v>
      </c>
      <c r="G484" t="s">
        <v>22</v>
      </c>
      <c r="H484" t="s">
        <v>22</v>
      </c>
      <c r="I484" t="s">
        <v>916</v>
      </c>
    </row>
    <row r="485" spans="1:9" ht="11.25" customHeight="1">
      <c r="A485" t="s">
        <v>2385</v>
      </c>
      <c r="B485" t="s">
        <v>16</v>
      </c>
      <c r="C485" t="s">
        <v>2895</v>
      </c>
      <c r="D485" t="s">
        <v>2896</v>
      </c>
      <c r="E485" t="s">
        <v>2897</v>
      </c>
      <c r="F485" t="s">
        <v>2898</v>
      </c>
      <c r="G485" t="s">
        <v>22</v>
      </c>
      <c r="H485" t="s">
        <v>22</v>
      </c>
      <c r="I485" t="s">
        <v>916</v>
      </c>
    </row>
    <row r="486" spans="1:9" ht="11.25" customHeight="1">
      <c r="A486" t="s">
        <v>2385</v>
      </c>
      <c r="B486" t="s">
        <v>16</v>
      </c>
      <c r="C486" t="s">
        <v>2899</v>
      </c>
      <c r="D486" t="s">
        <v>2900</v>
      </c>
      <c r="E486" t="s">
        <v>2901</v>
      </c>
      <c r="F486" t="s">
        <v>2640</v>
      </c>
      <c r="G486" t="s">
        <v>22</v>
      </c>
      <c r="H486" t="s">
        <v>22</v>
      </c>
      <c r="I486" t="s">
        <v>916</v>
      </c>
    </row>
    <row r="487" spans="1:9" ht="11.25" customHeight="1">
      <c r="A487" t="s">
        <v>2385</v>
      </c>
      <c r="B487" t="s">
        <v>16</v>
      </c>
      <c r="C487" t="s">
        <v>2912</v>
      </c>
      <c r="D487" t="s">
        <v>2913</v>
      </c>
      <c r="E487" t="s">
        <v>2914</v>
      </c>
      <c r="F487" t="s">
        <v>2667</v>
      </c>
      <c r="G487" t="s">
        <v>22</v>
      </c>
      <c r="H487" t="s">
        <v>22</v>
      </c>
      <c r="I487" t="s">
        <v>916</v>
      </c>
    </row>
    <row r="488" spans="1:9" ht="11.25" customHeight="1">
      <c r="A488" t="s">
        <v>2385</v>
      </c>
      <c r="B488" t="s">
        <v>16</v>
      </c>
      <c r="C488" t="s">
        <v>2915</v>
      </c>
      <c r="D488" t="s">
        <v>2916</v>
      </c>
      <c r="E488" t="s">
        <v>2917</v>
      </c>
      <c r="F488" t="s">
        <v>2406</v>
      </c>
      <c r="G488" t="s">
        <v>22</v>
      </c>
      <c r="H488" t="s">
        <v>22</v>
      </c>
      <c r="I488" t="s">
        <v>916</v>
      </c>
    </row>
    <row r="489" spans="1:9" ht="11.25" customHeight="1">
      <c r="A489" t="s">
        <v>2385</v>
      </c>
      <c r="B489" t="s">
        <v>16</v>
      </c>
      <c r="C489" t="s">
        <v>2921</v>
      </c>
      <c r="D489" t="s">
        <v>2922</v>
      </c>
      <c r="E489" t="s">
        <v>2923</v>
      </c>
      <c r="F489" t="s">
        <v>2484</v>
      </c>
      <c r="G489" t="s">
        <v>22</v>
      </c>
      <c r="H489" t="s">
        <v>22</v>
      </c>
      <c r="I489" t="s">
        <v>916</v>
      </c>
    </row>
    <row r="490" spans="1:9" ht="11.25" customHeight="1">
      <c r="A490" t="s">
        <v>2385</v>
      </c>
      <c r="B490" t="s">
        <v>16</v>
      </c>
      <c r="C490" t="s">
        <v>2942</v>
      </c>
      <c r="D490" t="s">
        <v>2943</v>
      </c>
      <c r="E490" t="s">
        <v>2944</v>
      </c>
      <c r="F490" t="s">
        <v>2819</v>
      </c>
      <c r="G490" t="s">
        <v>22</v>
      </c>
      <c r="H490" t="s">
        <v>22</v>
      </c>
      <c r="I490" t="s">
        <v>916</v>
      </c>
    </row>
    <row r="491" spans="1:9" ht="11.25" customHeight="1">
      <c r="A491" t="s">
        <v>2385</v>
      </c>
      <c r="B491" t="s">
        <v>16</v>
      </c>
      <c r="C491" t="s">
        <v>2945</v>
      </c>
      <c r="D491" t="s">
        <v>2946</v>
      </c>
      <c r="E491" t="s">
        <v>2947</v>
      </c>
      <c r="F491" t="s">
        <v>2948</v>
      </c>
      <c r="G491" t="s">
        <v>22</v>
      </c>
      <c r="H491" t="s">
        <v>22</v>
      </c>
      <c r="I491" t="s">
        <v>916</v>
      </c>
    </row>
    <row r="492" spans="1:9" ht="11.25" customHeight="1">
      <c r="A492" t="s">
        <v>2385</v>
      </c>
      <c r="B492" t="s">
        <v>16</v>
      </c>
      <c r="C492" t="s">
        <v>2949</v>
      </c>
      <c r="D492" t="s">
        <v>2950</v>
      </c>
      <c r="E492" t="s">
        <v>2951</v>
      </c>
      <c r="F492" t="s">
        <v>2442</v>
      </c>
      <c r="G492" t="s">
        <v>22</v>
      </c>
      <c r="H492" t="s">
        <v>22</v>
      </c>
      <c r="I492" t="s">
        <v>916</v>
      </c>
    </row>
    <row r="493" spans="1:9" ht="11.25" customHeight="1">
      <c r="A493" t="s">
        <v>2385</v>
      </c>
      <c r="B493" t="s">
        <v>16</v>
      </c>
      <c r="C493" t="s">
        <v>2956</v>
      </c>
      <c r="D493" t="s">
        <v>2957</v>
      </c>
      <c r="E493" t="s">
        <v>2958</v>
      </c>
      <c r="F493" t="s">
        <v>2819</v>
      </c>
      <c r="G493" t="s">
        <v>22</v>
      </c>
      <c r="H493" t="s">
        <v>22</v>
      </c>
      <c r="I493" t="s">
        <v>916</v>
      </c>
    </row>
    <row r="494" spans="1:9" ht="11.25" customHeight="1">
      <c r="A494" t="s">
        <v>2385</v>
      </c>
      <c r="B494" t="s">
        <v>16</v>
      </c>
      <c r="C494" t="s">
        <v>2959</v>
      </c>
      <c r="D494" t="s">
        <v>2960</v>
      </c>
      <c r="E494" t="s">
        <v>2961</v>
      </c>
      <c r="F494" t="s">
        <v>2674</v>
      </c>
      <c r="G494" t="s">
        <v>22</v>
      </c>
      <c r="H494" t="s">
        <v>22</v>
      </c>
      <c r="I494" t="s">
        <v>916</v>
      </c>
    </row>
    <row r="495" spans="1:9" ht="11.25" customHeight="1">
      <c r="A495" t="s">
        <v>2385</v>
      </c>
      <c r="B495" t="s">
        <v>16</v>
      </c>
      <c r="C495" t="s">
        <v>2962</v>
      </c>
      <c r="D495" t="s">
        <v>2963</v>
      </c>
      <c r="E495" t="s">
        <v>2964</v>
      </c>
      <c r="F495" t="s">
        <v>2837</v>
      </c>
      <c r="G495" t="s">
        <v>22</v>
      </c>
      <c r="H495" t="s">
        <v>22</v>
      </c>
      <c r="I495" t="s">
        <v>916</v>
      </c>
    </row>
    <row r="496" spans="1:9" ht="11.25" customHeight="1">
      <c r="A496" t="s">
        <v>2385</v>
      </c>
      <c r="B496" t="s">
        <v>16</v>
      </c>
      <c r="C496" t="s">
        <v>2972</v>
      </c>
      <c r="D496" t="s">
        <v>2973</v>
      </c>
      <c r="E496" t="s">
        <v>2974</v>
      </c>
      <c r="F496" t="s">
        <v>2975</v>
      </c>
      <c r="G496" t="s">
        <v>22</v>
      </c>
      <c r="H496" t="s">
        <v>22</v>
      </c>
      <c r="I496" t="s">
        <v>916</v>
      </c>
    </row>
    <row r="497" spans="1:9" ht="11.25" customHeight="1">
      <c r="A497" t="s">
        <v>2385</v>
      </c>
      <c r="B497" t="s">
        <v>16</v>
      </c>
      <c r="C497" t="s">
        <v>2976</v>
      </c>
      <c r="D497" t="s">
        <v>2977</v>
      </c>
      <c r="E497" t="s">
        <v>2978</v>
      </c>
      <c r="F497" t="s">
        <v>2453</v>
      </c>
      <c r="G497" t="s">
        <v>22</v>
      </c>
      <c r="H497" t="s">
        <v>22</v>
      </c>
      <c r="I497" t="s">
        <v>916</v>
      </c>
    </row>
    <row r="498" spans="1:9" ht="11.25" customHeight="1">
      <c r="A498" t="s">
        <v>2385</v>
      </c>
      <c r="B498" t="s">
        <v>16</v>
      </c>
      <c r="C498" t="s">
        <v>2979</v>
      </c>
      <c r="D498" t="s">
        <v>2980</v>
      </c>
      <c r="E498" t="s">
        <v>2981</v>
      </c>
      <c r="F498" t="s">
        <v>2651</v>
      </c>
      <c r="G498" t="s">
        <v>22</v>
      </c>
      <c r="H498" t="s">
        <v>22</v>
      </c>
      <c r="I498" t="s">
        <v>916</v>
      </c>
    </row>
    <row r="499" spans="1:9" ht="11.25" customHeight="1">
      <c r="A499" t="s">
        <v>2385</v>
      </c>
      <c r="B499" t="s">
        <v>16</v>
      </c>
      <c r="C499" t="s">
        <v>2982</v>
      </c>
      <c r="D499" t="s">
        <v>2983</v>
      </c>
      <c r="E499" t="s">
        <v>2984</v>
      </c>
      <c r="F499" t="s">
        <v>2771</v>
      </c>
      <c r="G499" t="s">
        <v>2985</v>
      </c>
      <c r="H499" t="s">
        <v>22</v>
      </c>
      <c r="I499" t="s">
        <v>916</v>
      </c>
    </row>
    <row r="500" spans="1:9" ht="11.25" customHeight="1">
      <c r="A500" t="s">
        <v>2385</v>
      </c>
      <c r="B500" t="s">
        <v>16</v>
      </c>
      <c r="C500" t="s">
        <v>2986</v>
      </c>
      <c r="D500" t="s">
        <v>2987</v>
      </c>
      <c r="E500" t="s">
        <v>2988</v>
      </c>
      <c r="F500" t="s">
        <v>2830</v>
      </c>
      <c r="G500" t="s">
        <v>22</v>
      </c>
      <c r="H500" t="s">
        <v>22</v>
      </c>
      <c r="I500" t="s">
        <v>916</v>
      </c>
    </row>
    <row r="501" spans="1:9" ht="11.25" customHeight="1">
      <c r="A501" t="s">
        <v>2385</v>
      </c>
      <c r="B501" t="s">
        <v>16</v>
      </c>
      <c r="C501" t="s">
        <v>3003</v>
      </c>
      <c r="D501" t="s">
        <v>3004</v>
      </c>
      <c r="E501" t="s">
        <v>3005</v>
      </c>
      <c r="F501" t="s">
        <v>2667</v>
      </c>
      <c r="G501" t="s">
        <v>3006</v>
      </c>
      <c r="H501" t="s">
        <v>22</v>
      </c>
      <c r="I501" t="s">
        <v>916</v>
      </c>
    </row>
    <row r="502" spans="1:9" ht="11.25" customHeight="1">
      <c r="A502" t="s">
        <v>2385</v>
      </c>
      <c r="B502" t="s">
        <v>16</v>
      </c>
      <c r="C502" t="s">
        <v>3007</v>
      </c>
      <c r="D502" t="s">
        <v>3008</v>
      </c>
      <c r="E502" t="s">
        <v>3009</v>
      </c>
      <c r="F502" t="s">
        <v>2667</v>
      </c>
      <c r="G502" t="s">
        <v>22</v>
      </c>
      <c r="H502" t="s">
        <v>22</v>
      </c>
      <c r="I502" t="s">
        <v>916</v>
      </c>
    </row>
    <row r="503" spans="1:9" ht="11.25" customHeight="1">
      <c r="A503" t="s">
        <v>2385</v>
      </c>
      <c r="B503" t="s">
        <v>16</v>
      </c>
      <c r="C503" t="s">
        <v>3046</v>
      </c>
      <c r="D503" t="s">
        <v>3047</v>
      </c>
      <c r="E503" t="s">
        <v>2626</v>
      </c>
      <c r="F503" t="s">
        <v>2690</v>
      </c>
      <c r="G503" t="s">
        <v>22</v>
      </c>
      <c r="H503" t="s">
        <v>22</v>
      </c>
      <c r="I503" t="s">
        <v>916</v>
      </c>
    </row>
    <row r="504" spans="1:9" ht="11.25" customHeight="1">
      <c r="A504" t="s">
        <v>2385</v>
      </c>
      <c r="B504" t="s">
        <v>16</v>
      </c>
      <c r="C504" t="s">
        <v>3092</v>
      </c>
      <c r="D504" t="s">
        <v>3093</v>
      </c>
      <c r="E504" t="s">
        <v>3094</v>
      </c>
      <c r="F504" t="s">
        <v>2508</v>
      </c>
      <c r="G504" t="s">
        <v>22</v>
      </c>
      <c r="H504" t="s">
        <v>22</v>
      </c>
      <c r="I504" t="s">
        <v>916</v>
      </c>
    </row>
    <row r="505" spans="1:9" ht="11.25" customHeight="1">
      <c r="A505" t="s">
        <v>2385</v>
      </c>
      <c r="B505" t="s">
        <v>16</v>
      </c>
      <c r="C505" t="s">
        <v>3124</v>
      </c>
      <c r="D505" t="s">
        <v>3125</v>
      </c>
      <c r="E505" t="s">
        <v>3126</v>
      </c>
      <c r="F505" t="s">
        <v>2799</v>
      </c>
      <c r="G505" t="s">
        <v>22</v>
      </c>
      <c r="H505" t="s">
        <v>22</v>
      </c>
      <c r="I505" t="s">
        <v>916</v>
      </c>
    </row>
    <row r="506" spans="1:9" ht="11.25" customHeight="1">
      <c r="A506" t="s">
        <v>2385</v>
      </c>
      <c r="B506" t="s">
        <v>16</v>
      </c>
      <c r="C506" t="s">
        <v>3127</v>
      </c>
      <c r="D506" t="s">
        <v>3128</v>
      </c>
      <c r="E506" t="s">
        <v>2699</v>
      </c>
      <c r="F506" t="s">
        <v>3129</v>
      </c>
      <c r="G506" t="s">
        <v>22</v>
      </c>
      <c r="H506" t="s">
        <v>22</v>
      </c>
      <c r="I506" t="s">
        <v>916</v>
      </c>
    </row>
    <row r="507" spans="1:9" ht="11.25" customHeight="1">
      <c r="A507" t="s">
        <v>2385</v>
      </c>
      <c r="B507" t="s">
        <v>16</v>
      </c>
      <c r="C507" t="s">
        <v>3133</v>
      </c>
      <c r="D507" t="s">
        <v>3134</v>
      </c>
      <c r="E507" t="s">
        <v>3135</v>
      </c>
      <c r="F507" t="s">
        <v>2406</v>
      </c>
      <c r="G507" t="s">
        <v>22</v>
      </c>
      <c r="H507" t="s">
        <v>22</v>
      </c>
      <c r="I507" t="s">
        <v>916</v>
      </c>
    </row>
    <row r="508" spans="1:9" ht="11.25" customHeight="1">
      <c r="A508" t="s">
        <v>2385</v>
      </c>
      <c r="B508" t="s">
        <v>16</v>
      </c>
      <c r="C508" t="s">
        <v>3139</v>
      </c>
      <c r="D508" t="s">
        <v>3140</v>
      </c>
      <c r="E508" t="s">
        <v>3141</v>
      </c>
      <c r="F508" t="s">
        <v>2393</v>
      </c>
      <c r="G508" t="s">
        <v>22</v>
      </c>
      <c r="H508" t="s">
        <v>22</v>
      </c>
      <c r="I508" t="s">
        <v>916</v>
      </c>
    </row>
    <row r="509" spans="1:9" ht="11.25" customHeight="1">
      <c r="A509" t="s">
        <v>2385</v>
      </c>
      <c r="B509" t="s">
        <v>16</v>
      </c>
      <c r="C509" t="s">
        <v>3142</v>
      </c>
      <c r="D509" t="s">
        <v>3143</v>
      </c>
      <c r="E509" t="s">
        <v>3144</v>
      </c>
      <c r="F509" t="s">
        <v>2651</v>
      </c>
      <c r="G509" t="s">
        <v>22</v>
      </c>
      <c r="H509" t="s">
        <v>22</v>
      </c>
      <c r="I509" t="s">
        <v>916</v>
      </c>
    </row>
    <row r="510" spans="1:9" ht="11.25" customHeight="1">
      <c r="A510" t="s">
        <v>2385</v>
      </c>
      <c r="B510" t="s">
        <v>16</v>
      </c>
      <c r="C510" t="s">
        <v>3158</v>
      </c>
      <c r="D510" t="s">
        <v>3159</v>
      </c>
      <c r="E510" t="s">
        <v>3160</v>
      </c>
      <c r="F510" t="s">
        <v>2427</v>
      </c>
      <c r="G510" t="s">
        <v>22</v>
      </c>
      <c r="H510" t="s">
        <v>22</v>
      </c>
      <c r="I510" t="s">
        <v>916</v>
      </c>
    </row>
    <row r="511" spans="1:9" ht="11.25" customHeight="1">
      <c r="A511" t="s">
        <v>2385</v>
      </c>
      <c r="B511" t="s">
        <v>16</v>
      </c>
      <c r="C511" t="s">
        <v>3167</v>
      </c>
      <c r="D511" t="s">
        <v>3168</v>
      </c>
      <c r="E511" t="s">
        <v>3169</v>
      </c>
      <c r="F511" t="s">
        <v>2393</v>
      </c>
      <c r="G511" t="s">
        <v>22</v>
      </c>
      <c r="H511" t="s">
        <v>22</v>
      </c>
      <c r="I511" t="s">
        <v>916</v>
      </c>
    </row>
    <row r="512" spans="1:9" ht="11.25" customHeight="1">
      <c r="A512" t="s">
        <v>2385</v>
      </c>
      <c r="B512" t="s">
        <v>16</v>
      </c>
      <c r="C512" t="s">
        <v>3172</v>
      </c>
      <c r="D512" t="s">
        <v>3173</v>
      </c>
      <c r="E512" t="s">
        <v>3174</v>
      </c>
      <c r="F512" t="s">
        <v>2508</v>
      </c>
      <c r="G512" t="s">
        <v>22</v>
      </c>
      <c r="H512" t="s">
        <v>22</v>
      </c>
      <c r="I512" t="s">
        <v>916</v>
      </c>
    </row>
    <row r="513" spans="1:9" ht="11.25" customHeight="1">
      <c r="A513" t="s">
        <v>2385</v>
      </c>
      <c r="B513" t="s">
        <v>16</v>
      </c>
      <c r="C513" t="s">
        <v>3178</v>
      </c>
      <c r="D513" t="s">
        <v>3179</v>
      </c>
      <c r="E513" t="s">
        <v>3180</v>
      </c>
      <c r="F513" t="s">
        <v>2416</v>
      </c>
      <c r="G513" t="s">
        <v>22</v>
      </c>
      <c r="H513" t="s">
        <v>22</v>
      </c>
      <c r="I513" t="s">
        <v>916</v>
      </c>
    </row>
    <row r="514" spans="1:9" ht="11.25" customHeight="1">
      <c r="A514" t="s">
        <v>2385</v>
      </c>
      <c r="B514" t="s">
        <v>16</v>
      </c>
      <c r="C514" t="s">
        <v>3181</v>
      </c>
      <c r="D514" t="s">
        <v>3182</v>
      </c>
      <c r="E514" t="s">
        <v>3183</v>
      </c>
      <c r="F514" t="s">
        <v>2416</v>
      </c>
      <c r="G514" t="s">
        <v>22</v>
      </c>
      <c r="H514" t="s">
        <v>22</v>
      </c>
      <c r="I514" t="s">
        <v>916</v>
      </c>
    </row>
    <row r="515" spans="1:9" ht="11.25" customHeight="1">
      <c r="A515" t="s">
        <v>2385</v>
      </c>
      <c r="B515" t="s">
        <v>16</v>
      </c>
      <c r="C515" t="s">
        <v>3193</v>
      </c>
      <c r="D515" t="s">
        <v>3194</v>
      </c>
      <c r="E515" t="s">
        <v>3195</v>
      </c>
      <c r="F515" t="s">
        <v>2416</v>
      </c>
      <c r="G515" t="s">
        <v>22</v>
      </c>
      <c r="H515" t="s">
        <v>22</v>
      </c>
      <c r="I515" t="s">
        <v>916</v>
      </c>
    </row>
    <row r="516" spans="1:9" ht="11.25" customHeight="1">
      <c r="A516" t="s">
        <v>2385</v>
      </c>
      <c r="B516" t="s">
        <v>16</v>
      </c>
      <c r="C516" t="s">
        <v>3196</v>
      </c>
      <c r="D516" t="s">
        <v>3197</v>
      </c>
      <c r="E516" t="s">
        <v>3198</v>
      </c>
      <c r="F516" t="s">
        <v>2416</v>
      </c>
      <c r="G516" t="s">
        <v>22</v>
      </c>
      <c r="H516" t="s">
        <v>22</v>
      </c>
      <c r="I516" t="s">
        <v>916</v>
      </c>
    </row>
    <row r="517" spans="1:9" ht="11.25" customHeight="1">
      <c r="A517" t="s">
        <v>2385</v>
      </c>
      <c r="B517" t="s">
        <v>16</v>
      </c>
      <c r="C517" t="s">
        <v>3199</v>
      </c>
      <c r="D517" t="s">
        <v>3200</v>
      </c>
      <c r="E517" t="s">
        <v>3201</v>
      </c>
      <c r="F517" t="s">
        <v>2416</v>
      </c>
      <c r="G517" t="s">
        <v>22</v>
      </c>
      <c r="H517" t="s">
        <v>22</v>
      </c>
      <c r="I517" t="s">
        <v>916</v>
      </c>
    </row>
    <row r="518" spans="1:9" ht="11.25" customHeight="1">
      <c r="A518" t="s">
        <v>2385</v>
      </c>
      <c r="B518" t="s">
        <v>16</v>
      </c>
      <c r="C518" t="s">
        <v>3207</v>
      </c>
      <c r="D518" t="s">
        <v>3208</v>
      </c>
      <c r="E518" t="s">
        <v>3209</v>
      </c>
      <c r="F518" t="s">
        <v>3210</v>
      </c>
      <c r="G518" t="s">
        <v>22</v>
      </c>
      <c r="H518" t="s">
        <v>22</v>
      </c>
      <c r="I518" t="s">
        <v>916</v>
      </c>
    </row>
    <row r="519" spans="1:9" ht="11.25" customHeight="1">
      <c r="A519" t="s">
        <v>2385</v>
      </c>
      <c r="B519" t="s">
        <v>16</v>
      </c>
      <c r="C519" t="s">
        <v>3217</v>
      </c>
      <c r="D519" t="s">
        <v>3218</v>
      </c>
      <c r="E519" t="s">
        <v>3219</v>
      </c>
      <c r="F519" t="s">
        <v>2434</v>
      </c>
      <c r="G519" t="s">
        <v>22</v>
      </c>
      <c r="H519" t="s">
        <v>22</v>
      </c>
      <c r="I519" t="s">
        <v>916</v>
      </c>
    </row>
    <row r="520" spans="1:9" ht="11.25" customHeight="1">
      <c r="A520" t="s">
        <v>2385</v>
      </c>
      <c r="B520" t="s">
        <v>16</v>
      </c>
      <c r="C520" t="s">
        <v>3223</v>
      </c>
      <c r="D520" t="s">
        <v>3224</v>
      </c>
      <c r="E520" t="s">
        <v>3225</v>
      </c>
      <c r="F520" t="s">
        <v>50</v>
      </c>
      <c r="G520" t="s">
        <v>3226</v>
      </c>
      <c r="H520" t="s">
        <v>22</v>
      </c>
      <c r="I520" t="s">
        <v>916</v>
      </c>
    </row>
    <row r="521" spans="1:9" ht="11.25" customHeight="1">
      <c r="A521" t="s">
        <v>2385</v>
      </c>
      <c r="B521" t="s">
        <v>16</v>
      </c>
      <c r="C521" t="s">
        <v>3248</v>
      </c>
      <c r="D521" t="s">
        <v>3249</v>
      </c>
      <c r="E521" t="s">
        <v>3250</v>
      </c>
      <c r="F521" t="s">
        <v>2613</v>
      </c>
      <c r="G521" t="s">
        <v>22</v>
      </c>
      <c r="H521" t="s">
        <v>22</v>
      </c>
      <c r="I521" t="s">
        <v>916</v>
      </c>
    </row>
    <row r="522" spans="1:9" ht="11.25" customHeight="1">
      <c r="A522" t="s">
        <v>2385</v>
      </c>
      <c r="B522" t="s">
        <v>16</v>
      </c>
      <c r="C522" t="s">
        <v>3251</v>
      </c>
      <c r="D522" t="s">
        <v>3252</v>
      </c>
      <c r="E522" t="s">
        <v>3253</v>
      </c>
      <c r="F522" t="s">
        <v>2453</v>
      </c>
      <c r="G522" t="s">
        <v>22</v>
      </c>
      <c r="H522" t="s">
        <v>22</v>
      </c>
      <c r="I522" t="s">
        <v>916</v>
      </c>
    </row>
    <row r="523" spans="1:9" ht="11.25" customHeight="1">
      <c r="A523" t="s">
        <v>2385</v>
      </c>
      <c r="B523" t="s">
        <v>16</v>
      </c>
      <c r="C523" t="s">
        <v>3257</v>
      </c>
      <c r="D523" t="s">
        <v>3258</v>
      </c>
      <c r="E523" t="s">
        <v>3259</v>
      </c>
      <c r="F523" t="s">
        <v>2393</v>
      </c>
      <c r="G523" t="s">
        <v>22</v>
      </c>
      <c r="H523" t="s">
        <v>22</v>
      </c>
      <c r="I523" t="s">
        <v>916</v>
      </c>
    </row>
    <row r="524" spans="1:9" ht="11.25" customHeight="1">
      <c r="A524" t="s">
        <v>2385</v>
      </c>
      <c r="B524" t="s">
        <v>16</v>
      </c>
      <c r="C524" t="s">
        <v>3260</v>
      </c>
      <c r="D524" t="s">
        <v>3261</v>
      </c>
      <c r="E524" t="s">
        <v>3262</v>
      </c>
      <c r="F524" t="s">
        <v>2393</v>
      </c>
      <c r="G524" t="s">
        <v>22</v>
      </c>
      <c r="H524" t="s">
        <v>22</v>
      </c>
      <c r="I524" t="s">
        <v>916</v>
      </c>
    </row>
    <row r="525" spans="1:9" ht="11.25" customHeight="1">
      <c r="A525" t="s">
        <v>2385</v>
      </c>
      <c r="B525" t="s">
        <v>16</v>
      </c>
      <c r="C525" t="s">
        <v>3266</v>
      </c>
      <c r="D525" t="s">
        <v>3267</v>
      </c>
      <c r="E525" t="s">
        <v>3268</v>
      </c>
      <c r="F525" t="s">
        <v>2449</v>
      </c>
      <c r="G525" t="s">
        <v>22</v>
      </c>
      <c r="H525" t="s">
        <v>22</v>
      </c>
      <c r="I525" t="s">
        <v>916</v>
      </c>
    </row>
    <row r="526" spans="1:9" ht="11.25" customHeight="1">
      <c r="A526" t="s">
        <v>2385</v>
      </c>
      <c r="B526" t="s">
        <v>16</v>
      </c>
      <c r="C526" t="s">
        <v>3282</v>
      </c>
      <c r="D526" t="s">
        <v>3283</v>
      </c>
      <c r="E526" t="s">
        <v>3284</v>
      </c>
      <c r="F526" t="s">
        <v>2401</v>
      </c>
      <c r="G526" t="s">
        <v>22</v>
      </c>
      <c r="H526" t="s">
        <v>22</v>
      </c>
      <c r="I526" t="s">
        <v>916</v>
      </c>
    </row>
    <row r="527" spans="1:9" ht="11.25" customHeight="1">
      <c r="A527" t="s">
        <v>2385</v>
      </c>
      <c r="B527" t="s">
        <v>16</v>
      </c>
      <c r="C527" t="s">
        <v>3288</v>
      </c>
      <c r="D527" t="s">
        <v>3289</v>
      </c>
      <c r="E527" t="s">
        <v>3290</v>
      </c>
      <c r="F527" t="s">
        <v>2416</v>
      </c>
      <c r="G527" t="s">
        <v>3291</v>
      </c>
      <c r="H527" t="s">
        <v>22</v>
      </c>
      <c r="I527" t="s">
        <v>916</v>
      </c>
    </row>
    <row r="528" spans="1:9" ht="11.25" customHeight="1">
      <c r="A528" t="s">
        <v>2385</v>
      </c>
      <c r="B528" t="s">
        <v>16</v>
      </c>
      <c r="C528" t="s">
        <v>3292</v>
      </c>
      <c r="D528" t="s">
        <v>3293</v>
      </c>
      <c r="E528" t="s">
        <v>3294</v>
      </c>
      <c r="F528" t="s">
        <v>2416</v>
      </c>
      <c r="G528" t="s">
        <v>22</v>
      </c>
      <c r="H528" t="s">
        <v>22</v>
      </c>
      <c r="I528" t="s">
        <v>916</v>
      </c>
    </row>
    <row r="529" spans="1:9" ht="11.25" customHeight="1">
      <c r="A529" t="s">
        <v>2385</v>
      </c>
      <c r="B529" t="s">
        <v>16</v>
      </c>
      <c r="C529" t="s">
        <v>3295</v>
      </c>
      <c r="D529" t="s">
        <v>3296</v>
      </c>
      <c r="E529" t="s">
        <v>3297</v>
      </c>
      <c r="F529" t="s">
        <v>3102</v>
      </c>
      <c r="G529" t="s">
        <v>22</v>
      </c>
      <c r="H529" t="s">
        <v>22</v>
      </c>
      <c r="I529" t="s">
        <v>916</v>
      </c>
    </row>
    <row r="530" spans="1:9" ht="11.25" customHeight="1">
      <c r="A530" t="s">
        <v>2385</v>
      </c>
      <c r="B530" t="s">
        <v>16</v>
      </c>
      <c r="C530" t="s">
        <v>3298</v>
      </c>
      <c r="D530" t="s">
        <v>3299</v>
      </c>
      <c r="E530" t="s">
        <v>3300</v>
      </c>
      <c r="F530" t="s">
        <v>2522</v>
      </c>
      <c r="G530" t="s">
        <v>22</v>
      </c>
      <c r="H530" t="s">
        <v>22</v>
      </c>
      <c r="I530" t="s">
        <v>916</v>
      </c>
    </row>
    <row r="531" spans="1:9" ht="11.25" customHeight="1">
      <c r="A531" t="s">
        <v>2385</v>
      </c>
      <c r="B531" t="s">
        <v>16</v>
      </c>
      <c r="C531" t="s">
        <v>3307</v>
      </c>
      <c r="D531" t="s">
        <v>3308</v>
      </c>
      <c r="E531" t="s">
        <v>3309</v>
      </c>
      <c r="F531" t="s">
        <v>2522</v>
      </c>
      <c r="G531" t="s">
        <v>3310</v>
      </c>
      <c r="H531" t="s">
        <v>22</v>
      </c>
      <c r="I531" t="s">
        <v>916</v>
      </c>
    </row>
    <row r="532" spans="1:9" ht="11.25" customHeight="1">
      <c r="A532" t="s">
        <v>2385</v>
      </c>
      <c r="B532" t="s">
        <v>16</v>
      </c>
      <c r="C532" t="s">
        <v>3320</v>
      </c>
      <c r="D532" t="s">
        <v>3321</v>
      </c>
      <c r="E532" t="s">
        <v>3322</v>
      </c>
      <c r="F532" t="s">
        <v>2898</v>
      </c>
      <c r="G532" t="s">
        <v>22</v>
      </c>
      <c r="H532" t="s">
        <v>22</v>
      </c>
      <c r="I532" t="s">
        <v>916</v>
      </c>
    </row>
    <row r="533" spans="1:9" ht="11.25" customHeight="1">
      <c r="A533" t="s">
        <v>2385</v>
      </c>
      <c r="B533" t="s">
        <v>16</v>
      </c>
      <c r="C533" t="s">
        <v>3331</v>
      </c>
      <c r="D533" t="s">
        <v>3332</v>
      </c>
      <c r="E533" t="s">
        <v>3333</v>
      </c>
      <c r="F533" t="s">
        <v>2522</v>
      </c>
      <c r="G533" t="s">
        <v>22</v>
      </c>
      <c r="H533" t="s">
        <v>22</v>
      </c>
      <c r="I533" t="s">
        <v>916</v>
      </c>
    </row>
    <row r="534" spans="1:9" ht="11.25" customHeight="1">
      <c r="A534" t="s">
        <v>2385</v>
      </c>
      <c r="B534" t="s">
        <v>16</v>
      </c>
      <c r="C534" t="s">
        <v>3350</v>
      </c>
      <c r="D534" t="s">
        <v>3351</v>
      </c>
      <c r="E534" t="s">
        <v>3352</v>
      </c>
      <c r="F534" t="s">
        <v>2948</v>
      </c>
      <c r="G534" t="s">
        <v>3353</v>
      </c>
      <c r="H534" t="s">
        <v>22</v>
      </c>
      <c r="I534" t="s">
        <v>916</v>
      </c>
    </row>
    <row r="535" spans="1:9" ht="11.25" customHeight="1">
      <c r="A535" t="s">
        <v>2385</v>
      </c>
      <c r="B535" t="s">
        <v>16</v>
      </c>
      <c r="C535" t="s">
        <v>3354</v>
      </c>
      <c r="D535" t="s">
        <v>3355</v>
      </c>
      <c r="E535" t="s">
        <v>3356</v>
      </c>
      <c r="F535" t="s">
        <v>2690</v>
      </c>
      <c r="G535" t="s">
        <v>3357</v>
      </c>
      <c r="H535" t="s">
        <v>22</v>
      </c>
      <c r="I535" t="s">
        <v>916</v>
      </c>
    </row>
    <row r="536" spans="1:9" ht="11.25" customHeight="1">
      <c r="A536" t="s">
        <v>2385</v>
      </c>
      <c r="B536" t="s">
        <v>16</v>
      </c>
      <c r="C536" t="s">
        <v>3362</v>
      </c>
      <c r="D536" t="s">
        <v>3363</v>
      </c>
      <c r="E536" t="s">
        <v>3364</v>
      </c>
      <c r="F536" t="s">
        <v>2393</v>
      </c>
      <c r="G536" t="s">
        <v>22</v>
      </c>
      <c r="H536" t="s">
        <v>22</v>
      </c>
      <c r="I536" t="s">
        <v>916</v>
      </c>
    </row>
    <row r="537" spans="1:9" ht="11.25" customHeight="1">
      <c r="A537" t="s">
        <v>2385</v>
      </c>
      <c r="B537" t="s">
        <v>16</v>
      </c>
      <c r="C537" t="s">
        <v>3369</v>
      </c>
      <c r="D537" t="s">
        <v>3370</v>
      </c>
      <c r="E537" t="s">
        <v>3371</v>
      </c>
      <c r="F537" t="s">
        <v>2512</v>
      </c>
      <c r="G537" t="s">
        <v>3372</v>
      </c>
      <c r="H537" t="s">
        <v>22</v>
      </c>
      <c r="I537" t="s">
        <v>916</v>
      </c>
    </row>
    <row r="538" spans="1:9" ht="11.25" customHeight="1">
      <c r="A538" t="s">
        <v>2385</v>
      </c>
      <c r="B538" t="s">
        <v>16</v>
      </c>
      <c r="C538" t="s">
        <v>3376</v>
      </c>
      <c r="D538" t="s">
        <v>3377</v>
      </c>
      <c r="E538" t="s">
        <v>3378</v>
      </c>
      <c r="F538" t="s">
        <v>2690</v>
      </c>
      <c r="G538" t="s">
        <v>22</v>
      </c>
      <c r="H538" t="s">
        <v>22</v>
      </c>
      <c r="I538" t="s">
        <v>916</v>
      </c>
    </row>
    <row r="539" spans="1:9" ht="11.25" customHeight="1">
      <c r="A539" t="s">
        <v>2385</v>
      </c>
      <c r="B539" t="s">
        <v>16</v>
      </c>
      <c r="C539" t="s">
        <v>3379</v>
      </c>
      <c r="D539" t="s">
        <v>3380</v>
      </c>
      <c r="E539" t="s">
        <v>3381</v>
      </c>
      <c r="F539" t="s">
        <v>2393</v>
      </c>
      <c r="G539" t="s">
        <v>22</v>
      </c>
      <c r="H539" t="s">
        <v>22</v>
      </c>
      <c r="I539" t="s">
        <v>916</v>
      </c>
    </row>
    <row r="540" spans="1:9" ht="11.25" customHeight="1">
      <c r="A540" t="s">
        <v>2385</v>
      </c>
      <c r="B540" t="s">
        <v>16</v>
      </c>
      <c r="C540" t="s">
        <v>3389</v>
      </c>
      <c r="D540" t="s">
        <v>3390</v>
      </c>
      <c r="E540" t="s">
        <v>3391</v>
      </c>
      <c r="F540" t="s">
        <v>2667</v>
      </c>
      <c r="G540" t="s">
        <v>22</v>
      </c>
      <c r="H540" t="s">
        <v>22</v>
      </c>
      <c r="I540" t="s">
        <v>916</v>
      </c>
    </row>
    <row r="541" spans="1:9" ht="11.25" customHeight="1">
      <c r="A541" t="s">
        <v>2385</v>
      </c>
      <c r="B541" t="s">
        <v>16</v>
      </c>
      <c r="C541" t="s">
        <v>3392</v>
      </c>
      <c r="D541" t="s">
        <v>3393</v>
      </c>
      <c r="E541" t="s">
        <v>3394</v>
      </c>
      <c r="F541" t="s">
        <v>2508</v>
      </c>
      <c r="G541" t="s">
        <v>22</v>
      </c>
      <c r="H541" t="s">
        <v>22</v>
      </c>
      <c r="I541" t="s">
        <v>916</v>
      </c>
    </row>
    <row r="542" spans="1:9" ht="11.25" customHeight="1">
      <c r="A542" t="s">
        <v>2385</v>
      </c>
      <c r="B542" t="s">
        <v>16</v>
      </c>
      <c r="C542" t="s">
        <v>3408</v>
      </c>
      <c r="D542" t="s">
        <v>3409</v>
      </c>
      <c r="E542" t="s">
        <v>3410</v>
      </c>
      <c r="F542" t="s">
        <v>2406</v>
      </c>
      <c r="G542" t="s">
        <v>22</v>
      </c>
      <c r="H542" t="s">
        <v>22</v>
      </c>
      <c r="I542" t="s">
        <v>916</v>
      </c>
    </row>
    <row r="543" spans="1:9" ht="11.25" customHeight="1">
      <c r="A543" t="s">
        <v>2385</v>
      </c>
      <c r="B543" t="s">
        <v>16</v>
      </c>
      <c r="C543" t="s">
        <v>3411</v>
      </c>
      <c r="D543" t="s">
        <v>3412</v>
      </c>
      <c r="E543" t="s">
        <v>3413</v>
      </c>
      <c r="F543" t="s">
        <v>2463</v>
      </c>
      <c r="G543" t="s">
        <v>22</v>
      </c>
      <c r="H543" t="s">
        <v>22</v>
      </c>
      <c r="I543" t="s">
        <v>916</v>
      </c>
    </row>
    <row r="544" spans="1:9" ht="11.25" customHeight="1">
      <c r="A544" t="s">
        <v>2385</v>
      </c>
      <c r="B544" t="s">
        <v>16</v>
      </c>
      <c r="C544" t="s">
        <v>3414</v>
      </c>
      <c r="D544" t="s">
        <v>3415</v>
      </c>
      <c r="E544" t="s">
        <v>3416</v>
      </c>
      <c r="F544" t="s">
        <v>2434</v>
      </c>
      <c r="G544" t="s">
        <v>22</v>
      </c>
      <c r="H544" t="s">
        <v>22</v>
      </c>
      <c r="I544" t="s">
        <v>916</v>
      </c>
    </row>
    <row r="545" spans="1:9" ht="11.25" customHeight="1">
      <c r="A545" t="s">
        <v>2385</v>
      </c>
      <c r="B545" t="s">
        <v>16</v>
      </c>
      <c r="C545" t="s">
        <v>3417</v>
      </c>
      <c r="D545" t="s">
        <v>3418</v>
      </c>
      <c r="E545" t="s">
        <v>3419</v>
      </c>
      <c r="F545" t="s">
        <v>2522</v>
      </c>
      <c r="G545" t="s">
        <v>22</v>
      </c>
      <c r="H545" t="s">
        <v>22</v>
      </c>
      <c r="I545" t="s">
        <v>916</v>
      </c>
    </row>
    <row r="546" spans="1:9" ht="11.25" customHeight="1">
      <c r="A546" t="s">
        <v>2385</v>
      </c>
      <c r="B546" t="s">
        <v>16</v>
      </c>
      <c r="C546" t="s">
        <v>3427</v>
      </c>
      <c r="D546" t="s">
        <v>3428</v>
      </c>
      <c r="E546" t="s">
        <v>3429</v>
      </c>
      <c r="F546" t="s">
        <v>2830</v>
      </c>
      <c r="G546" t="s">
        <v>22</v>
      </c>
      <c r="H546" t="s">
        <v>3430</v>
      </c>
      <c r="I546" t="s">
        <v>916</v>
      </c>
    </row>
    <row r="547" spans="1:9" ht="11.25" customHeight="1">
      <c r="A547" t="s">
        <v>2385</v>
      </c>
      <c r="B547" t="s">
        <v>16</v>
      </c>
      <c r="C547" t="s">
        <v>3434</v>
      </c>
      <c r="D547" t="s">
        <v>3435</v>
      </c>
      <c r="E547" t="s">
        <v>3436</v>
      </c>
      <c r="F547" t="s">
        <v>2763</v>
      </c>
      <c r="G547" t="s">
        <v>22</v>
      </c>
      <c r="H547" t="s">
        <v>22</v>
      </c>
      <c r="I547" t="s">
        <v>916</v>
      </c>
    </row>
    <row r="548" spans="1:9" ht="11.25" customHeight="1">
      <c r="A548" t="s">
        <v>2385</v>
      </c>
      <c r="B548" t="s">
        <v>16</v>
      </c>
      <c r="C548" t="s">
        <v>3445</v>
      </c>
      <c r="D548" t="s">
        <v>3446</v>
      </c>
      <c r="E548" t="s">
        <v>3447</v>
      </c>
      <c r="F548" t="s">
        <v>3448</v>
      </c>
      <c r="G548" t="s">
        <v>22</v>
      </c>
      <c r="H548" t="s">
        <v>22</v>
      </c>
      <c r="I548" t="s">
        <v>916</v>
      </c>
    </row>
    <row r="549" spans="1:9" ht="11.25" customHeight="1">
      <c r="A549" t="s">
        <v>2385</v>
      </c>
      <c r="B549" t="s">
        <v>16</v>
      </c>
      <c r="C549" t="s">
        <v>3455</v>
      </c>
      <c r="D549" t="s">
        <v>3456</v>
      </c>
      <c r="E549" t="s">
        <v>3457</v>
      </c>
      <c r="F549" t="s">
        <v>3458</v>
      </c>
      <c r="G549" t="s">
        <v>22</v>
      </c>
      <c r="H549" t="s">
        <v>22</v>
      </c>
      <c r="I549" t="s">
        <v>916</v>
      </c>
    </row>
    <row r="550" spans="1:9" ht="11.25" customHeight="1">
      <c r="A550" t="s">
        <v>2385</v>
      </c>
      <c r="B550" t="s">
        <v>16</v>
      </c>
      <c r="C550" t="s">
        <v>3459</v>
      </c>
      <c r="D550" t="s">
        <v>3460</v>
      </c>
      <c r="E550" t="s">
        <v>3461</v>
      </c>
      <c r="F550" t="s">
        <v>2463</v>
      </c>
      <c r="G550" t="s">
        <v>22</v>
      </c>
      <c r="H550" t="s">
        <v>22</v>
      </c>
      <c r="I550" t="s">
        <v>916</v>
      </c>
    </row>
    <row r="551" spans="1:9" ht="11.25" customHeight="1">
      <c r="A551" t="s">
        <v>2385</v>
      </c>
      <c r="B551" t="s">
        <v>16</v>
      </c>
      <c r="C551" t="s">
        <v>3469</v>
      </c>
      <c r="D551" t="s">
        <v>3470</v>
      </c>
      <c r="E551" t="s">
        <v>3471</v>
      </c>
      <c r="F551" t="s">
        <v>2640</v>
      </c>
      <c r="G551" t="s">
        <v>22</v>
      </c>
      <c r="H551" t="s">
        <v>22</v>
      </c>
      <c r="I551" t="s">
        <v>916</v>
      </c>
    </row>
    <row r="552" spans="1:9" ht="11.25" customHeight="1">
      <c r="A552" t="s">
        <v>2385</v>
      </c>
      <c r="B552" t="s">
        <v>16</v>
      </c>
      <c r="C552" t="s">
        <v>3475</v>
      </c>
      <c r="D552" t="s">
        <v>3476</v>
      </c>
      <c r="E552" t="s">
        <v>3477</v>
      </c>
      <c r="F552" t="s">
        <v>2799</v>
      </c>
      <c r="G552" t="s">
        <v>22</v>
      </c>
      <c r="H552" t="s">
        <v>22</v>
      </c>
      <c r="I552" t="s">
        <v>916</v>
      </c>
    </row>
    <row r="553" spans="1:9" ht="11.25" customHeight="1">
      <c r="A553" t="s">
        <v>2385</v>
      </c>
      <c r="B553" t="s">
        <v>16</v>
      </c>
      <c r="C553" t="s">
        <v>3478</v>
      </c>
      <c r="D553" t="s">
        <v>3479</v>
      </c>
      <c r="E553" t="s">
        <v>3480</v>
      </c>
      <c r="F553" t="s">
        <v>50</v>
      </c>
      <c r="G553" t="s">
        <v>22</v>
      </c>
      <c r="H553" t="s">
        <v>22</v>
      </c>
      <c r="I553" t="s">
        <v>916</v>
      </c>
    </row>
    <row r="554" spans="1:9" ht="11.25" customHeight="1">
      <c r="A554" t="s">
        <v>2385</v>
      </c>
      <c r="B554" t="s">
        <v>16</v>
      </c>
      <c r="C554" t="s">
        <v>3487</v>
      </c>
      <c r="D554" t="s">
        <v>3488</v>
      </c>
      <c r="E554" t="s">
        <v>3489</v>
      </c>
      <c r="F554" t="s">
        <v>3490</v>
      </c>
      <c r="G554" t="s">
        <v>3491</v>
      </c>
      <c r="H554" t="s">
        <v>22</v>
      </c>
      <c r="I554" t="s">
        <v>916</v>
      </c>
    </row>
    <row r="555" spans="1:9" ht="11.25" customHeight="1">
      <c r="A555" t="s">
        <v>2385</v>
      </c>
      <c r="B555" t="s">
        <v>16</v>
      </c>
      <c r="C555" t="s">
        <v>3492</v>
      </c>
      <c r="D555" t="s">
        <v>3493</v>
      </c>
      <c r="E555" t="s">
        <v>3494</v>
      </c>
      <c r="F555" t="s">
        <v>2819</v>
      </c>
      <c r="G555" t="s">
        <v>3495</v>
      </c>
      <c r="H555" t="s">
        <v>22</v>
      </c>
      <c r="I555" t="s">
        <v>916</v>
      </c>
    </row>
    <row r="556" spans="1:9" ht="11.25" customHeight="1">
      <c r="A556" t="s">
        <v>2385</v>
      </c>
      <c r="B556" t="s">
        <v>16</v>
      </c>
      <c r="C556" t="s">
        <v>3514</v>
      </c>
      <c r="D556" t="s">
        <v>3515</v>
      </c>
      <c r="E556" t="s">
        <v>3516</v>
      </c>
      <c r="F556" t="s">
        <v>2690</v>
      </c>
      <c r="G556" t="s">
        <v>22</v>
      </c>
      <c r="H556" t="s">
        <v>22</v>
      </c>
      <c r="I556" t="s">
        <v>916</v>
      </c>
    </row>
    <row r="557" spans="1:9" ht="11.25" customHeight="1">
      <c r="A557" t="s">
        <v>2385</v>
      </c>
      <c r="B557" t="s">
        <v>16</v>
      </c>
      <c r="C557" t="s">
        <v>3523</v>
      </c>
      <c r="D557" t="s">
        <v>3524</v>
      </c>
      <c r="E557" t="s">
        <v>3525</v>
      </c>
      <c r="F557" t="s">
        <v>2393</v>
      </c>
      <c r="G557" t="s">
        <v>22</v>
      </c>
      <c r="H557" t="s">
        <v>22</v>
      </c>
      <c r="I557" t="s">
        <v>916</v>
      </c>
    </row>
    <row r="558" spans="1:9" ht="11.25" customHeight="1">
      <c r="A558" t="s">
        <v>2385</v>
      </c>
      <c r="B558" t="s">
        <v>16</v>
      </c>
      <c r="C558" t="s">
        <v>3526</v>
      </c>
      <c r="D558" t="s">
        <v>3527</v>
      </c>
      <c r="E558" t="s">
        <v>3528</v>
      </c>
      <c r="F558" t="s">
        <v>2449</v>
      </c>
      <c r="G558" t="s">
        <v>22</v>
      </c>
      <c r="H558" t="s">
        <v>22</v>
      </c>
      <c r="I558" t="s">
        <v>916</v>
      </c>
    </row>
    <row r="559" spans="1:9" ht="11.25" customHeight="1">
      <c r="A559" t="s">
        <v>2385</v>
      </c>
      <c r="B559" t="s">
        <v>16</v>
      </c>
      <c r="C559" t="s">
        <v>3538</v>
      </c>
      <c r="D559" t="s">
        <v>3539</v>
      </c>
      <c r="E559" t="s">
        <v>3540</v>
      </c>
      <c r="F559" t="s">
        <v>3027</v>
      </c>
      <c r="G559" t="s">
        <v>22</v>
      </c>
      <c r="H559" t="s">
        <v>22</v>
      </c>
      <c r="I559" t="s">
        <v>916</v>
      </c>
    </row>
    <row r="560" spans="1:9" ht="11.25" customHeight="1">
      <c r="A560" t="s">
        <v>2385</v>
      </c>
      <c r="B560" t="s">
        <v>16</v>
      </c>
      <c r="C560" t="s">
        <v>3541</v>
      </c>
      <c r="D560" t="s">
        <v>3542</v>
      </c>
      <c r="E560" t="s">
        <v>3543</v>
      </c>
      <c r="F560" t="s">
        <v>2690</v>
      </c>
      <c r="G560" t="s">
        <v>22</v>
      </c>
      <c r="H560" t="s">
        <v>22</v>
      </c>
      <c r="I560" t="s">
        <v>916</v>
      </c>
    </row>
    <row r="561" spans="1:9" ht="11.25" customHeight="1">
      <c r="A561" t="s">
        <v>2385</v>
      </c>
      <c r="B561" t="s">
        <v>16</v>
      </c>
      <c r="C561" t="s">
        <v>3547</v>
      </c>
      <c r="D561" t="s">
        <v>3548</v>
      </c>
      <c r="E561" t="s">
        <v>3549</v>
      </c>
      <c r="F561" t="s">
        <v>2416</v>
      </c>
      <c r="G561" t="s">
        <v>22</v>
      </c>
      <c r="H561" t="s">
        <v>22</v>
      </c>
      <c r="I561" t="s">
        <v>916</v>
      </c>
    </row>
    <row r="562" spans="1:9" ht="11.25" customHeight="1">
      <c r="A562" t="s">
        <v>2385</v>
      </c>
      <c r="B562" t="s">
        <v>16</v>
      </c>
      <c r="C562" t="s">
        <v>3550</v>
      </c>
      <c r="D562" t="s">
        <v>3551</v>
      </c>
      <c r="E562" t="s">
        <v>3552</v>
      </c>
      <c r="F562" t="s">
        <v>3440</v>
      </c>
      <c r="G562" t="s">
        <v>22</v>
      </c>
      <c r="H562" t="s">
        <v>22</v>
      </c>
      <c r="I562" t="s">
        <v>916</v>
      </c>
    </row>
    <row r="563" spans="1:9" ht="11.25" customHeight="1">
      <c r="A563" t="s">
        <v>2385</v>
      </c>
      <c r="B563" t="s">
        <v>16</v>
      </c>
      <c r="C563" t="s">
        <v>3553</v>
      </c>
      <c r="D563" t="s">
        <v>3554</v>
      </c>
      <c r="E563" t="s">
        <v>3555</v>
      </c>
      <c r="F563" t="s">
        <v>2948</v>
      </c>
      <c r="G563" t="s">
        <v>22</v>
      </c>
      <c r="H563" t="s">
        <v>22</v>
      </c>
      <c r="I563" t="s">
        <v>916</v>
      </c>
    </row>
    <row r="564" spans="1:9" ht="11.25" customHeight="1">
      <c r="A564" t="s">
        <v>2385</v>
      </c>
      <c r="B564" t="s">
        <v>16</v>
      </c>
      <c r="C564" t="s">
        <v>3556</v>
      </c>
      <c r="D564" t="s">
        <v>3557</v>
      </c>
      <c r="E564" t="s">
        <v>3558</v>
      </c>
      <c r="F564" t="s">
        <v>2427</v>
      </c>
      <c r="G564" t="s">
        <v>22</v>
      </c>
      <c r="H564" t="s">
        <v>22</v>
      </c>
      <c r="I564" t="s">
        <v>916</v>
      </c>
    </row>
    <row r="565" spans="1:9" ht="11.25" customHeight="1">
      <c r="A565" t="s">
        <v>2385</v>
      </c>
      <c r="B565" t="s">
        <v>16</v>
      </c>
      <c r="C565" t="s">
        <v>3559</v>
      </c>
      <c r="D565" t="s">
        <v>3560</v>
      </c>
      <c r="E565" t="s">
        <v>3561</v>
      </c>
      <c r="F565" t="s">
        <v>3002</v>
      </c>
      <c r="G565" t="s">
        <v>22</v>
      </c>
      <c r="H565" t="s">
        <v>22</v>
      </c>
      <c r="I565" t="s">
        <v>916</v>
      </c>
    </row>
    <row r="566" spans="1:9" ht="11.25" customHeight="1">
      <c r="A566" t="s">
        <v>2385</v>
      </c>
      <c r="B566" t="s">
        <v>16</v>
      </c>
      <c r="C566" t="s">
        <v>3562</v>
      </c>
      <c r="D566" t="s">
        <v>3563</v>
      </c>
      <c r="E566" t="s">
        <v>3564</v>
      </c>
      <c r="F566" t="s">
        <v>3102</v>
      </c>
      <c r="G566" t="s">
        <v>22</v>
      </c>
      <c r="H566" t="s">
        <v>22</v>
      </c>
      <c r="I566" t="s">
        <v>916</v>
      </c>
    </row>
    <row r="567" spans="1:9" ht="11.25" customHeight="1">
      <c r="A567" t="s">
        <v>2385</v>
      </c>
      <c r="B567" t="s">
        <v>16</v>
      </c>
      <c r="C567" t="s">
        <v>3565</v>
      </c>
      <c r="D567" t="s">
        <v>3566</v>
      </c>
      <c r="E567" t="s">
        <v>3567</v>
      </c>
      <c r="F567" t="s">
        <v>3568</v>
      </c>
      <c r="G567" t="s">
        <v>3569</v>
      </c>
      <c r="H567" t="s">
        <v>22</v>
      </c>
      <c r="I567" t="s">
        <v>916</v>
      </c>
    </row>
    <row r="568" spans="1:9" ht="11.25" customHeight="1">
      <c r="A568" t="s">
        <v>2385</v>
      </c>
      <c r="B568" t="s">
        <v>16</v>
      </c>
      <c r="C568" t="s">
        <v>3570</v>
      </c>
      <c r="D568" t="s">
        <v>3571</v>
      </c>
      <c r="E568" t="s">
        <v>3572</v>
      </c>
      <c r="F568" t="s">
        <v>2416</v>
      </c>
      <c r="G568" t="s">
        <v>22</v>
      </c>
      <c r="H568" t="s">
        <v>22</v>
      </c>
      <c r="I568" t="s">
        <v>916</v>
      </c>
    </row>
    <row r="569" spans="1:9" ht="11.25" customHeight="1">
      <c r="A569" t="s">
        <v>2385</v>
      </c>
      <c r="B569" t="s">
        <v>16</v>
      </c>
      <c r="C569" t="s">
        <v>3576</v>
      </c>
      <c r="D569" t="s">
        <v>3577</v>
      </c>
      <c r="E569" t="s">
        <v>3578</v>
      </c>
      <c r="F569" t="s">
        <v>3579</v>
      </c>
      <c r="G569" t="s">
        <v>22</v>
      </c>
      <c r="H569" t="s">
        <v>22</v>
      </c>
      <c r="I569" t="s">
        <v>916</v>
      </c>
    </row>
    <row r="570" spans="1:9" ht="11.25" customHeight="1">
      <c r="A570" t="s">
        <v>2385</v>
      </c>
      <c r="B570" t="s">
        <v>16</v>
      </c>
      <c r="C570" t="s">
        <v>3580</v>
      </c>
      <c r="D570" t="s">
        <v>3581</v>
      </c>
      <c r="E570" t="s">
        <v>3582</v>
      </c>
      <c r="F570" t="s">
        <v>2667</v>
      </c>
      <c r="G570" t="s">
        <v>22</v>
      </c>
      <c r="H570" t="s">
        <v>22</v>
      </c>
      <c r="I570" t="s">
        <v>916</v>
      </c>
    </row>
    <row r="571" spans="1:9" ht="11.25" customHeight="1">
      <c r="A571" t="s">
        <v>2385</v>
      </c>
      <c r="B571" t="s">
        <v>16</v>
      </c>
      <c r="C571" t="s">
        <v>3592</v>
      </c>
      <c r="D571" t="s">
        <v>3593</v>
      </c>
      <c r="E571" t="s">
        <v>3594</v>
      </c>
      <c r="F571" t="s">
        <v>2442</v>
      </c>
      <c r="G571" t="s">
        <v>22</v>
      </c>
      <c r="H571" t="s">
        <v>22</v>
      </c>
      <c r="I571" t="s">
        <v>916</v>
      </c>
    </row>
    <row r="572" spans="1:9" ht="11.25" customHeight="1">
      <c r="A572" t="s">
        <v>2385</v>
      </c>
      <c r="B572" t="s">
        <v>16</v>
      </c>
      <c r="C572" t="s">
        <v>3598</v>
      </c>
      <c r="D572" t="s">
        <v>3599</v>
      </c>
      <c r="E572" t="s">
        <v>3600</v>
      </c>
      <c r="F572" t="s">
        <v>2463</v>
      </c>
      <c r="G572" t="s">
        <v>22</v>
      </c>
      <c r="H572" t="s">
        <v>22</v>
      </c>
      <c r="I572" t="s">
        <v>916</v>
      </c>
    </row>
    <row r="573" spans="1:9" ht="11.25" customHeight="1">
      <c r="A573" t="s">
        <v>2385</v>
      </c>
      <c r="B573" t="s">
        <v>16</v>
      </c>
      <c r="C573" t="s">
        <v>3601</v>
      </c>
      <c r="D573" t="s">
        <v>3602</v>
      </c>
      <c r="E573" t="s">
        <v>3603</v>
      </c>
      <c r="F573" t="s">
        <v>2463</v>
      </c>
      <c r="G573" t="s">
        <v>22</v>
      </c>
      <c r="H573" t="s">
        <v>22</v>
      </c>
      <c r="I573" t="s">
        <v>916</v>
      </c>
    </row>
    <row r="574" spans="1:9" ht="11.25" customHeight="1">
      <c r="A574" t="s">
        <v>2385</v>
      </c>
      <c r="B574" t="s">
        <v>16</v>
      </c>
      <c r="C574" t="s">
        <v>3607</v>
      </c>
      <c r="D574" t="s">
        <v>3608</v>
      </c>
      <c r="E574" t="s">
        <v>3609</v>
      </c>
      <c r="F574" t="s">
        <v>2393</v>
      </c>
      <c r="G574" t="s">
        <v>22</v>
      </c>
      <c r="H574" t="s">
        <v>22</v>
      </c>
      <c r="I574" t="s">
        <v>916</v>
      </c>
    </row>
    <row r="575" spans="1:9" ht="11.25" customHeight="1">
      <c r="A575" t="s">
        <v>2385</v>
      </c>
      <c r="B575" t="s">
        <v>16</v>
      </c>
      <c r="C575" t="s">
        <v>3621</v>
      </c>
      <c r="D575" t="s">
        <v>3622</v>
      </c>
      <c r="E575" t="s">
        <v>3623</v>
      </c>
      <c r="F575" t="s">
        <v>2393</v>
      </c>
      <c r="G575" t="s">
        <v>22</v>
      </c>
      <c r="H575" t="s">
        <v>22</v>
      </c>
      <c r="I575" t="s">
        <v>916</v>
      </c>
    </row>
    <row r="576" spans="1:9" ht="11.25" customHeight="1">
      <c r="A576" t="s">
        <v>2385</v>
      </c>
      <c r="B576" t="s">
        <v>16</v>
      </c>
      <c r="C576" t="s">
        <v>3627</v>
      </c>
      <c r="D576" t="s">
        <v>3628</v>
      </c>
      <c r="E576" t="s">
        <v>3629</v>
      </c>
      <c r="F576" t="s">
        <v>2453</v>
      </c>
      <c r="G576" t="s">
        <v>22</v>
      </c>
      <c r="H576" t="s">
        <v>22</v>
      </c>
      <c r="I576" t="s">
        <v>916</v>
      </c>
    </row>
    <row r="577" spans="1:9" ht="11.25" customHeight="1">
      <c r="A577" t="s">
        <v>2385</v>
      </c>
      <c r="B577" t="s">
        <v>16</v>
      </c>
      <c r="C577" t="s">
        <v>3636</v>
      </c>
      <c r="D577" t="s">
        <v>3637</v>
      </c>
      <c r="E577" t="s">
        <v>3638</v>
      </c>
      <c r="F577" t="s">
        <v>2393</v>
      </c>
      <c r="G577" t="s">
        <v>22</v>
      </c>
      <c r="H577" t="s">
        <v>22</v>
      </c>
      <c r="I577" t="s">
        <v>916</v>
      </c>
    </row>
    <row r="578" spans="1:9" ht="11.25" customHeight="1">
      <c r="A578" t="s">
        <v>2385</v>
      </c>
      <c r="B578" t="s">
        <v>16</v>
      </c>
      <c r="C578" t="s">
        <v>3642</v>
      </c>
      <c r="D578" t="s">
        <v>3643</v>
      </c>
      <c r="E578" t="s">
        <v>3644</v>
      </c>
      <c r="F578" t="s">
        <v>2393</v>
      </c>
      <c r="G578" t="s">
        <v>3645</v>
      </c>
      <c r="H578" t="s">
        <v>22</v>
      </c>
      <c r="I578" t="s">
        <v>916</v>
      </c>
    </row>
    <row r="579" spans="1:9" ht="11.25" customHeight="1">
      <c r="A579" t="s">
        <v>2385</v>
      </c>
      <c r="B579" t="s">
        <v>16</v>
      </c>
      <c r="C579" t="s">
        <v>3646</v>
      </c>
      <c r="D579" t="s">
        <v>3647</v>
      </c>
      <c r="E579" t="s">
        <v>3648</v>
      </c>
      <c r="F579" t="s">
        <v>2434</v>
      </c>
      <c r="G579" t="s">
        <v>22</v>
      </c>
      <c r="H579" t="s">
        <v>22</v>
      </c>
      <c r="I579" t="s">
        <v>916</v>
      </c>
    </row>
    <row r="580" spans="1:9" ht="11.25" customHeight="1">
      <c r="A580" t="s">
        <v>2385</v>
      </c>
      <c r="B580" t="s">
        <v>16</v>
      </c>
      <c r="C580" t="s">
        <v>3658</v>
      </c>
      <c r="D580" t="s">
        <v>3659</v>
      </c>
      <c r="E580" t="s">
        <v>3660</v>
      </c>
      <c r="F580" t="s">
        <v>2613</v>
      </c>
      <c r="G580" t="s">
        <v>22</v>
      </c>
      <c r="H580" t="s">
        <v>22</v>
      </c>
      <c r="I580" t="s">
        <v>916</v>
      </c>
    </row>
    <row r="581" spans="1:9" ht="11.25" customHeight="1">
      <c r="A581" t="s">
        <v>2385</v>
      </c>
      <c r="B581" t="s">
        <v>16</v>
      </c>
      <c r="C581" t="s">
        <v>3664</v>
      </c>
      <c r="D581" t="s">
        <v>3665</v>
      </c>
      <c r="E581" t="s">
        <v>3666</v>
      </c>
      <c r="F581" t="s">
        <v>2613</v>
      </c>
      <c r="G581" t="s">
        <v>22</v>
      </c>
      <c r="H581" t="s">
        <v>22</v>
      </c>
      <c r="I581" t="s">
        <v>916</v>
      </c>
    </row>
    <row r="582" spans="1:9" ht="11.25" customHeight="1">
      <c r="A582" t="s">
        <v>2385</v>
      </c>
      <c r="B582" t="s">
        <v>16</v>
      </c>
      <c r="C582" t="s">
        <v>3670</v>
      </c>
      <c r="D582" t="s">
        <v>3671</v>
      </c>
      <c r="E582" t="s">
        <v>3672</v>
      </c>
      <c r="F582" t="s">
        <v>2948</v>
      </c>
      <c r="G582" t="s">
        <v>22</v>
      </c>
      <c r="H582" t="s">
        <v>22</v>
      </c>
      <c r="I582" t="s">
        <v>916</v>
      </c>
    </row>
    <row r="583" spans="1:9" ht="11.25" customHeight="1">
      <c r="A583" t="s">
        <v>2385</v>
      </c>
      <c r="B583" t="s">
        <v>16</v>
      </c>
      <c r="C583" t="s">
        <v>3673</v>
      </c>
      <c r="D583" t="s">
        <v>3674</v>
      </c>
      <c r="E583" t="s">
        <v>3675</v>
      </c>
      <c r="F583" t="s">
        <v>2393</v>
      </c>
      <c r="G583" t="s">
        <v>3676</v>
      </c>
      <c r="H583" t="s">
        <v>22</v>
      </c>
      <c r="I583" t="s">
        <v>916</v>
      </c>
    </row>
    <row r="584" spans="1:9" ht="11.25" customHeight="1">
      <c r="A584" t="s">
        <v>2385</v>
      </c>
      <c r="B584" t="s">
        <v>16</v>
      </c>
      <c r="C584" t="s">
        <v>3686</v>
      </c>
      <c r="D584" t="s">
        <v>3687</v>
      </c>
      <c r="E584" t="s">
        <v>2437</v>
      </c>
      <c r="F584" t="s">
        <v>3688</v>
      </c>
      <c r="G584" t="s">
        <v>22</v>
      </c>
      <c r="H584" t="s">
        <v>22</v>
      </c>
      <c r="I584" t="s">
        <v>916</v>
      </c>
    </row>
    <row r="585" spans="1:9" ht="11.25" customHeight="1">
      <c r="A585" t="s">
        <v>2385</v>
      </c>
      <c r="B585" t="s">
        <v>16</v>
      </c>
      <c r="C585" t="s">
        <v>3712</v>
      </c>
      <c r="D585" t="s">
        <v>3713</v>
      </c>
      <c r="E585" t="s">
        <v>3714</v>
      </c>
      <c r="F585" t="s">
        <v>2442</v>
      </c>
      <c r="G585" t="s">
        <v>22</v>
      </c>
      <c r="H585" t="s">
        <v>22</v>
      </c>
      <c r="I585" t="s">
        <v>916</v>
      </c>
    </row>
    <row r="586" spans="1:9" ht="11.25" customHeight="1">
      <c r="A586" t="s">
        <v>2385</v>
      </c>
      <c r="B586" t="s">
        <v>16</v>
      </c>
      <c r="C586" t="s">
        <v>3727</v>
      </c>
      <c r="D586" t="s">
        <v>3728</v>
      </c>
      <c r="E586" t="s">
        <v>3729</v>
      </c>
      <c r="F586" t="s">
        <v>2586</v>
      </c>
      <c r="G586" t="s">
        <v>22</v>
      </c>
      <c r="H586" t="s">
        <v>22</v>
      </c>
      <c r="I586" t="s">
        <v>916</v>
      </c>
    </row>
    <row r="587" spans="1:9" ht="11.25" customHeight="1">
      <c r="A587" t="s">
        <v>2385</v>
      </c>
      <c r="B587" t="s">
        <v>16</v>
      </c>
      <c r="C587" t="s">
        <v>22</v>
      </c>
      <c r="D587" t="s">
        <v>3733</v>
      </c>
      <c r="E587" t="s">
        <v>3734</v>
      </c>
      <c r="F587" t="s">
        <v>2393</v>
      </c>
      <c r="G587" t="s">
        <v>22</v>
      </c>
      <c r="H587" t="s">
        <v>22</v>
      </c>
      <c r="I587" t="s">
        <v>916</v>
      </c>
    </row>
    <row r="588" spans="1:9" ht="11.25" customHeight="1">
      <c r="A588" t="s">
        <v>2385</v>
      </c>
      <c r="B588" t="s">
        <v>16</v>
      </c>
      <c r="C588" t="s">
        <v>3745</v>
      </c>
      <c r="D588" t="s">
        <v>3746</v>
      </c>
      <c r="E588" t="s">
        <v>3747</v>
      </c>
      <c r="F588" t="s">
        <v>2393</v>
      </c>
      <c r="G588" t="s">
        <v>22</v>
      </c>
      <c r="H588" t="s">
        <v>22</v>
      </c>
      <c r="I588" t="s">
        <v>916</v>
      </c>
    </row>
    <row r="589" spans="1:9" ht="11.25" customHeight="1">
      <c r="A589" t="s">
        <v>2385</v>
      </c>
      <c r="B589" t="s">
        <v>16</v>
      </c>
      <c r="C589" t="s">
        <v>3754</v>
      </c>
      <c r="D589" t="s">
        <v>3755</v>
      </c>
      <c r="E589" t="s">
        <v>3756</v>
      </c>
      <c r="F589" t="s">
        <v>3688</v>
      </c>
      <c r="G589" t="s">
        <v>22</v>
      </c>
      <c r="H589" t="s">
        <v>22</v>
      </c>
      <c r="I589" t="s">
        <v>916</v>
      </c>
    </row>
    <row r="590" spans="1:9" ht="11.25" customHeight="1">
      <c r="A590" t="s">
        <v>2385</v>
      </c>
      <c r="B590" t="s">
        <v>16</v>
      </c>
      <c r="C590" t="s">
        <v>3757</v>
      </c>
      <c r="D590" t="s">
        <v>3755</v>
      </c>
      <c r="E590" t="s">
        <v>3756</v>
      </c>
      <c r="F590" t="s">
        <v>2568</v>
      </c>
      <c r="G590" t="s">
        <v>22</v>
      </c>
      <c r="H590" t="s">
        <v>22</v>
      </c>
      <c r="I590" t="s">
        <v>916</v>
      </c>
    </row>
    <row r="591" spans="1:9" ht="11.25" customHeight="1">
      <c r="A591" t="s">
        <v>2385</v>
      </c>
      <c r="B591" t="s">
        <v>16</v>
      </c>
      <c r="C591" t="s">
        <v>3765</v>
      </c>
      <c r="D591" t="s">
        <v>3766</v>
      </c>
      <c r="E591" t="s">
        <v>3767</v>
      </c>
      <c r="F591" t="s">
        <v>2449</v>
      </c>
      <c r="G591" t="s">
        <v>22</v>
      </c>
      <c r="H591" t="s">
        <v>22</v>
      </c>
      <c r="I591" t="s">
        <v>916</v>
      </c>
    </row>
    <row r="592" spans="1:9" ht="11.25" customHeight="1">
      <c r="A592" t="s">
        <v>2385</v>
      </c>
      <c r="B592" t="s">
        <v>16</v>
      </c>
      <c r="C592" t="s">
        <v>3788</v>
      </c>
      <c r="D592" t="s">
        <v>3789</v>
      </c>
      <c r="E592" t="s">
        <v>3790</v>
      </c>
      <c r="F592" t="s">
        <v>2786</v>
      </c>
      <c r="G592" t="s">
        <v>22</v>
      </c>
      <c r="H592" t="s">
        <v>22</v>
      </c>
      <c r="I592" t="s">
        <v>916</v>
      </c>
    </row>
    <row r="593" spans="1:9" ht="11.25" customHeight="1">
      <c r="A593" t="s">
        <v>2385</v>
      </c>
      <c r="B593" t="s">
        <v>16</v>
      </c>
      <c r="C593" t="s">
        <v>3791</v>
      </c>
      <c r="D593" t="s">
        <v>3792</v>
      </c>
      <c r="E593" t="s">
        <v>3793</v>
      </c>
      <c r="F593" t="s">
        <v>2771</v>
      </c>
      <c r="G593" t="s">
        <v>3794</v>
      </c>
      <c r="H593" t="s">
        <v>22</v>
      </c>
      <c r="I593" t="s">
        <v>916</v>
      </c>
    </row>
    <row r="594" spans="1:9" ht="11.25" customHeight="1">
      <c r="A594" t="s">
        <v>2385</v>
      </c>
      <c r="B594" t="s">
        <v>16</v>
      </c>
      <c r="C594" t="s">
        <v>3798</v>
      </c>
      <c r="D594" t="s">
        <v>3799</v>
      </c>
      <c r="E594" t="s">
        <v>3800</v>
      </c>
      <c r="F594" t="s">
        <v>3444</v>
      </c>
      <c r="G594" t="s">
        <v>22</v>
      </c>
      <c r="H594" t="s">
        <v>22</v>
      </c>
      <c r="I594" t="s">
        <v>916</v>
      </c>
    </row>
    <row r="595" spans="1:9" ht="11.25" customHeight="1">
      <c r="A595" t="s">
        <v>2385</v>
      </c>
      <c r="B595" t="s">
        <v>16</v>
      </c>
      <c r="C595" t="s">
        <v>3801</v>
      </c>
      <c r="D595" t="s">
        <v>3802</v>
      </c>
      <c r="E595" t="s">
        <v>3803</v>
      </c>
      <c r="F595" t="s">
        <v>3804</v>
      </c>
      <c r="G595" t="s">
        <v>22</v>
      </c>
      <c r="H595" t="s">
        <v>22</v>
      </c>
      <c r="I595" t="s">
        <v>916</v>
      </c>
    </row>
    <row r="596" spans="1:9" ht="11.25" customHeight="1">
      <c r="A596" t="s">
        <v>2385</v>
      </c>
      <c r="B596" t="s">
        <v>16</v>
      </c>
      <c r="C596" t="s">
        <v>3805</v>
      </c>
      <c r="D596" t="s">
        <v>3806</v>
      </c>
      <c r="E596" t="s">
        <v>2388</v>
      </c>
      <c r="F596" t="s">
        <v>3807</v>
      </c>
      <c r="G596" t="s">
        <v>22</v>
      </c>
      <c r="H596" t="s">
        <v>22</v>
      </c>
      <c r="I596" t="s">
        <v>916</v>
      </c>
    </row>
    <row r="597" spans="1:9" ht="11.25" customHeight="1">
      <c r="A597" t="s">
        <v>2385</v>
      </c>
      <c r="B597" t="s">
        <v>16</v>
      </c>
      <c r="C597" t="s">
        <v>3821</v>
      </c>
      <c r="D597" t="s">
        <v>3822</v>
      </c>
      <c r="E597" t="s">
        <v>3823</v>
      </c>
      <c r="F597" t="s">
        <v>3824</v>
      </c>
      <c r="G597" t="s">
        <v>22</v>
      </c>
      <c r="H597" t="s">
        <v>22</v>
      </c>
      <c r="I597" t="s">
        <v>874</v>
      </c>
    </row>
    <row r="598" spans="1:9" ht="11.25" customHeight="1">
      <c r="A598" t="s">
        <v>2385</v>
      </c>
      <c r="B598" t="s">
        <v>16</v>
      </c>
      <c r="C598" t="s">
        <v>2413</v>
      </c>
      <c r="D598" t="s">
        <v>2414</v>
      </c>
      <c r="E598" t="s">
        <v>2415</v>
      </c>
      <c r="F598" t="s">
        <v>2416</v>
      </c>
      <c r="G598" t="s">
        <v>22</v>
      </c>
      <c r="H598" t="s">
        <v>22</v>
      </c>
      <c r="I598" t="s">
        <v>874</v>
      </c>
    </row>
    <row r="599" spans="1:9" ht="11.25" customHeight="1">
      <c r="A599" t="s">
        <v>2385</v>
      </c>
      <c r="B599" t="s">
        <v>16</v>
      </c>
      <c r="C599" t="s">
        <v>3825</v>
      </c>
      <c r="D599" t="s">
        <v>3826</v>
      </c>
      <c r="E599" t="s">
        <v>3827</v>
      </c>
      <c r="F599" t="s">
        <v>2416</v>
      </c>
      <c r="G599" t="s">
        <v>22</v>
      </c>
      <c r="H599" t="s">
        <v>22</v>
      </c>
      <c r="I599" t="s">
        <v>874</v>
      </c>
    </row>
    <row r="600" spans="1:9" ht="11.25" customHeight="1">
      <c r="A600" t="s">
        <v>2385</v>
      </c>
      <c r="B600" t="s">
        <v>16</v>
      </c>
      <c r="C600" t="s">
        <v>2417</v>
      </c>
      <c r="D600" t="s">
        <v>2418</v>
      </c>
      <c r="E600" t="s">
        <v>2419</v>
      </c>
      <c r="F600" t="s">
        <v>2420</v>
      </c>
      <c r="G600" t="s">
        <v>22</v>
      </c>
      <c r="H600" t="s">
        <v>22</v>
      </c>
      <c r="I600" t="s">
        <v>874</v>
      </c>
    </row>
    <row r="601" spans="1:9" ht="11.25" customHeight="1">
      <c r="A601" t="s">
        <v>2385</v>
      </c>
      <c r="B601" t="s">
        <v>16</v>
      </c>
      <c r="C601" t="s">
        <v>3828</v>
      </c>
      <c r="D601" t="s">
        <v>3829</v>
      </c>
      <c r="E601" t="s">
        <v>3830</v>
      </c>
      <c r="F601" t="s">
        <v>2420</v>
      </c>
      <c r="G601" t="s">
        <v>22</v>
      </c>
      <c r="H601" t="s">
        <v>22</v>
      </c>
      <c r="I601" t="s">
        <v>874</v>
      </c>
    </row>
    <row r="602" spans="1:9" ht="11.25" customHeight="1">
      <c r="A602" t="s">
        <v>2385</v>
      </c>
      <c r="B602" t="s">
        <v>16</v>
      </c>
      <c r="C602" t="s">
        <v>2431</v>
      </c>
      <c r="D602" t="s">
        <v>2432</v>
      </c>
      <c r="E602" t="s">
        <v>2433</v>
      </c>
      <c r="F602" t="s">
        <v>2434</v>
      </c>
      <c r="G602" t="s">
        <v>22</v>
      </c>
      <c r="H602" t="s">
        <v>22</v>
      </c>
      <c r="I602" t="s">
        <v>874</v>
      </c>
    </row>
    <row r="603" spans="1:9" ht="11.25" customHeight="1">
      <c r="A603" t="s">
        <v>2385</v>
      </c>
      <c r="B603" t="s">
        <v>16</v>
      </c>
      <c r="C603" t="s">
        <v>3831</v>
      </c>
      <c r="D603" t="s">
        <v>2436</v>
      </c>
      <c r="E603" t="s">
        <v>2437</v>
      </c>
      <c r="F603" t="s">
        <v>3832</v>
      </c>
      <c r="G603" t="s">
        <v>3833</v>
      </c>
      <c r="H603" t="s">
        <v>22</v>
      </c>
      <c r="I603" t="s">
        <v>874</v>
      </c>
    </row>
    <row r="604" spans="1:9" ht="11.25" customHeight="1">
      <c r="A604" t="s">
        <v>2385</v>
      </c>
      <c r="B604" t="s">
        <v>16</v>
      </c>
      <c r="C604" t="s">
        <v>3834</v>
      </c>
      <c r="D604" t="s">
        <v>3835</v>
      </c>
      <c r="E604" t="s">
        <v>3836</v>
      </c>
      <c r="F604" t="s">
        <v>2449</v>
      </c>
      <c r="G604" t="s">
        <v>22</v>
      </c>
      <c r="H604" t="s">
        <v>22</v>
      </c>
      <c r="I604" t="s">
        <v>874</v>
      </c>
    </row>
    <row r="605" spans="1:9" ht="11.25" customHeight="1">
      <c r="A605" t="s">
        <v>2385</v>
      </c>
      <c r="B605" t="s">
        <v>16</v>
      </c>
      <c r="C605" t="s">
        <v>2443</v>
      </c>
      <c r="D605" t="s">
        <v>2444</v>
      </c>
      <c r="E605" t="s">
        <v>2445</v>
      </c>
      <c r="F605" t="s">
        <v>2420</v>
      </c>
      <c r="G605" t="s">
        <v>22</v>
      </c>
      <c r="H605" t="s">
        <v>22</v>
      </c>
      <c r="I605" t="s">
        <v>874</v>
      </c>
    </row>
    <row r="606" spans="1:9" ht="11.25" customHeight="1">
      <c r="A606" t="s">
        <v>2385</v>
      </c>
      <c r="B606" t="s">
        <v>16</v>
      </c>
      <c r="C606" t="s">
        <v>2446</v>
      </c>
      <c r="D606" t="s">
        <v>2447</v>
      </c>
      <c r="E606" t="s">
        <v>2448</v>
      </c>
      <c r="F606" t="s">
        <v>2449</v>
      </c>
      <c r="G606" t="s">
        <v>22</v>
      </c>
      <c r="H606" t="s">
        <v>22</v>
      </c>
      <c r="I606" t="s">
        <v>874</v>
      </c>
    </row>
    <row r="607" spans="1:9" ht="11.25" customHeight="1">
      <c r="A607" t="s">
        <v>2385</v>
      </c>
      <c r="B607" t="s">
        <v>16</v>
      </c>
      <c r="C607" t="s">
        <v>2454</v>
      </c>
      <c r="D607" t="s">
        <v>2455</v>
      </c>
      <c r="E607" t="s">
        <v>2456</v>
      </c>
      <c r="F607" t="s">
        <v>2449</v>
      </c>
      <c r="G607" t="s">
        <v>22</v>
      </c>
      <c r="H607" t="s">
        <v>22</v>
      </c>
      <c r="I607" t="s">
        <v>874</v>
      </c>
    </row>
    <row r="608" spans="1:9" ht="11.25" customHeight="1">
      <c r="A608" t="s">
        <v>2385</v>
      </c>
      <c r="B608" t="s">
        <v>16</v>
      </c>
      <c r="C608" t="s">
        <v>2457</v>
      </c>
      <c r="D608" t="s">
        <v>2458</v>
      </c>
      <c r="E608" t="s">
        <v>2459</v>
      </c>
      <c r="F608" t="s">
        <v>2416</v>
      </c>
      <c r="G608" t="s">
        <v>22</v>
      </c>
      <c r="H608" t="s">
        <v>22</v>
      </c>
      <c r="I608" t="s">
        <v>874</v>
      </c>
    </row>
    <row r="609" spans="1:9" ht="11.25" customHeight="1">
      <c r="A609" t="s">
        <v>2385</v>
      </c>
      <c r="B609" t="s">
        <v>16</v>
      </c>
      <c r="C609" t="s">
        <v>3837</v>
      </c>
      <c r="D609" t="s">
        <v>3838</v>
      </c>
      <c r="E609" t="s">
        <v>3839</v>
      </c>
      <c r="F609" t="s">
        <v>2613</v>
      </c>
      <c r="G609" t="s">
        <v>22</v>
      </c>
      <c r="H609" t="s">
        <v>22</v>
      </c>
      <c r="I609" t="s">
        <v>874</v>
      </c>
    </row>
    <row r="610" spans="1:9" ht="11.25" customHeight="1">
      <c r="A610" t="s">
        <v>2385</v>
      </c>
      <c r="B610" t="s">
        <v>16</v>
      </c>
      <c r="C610" t="s">
        <v>3840</v>
      </c>
      <c r="D610" t="s">
        <v>3841</v>
      </c>
      <c r="E610" t="s">
        <v>3842</v>
      </c>
      <c r="F610" t="s">
        <v>2508</v>
      </c>
      <c r="G610" t="s">
        <v>22</v>
      </c>
      <c r="H610" t="s">
        <v>22</v>
      </c>
      <c r="I610" t="s">
        <v>874</v>
      </c>
    </row>
    <row r="611" spans="1:9" ht="11.25" customHeight="1">
      <c r="A611" t="s">
        <v>2385</v>
      </c>
      <c r="B611" t="s">
        <v>16</v>
      </c>
      <c r="C611" t="s">
        <v>2468</v>
      </c>
      <c r="D611" t="s">
        <v>2469</v>
      </c>
      <c r="E611" t="s">
        <v>2470</v>
      </c>
      <c r="F611" t="s">
        <v>2449</v>
      </c>
      <c r="G611" t="s">
        <v>22</v>
      </c>
      <c r="H611" t="s">
        <v>22</v>
      </c>
      <c r="I611" t="s">
        <v>874</v>
      </c>
    </row>
    <row r="612" spans="1:9" ht="11.25" customHeight="1">
      <c r="A612" t="s">
        <v>2385</v>
      </c>
      <c r="B612" t="s">
        <v>16</v>
      </c>
      <c r="C612" t="s">
        <v>2478</v>
      </c>
      <c r="D612" t="s">
        <v>2479</v>
      </c>
      <c r="E612" t="s">
        <v>2480</v>
      </c>
      <c r="F612" t="s">
        <v>2416</v>
      </c>
      <c r="G612" t="s">
        <v>22</v>
      </c>
      <c r="H612" t="s">
        <v>22</v>
      </c>
      <c r="I612" t="s">
        <v>874</v>
      </c>
    </row>
    <row r="613" spans="1:9" ht="11.25" customHeight="1">
      <c r="A613" t="s">
        <v>2385</v>
      </c>
      <c r="B613" t="s">
        <v>16</v>
      </c>
      <c r="C613" t="s">
        <v>2481</v>
      </c>
      <c r="D613" t="s">
        <v>2482</v>
      </c>
      <c r="E613" t="s">
        <v>2483</v>
      </c>
      <c r="F613" t="s">
        <v>2484</v>
      </c>
      <c r="G613" t="s">
        <v>2485</v>
      </c>
      <c r="H613" t="s">
        <v>22</v>
      </c>
      <c r="I613" t="s">
        <v>874</v>
      </c>
    </row>
    <row r="614" spans="1:9" ht="11.25" customHeight="1">
      <c r="A614" t="s">
        <v>2385</v>
      </c>
      <c r="B614" t="s">
        <v>16</v>
      </c>
      <c r="C614" t="s">
        <v>2496</v>
      </c>
      <c r="D614" t="s">
        <v>2497</v>
      </c>
      <c r="E614" t="s">
        <v>2498</v>
      </c>
      <c r="F614" t="s">
        <v>2427</v>
      </c>
      <c r="G614" t="s">
        <v>22</v>
      </c>
      <c r="H614" t="s">
        <v>22</v>
      </c>
      <c r="I614" t="s">
        <v>874</v>
      </c>
    </row>
    <row r="615" spans="1:9" ht="11.25" customHeight="1">
      <c r="A615" t="s">
        <v>2385</v>
      </c>
      <c r="B615" t="s">
        <v>16</v>
      </c>
      <c r="C615" t="s">
        <v>2499</v>
      </c>
      <c r="D615" t="s">
        <v>2500</v>
      </c>
      <c r="E615" t="s">
        <v>2501</v>
      </c>
      <c r="F615" t="s">
        <v>2453</v>
      </c>
      <c r="G615" t="s">
        <v>22</v>
      </c>
      <c r="H615" t="s">
        <v>22</v>
      </c>
      <c r="I615" t="s">
        <v>874</v>
      </c>
    </row>
    <row r="616" spans="1:9" ht="11.25" customHeight="1">
      <c r="A616" t="s">
        <v>2385</v>
      </c>
      <c r="B616" t="s">
        <v>16</v>
      </c>
      <c r="C616" t="s">
        <v>2505</v>
      </c>
      <c r="D616" t="s">
        <v>2506</v>
      </c>
      <c r="E616" t="s">
        <v>2507</v>
      </c>
      <c r="F616" t="s">
        <v>2508</v>
      </c>
      <c r="G616" t="s">
        <v>22</v>
      </c>
      <c r="H616" t="s">
        <v>22</v>
      </c>
      <c r="I616" t="s">
        <v>874</v>
      </c>
    </row>
    <row r="617" spans="1:9" ht="11.25" customHeight="1">
      <c r="A617" t="s">
        <v>2385</v>
      </c>
      <c r="B617" t="s">
        <v>16</v>
      </c>
      <c r="C617" t="s">
        <v>13</v>
      </c>
      <c r="D617" t="s">
        <v>45</v>
      </c>
      <c r="E617" t="s">
        <v>48</v>
      </c>
      <c r="F617" t="s">
        <v>50</v>
      </c>
      <c r="G617" t="s">
        <v>22</v>
      </c>
      <c r="H617" t="s">
        <v>22</v>
      </c>
      <c r="I617" t="s">
        <v>874</v>
      </c>
    </row>
    <row r="618" spans="1:9" ht="11.25" customHeight="1">
      <c r="A618" t="s">
        <v>2385</v>
      </c>
      <c r="B618" t="s">
        <v>16</v>
      </c>
      <c r="C618" t="s">
        <v>2527</v>
      </c>
      <c r="D618" t="s">
        <v>2528</v>
      </c>
      <c r="E618" t="s">
        <v>2526</v>
      </c>
      <c r="F618" t="s">
        <v>2529</v>
      </c>
      <c r="G618" t="s">
        <v>22</v>
      </c>
      <c r="H618" t="s">
        <v>22</v>
      </c>
      <c r="I618" t="s">
        <v>874</v>
      </c>
    </row>
    <row r="619" spans="1:9" ht="11.25" customHeight="1">
      <c r="A619" t="s">
        <v>2385</v>
      </c>
      <c r="B619" t="s">
        <v>16</v>
      </c>
      <c r="C619" t="s">
        <v>2536</v>
      </c>
      <c r="D619" t="s">
        <v>2537</v>
      </c>
      <c r="E619" t="s">
        <v>2526</v>
      </c>
      <c r="F619" t="s">
        <v>2538</v>
      </c>
      <c r="G619" t="s">
        <v>22</v>
      </c>
      <c r="H619" t="s">
        <v>22</v>
      </c>
      <c r="I619" t="s">
        <v>874</v>
      </c>
    </row>
    <row r="620" spans="1:9" ht="11.25" customHeight="1">
      <c r="A620" t="s">
        <v>2385</v>
      </c>
      <c r="B620" t="s">
        <v>16</v>
      </c>
      <c r="C620" t="s">
        <v>2542</v>
      </c>
      <c r="D620" t="s">
        <v>2543</v>
      </c>
      <c r="E620" t="s">
        <v>2526</v>
      </c>
      <c r="F620" t="s">
        <v>2544</v>
      </c>
      <c r="G620" t="s">
        <v>22</v>
      </c>
      <c r="H620" t="s">
        <v>22</v>
      </c>
      <c r="I620" t="s">
        <v>874</v>
      </c>
    </row>
    <row r="621" spans="1:9" ht="11.25" customHeight="1">
      <c r="A621" t="s">
        <v>2385</v>
      </c>
      <c r="B621" t="s">
        <v>16</v>
      </c>
      <c r="C621" t="s">
        <v>3843</v>
      </c>
      <c r="D621" t="s">
        <v>3844</v>
      </c>
      <c r="E621" t="s">
        <v>3845</v>
      </c>
      <c r="F621" t="s">
        <v>2434</v>
      </c>
      <c r="G621" t="s">
        <v>22</v>
      </c>
      <c r="H621" t="s">
        <v>22</v>
      </c>
      <c r="I621" t="s">
        <v>874</v>
      </c>
    </row>
    <row r="622" spans="1:9" ht="11.25" customHeight="1">
      <c r="A622" t="s">
        <v>2385</v>
      </c>
      <c r="B622" t="s">
        <v>16</v>
      </c>
      <c r="C622" t="s">
        <v>3846</v>
      </c>
      <c r="D622" t="s">
        <v>3847</v>
      </c>
      <c r="E622" t="s">
        <v>3848</v>
      </c>
      <c r="F622" t="s">
        <v>3849</v>
      </c>
      <c r="G622" t="s">
        <v>3850</v>
      </c>
      <c r="H622" t="s">
        <v>22</v>
      </c>
      <c r="I622" t="s">
        <v>874</v>
      </c>
    </row>
    <row r="623" spans="1:9" ht="11.25" customHeight="1">
      <c r="A623" t="s">
        <v>2385</v>
      </c>
      <c r="B623" t="s">
        <v>16</v>
      </c>
      <c r="C623" t="s">
        <v>2573</v>
      </c>
      <c r="D623" t="s">
        <v>2574</v>
      </c>
      <c r="E623" t="s">
        <v>2575</v>
      </c>
      <c r="F623" t="s">
        <v>2576</v>
      </c>
      <c r="G623" t="s">
        <v>22</v>
      </c>
      <c r="H623" t="s">
        <v>22</v>
      </c>
      <c r="I623" t="s">
        <v>874</v>
      </c>
    </row>
    <row r="624" spans="1:9" ht="11.25" customHeight="1">
      <c r="A624" t="s">
        <v>2385</v>
      </c>
      <c r="B624" t="s">
        <v>16</v>
      </c>
      <c r="C624" t="s">
        <v>2577</v>
      </c>
      <c r="D624" t="s">
        <v>2578</v>
      </c>
      <c r="E624" t="s">
        <v>2579</v>
      </c>
      <c r="F624" t="s">
        <v>2401</v>
      </c>
      <c r="G624" t="s">
        <v>22</v>
      </c>
      <c r="H624" t="s">
        <v>22</v>
      </c>
      <c r="I624" t="s">
        <v>874</v>
      </c>
    </row>
    <row r="625" spans="1:9" ht="11.25" customHeight="1">
      <c r="A625" t="s">
        <v>2385</v>
      </c>
      <c r="B625" t="s">
        <v>16</v>
      </c>
      <c r="C625" t="s">
        <v>2587</v>
      </c>
      <c r="D625" t="s">
        <v>2588</v>
      </c>
      <c r="E625" t="s">
        <v>2589</v>
      </c>
      <c r="F625" t="s">
        <v>2463</v>
      </c>
      <c r="G625" t="s">
        <v>2590</v>
      </c>
      <c r="H625" t="s">
        <v>22</v>
      </c>
      <c r="I625" t="s">
        <v>874</v>
      </c>
    </row>
    <row r="626" spans="1:9" ht="11.25" customHeight="1">
      <c r="A626" t="s">
        <v>2385</v>
      </c>
      <c r="B626" t="s">
        <v>16</v>
      </c>
      <c r="C626" t="s">
        <v>3851</v>
      </c>
      <c r="D626" t="s">
        <v>3852</v>
      </c>
      <c r="E626" t="s">
        <v>2703</v>
      </c>
      <c r="F626" t="s">
        <v>2393</v>
      </c>
      <c r="G626" t="s">
        <v>22</v>
      </c>
      <c r="H626" t="s">
        <v>22</v>
      </c>
      <c r="I626" t="s">
        <v>874</v>
      </c>
    </row>
    <row r="627" spans="1:9" ht="11.25" customHeight="1">
      <c r="A627" t="s">
        <v>2385</v>
      </c>
      <c r="B627" t="s">
        <v>16</v>
      </c>
      <c r="C627" t="s">
        <v>3853</v>
      </c>
      <c r="D627" t="s">
        <v>3854</v>
      </c>
      <c r="E627" t="s">
        <v>3855</v>
      </c>
      <c r="F627" t="s">
        <v>2420</v>
      </c>
      <c r="G627" t="s">
        <v>22</v>
      </c>
      <c r="H627" t="s">
        <v>22</v>
      </c>
      <c r="I627" t="s">
        <v>874</v>
      </c>
    </row>
    <row r="628" spans="1:9" ht="11.25" customHeight="1">
      <c r="A628" t="s">
        <v>2385</v>
      </c>
      <c r="B628" t="s">
        <v>16</v>
      </c>
      <c r="C628" t="s">
        <v>3856</v>
      </c>
      <c r="D628" t="s">
        <v>3857</v>
      </c>
      <c r="E628" t="s">
        <v>3858</v>
      </c>
      <c r="F628" t="s">
        <v>2401</v>
      </c>
      <c r="G628" t="s">
        <v>22</v>
      </c>
      <c r="H628" t="s">
        <v>22</v>
      </c>
      <c r="I628" t="s">
        <v>874</v>
      </c>
    </row>
    <row r="629" spans="1:9" ht="11.25" customHeight="1">
      <c r="A629" t="s">
        <v>2385</v>
      </c>
      <c r="B629" t="s">
        <v>16</v>
      </c>
      <c r="C629" t="s">
        <v>2603</v>
      </c>
      <c r="D629" t="s">
        <v>2604</v>
      </c>
      <c r="E629" t="s">
        <v>2605</v>
      </c>
      <c r="F629" t="s">
        <v>2586</v>
      </c>
      <c r="G629" t="s">
        <v>22</v>
      </c>
      <c r="H629" t="s">
        <v>22</v>
      </c>
      <c r="I629" t="s">
        <v>874</v>
      </c>
    </row>
    <row r="630" spans="1:9" ht="11.25" customHeight="1">
      <c r="A630" t="s">
        <v>2385</v>
      </c>
      <c r="B630" t="s">
        <v>16</v>
      </c>
      <c r="C630" t="s">
        <v>2610</v>
      </c>
      <c r="D630" t="s">
        <v>2611</v>
      </c>
      <c r="E630" t="s">
        <v>2612</v>
      </c>
      <c r="F630" t="s">
        <v>2613</v>
      </c>
      <c r="G630" t="s">
        <v>2614</v>
      </c>
      <c r="H630" t="s">
        <v>22</v>
      </c>
      <c r="I630" t="s">
        <v>874</v>
      </c>
    </row>
    <row r="631" spans="1:9" ht="11.25" customHeight="1">
      <c r="A631" t="s">
        <v>2385</v>
      </c>
      <c r="B631" t="s">
        <v>16</v>
      </c>
      <c r="C631" t="s">
        <v>3859</v>
      </c>
      <c r="D631" t="s">
        <v>3860</v>
      </c>
      <c r="E631" t="s">
        <v>3861</v>
      </c>
      <c r="F631" t="s">
        <v>3862</v>
      </c>
      <c r="G631" t="s">
        <v>22</v>
      </c>
      <c r="H631" t="s">
        <v>22</v>
      </c>
      <c r="I631" t="s">
        <v>874</v>
      </c>
    </row>
    <row r="632" spans="1:9" ht="11.25" customHeight="1">
      <c r="A632" t="s">
        <v>2385</v>
      </c>
      <c r="B632" t="s">
        <v>16</v>
      </c>
      <c r="C632" t="s">
        <v>3863</v>
      </c>
      <c r="D632" t="s">
        <v>3864</v>
      </c>
      <c r="E632" t="s">
        <v>3865</v>
      </c>
      <c r="F632" t="s">
        <v>2647</v>
      </c>
      <c r="G632" t="s">
        <v>22</v>
      </c>
      <c r="H632" t="s">
        <v>22</v>
      </c>
      <c r="I632" t="s">
        <v>874</v>
      </c>
    </row>
    <row r="633" spans="1:9" ht="11.25" customHeight="1">
      <c r="A633" t="s">
        <v>2385</v>
      </c>
      <c r="B633" t="s">
        <v>16</v>
      </c>
      <c r="C633" t="s">
        <v>3866</v>
      </c>
      <c r="D633" t="s">
        <v>3867</v>
      </c>
      <c r="E633" t="s">
        <v>3868</v>
      </c>
      <c r="F633" t="s">
        <v>2830</v>
      </c>
      <c r="G633" t="s">
        <v>22</v>
      </c>
      <c r="H633" t="s">
        <v>22</v>
      </c>
      <c r="I633" t="s">
        <v>874</v>
      </c>
    </row>
    <row r="634" spans="1:9" ht="11.25" customHeight="1">
      <c r="A634" t="s">
        <v>2385</v>
      </c>
      <c r="B634" t="s">
        <v>16</v>
      </c>
      <c r="C634" t="s">
        <v>2628</v>
      </c>
      <c r="D634" t="s">
        <v>2629</v>
      </c>
      <c r="E634" t="s">
        <v>2630</v>
      </c>
      <c r="F634" t="s">
        <v>2631</v>
      </c>
      <c r="G634" t="s">
        <v>2632</v>
      </c>
      <c r="H634" t="s">
        <v>22</v>
      </c>
      <c r="I634" t="s">
        <v>874</v>
      </c>
    </row>
    <row r="635" spans="1:9" ht="11.25" customHeight="1">
      <c r="A635" t="s">
        <v>2385</v>
      </c>
      <c r="B635" t="s">
        <v>16</v>
      </c>
      <c r="C635" t="s">
        <v>2656</v>
      </c>
      <c r="D635" t="s">
        <v>2657</v>
      </c>
      <c r="E635" t="s">
        <v>2658</v>
      </c>
      <c r="F635" t="s">
        <v>2659</v>
      </c>
      <c r="G635" t="s">
        <v>22</v>
      </c>
      <c r="H635" t="s">
        <v>22</v>
      </c>
      <c r="I635" t="s">
        <v>874</v>
      </c>
    </row>
    <row r="636" spans="1:9" ht="11.25" customHeight="1">
      <c r="A636" t="s">
        <v>2385</v>
      </c>
      <c r="B636" t="s">
        <v>16</v>
      </c>
      <c r="C636" t="s">
        <v>2660</v>
      </c>
      <c r="D636" t="s">
        <v>2661</v>
      </c>
      <c r="E636" t="s">
        <v>2662</v>
      </c>
      <c r="F636" t="s">
        <v>2663</v>
      </c>
      <c r="G636" t="s">
        <v>22</v>
      </c>
      <c r="H636" t="s">
        <v>22</v>
      </c>
      <c r="I636" t="s">
        <v>874</v>
      </c>
    </row>
    <row r="637" spans="1:9" ht="11.25" customHeight="1">
      <c r="A637" t="s">
        <v>2385</v>
      </c>
      <c r="B637" t="s">
        <v>16</v>
      </c>
      <c r="C637" t="s">
        <v>2671</v>
      </c>
      <c r="D637" t="s">
        <v>2672</v>
      </c>
      <c r="E637" t="s">
        <v>2673</v>
      </c>
      <c r="F637" t="s">
        <v>2674</v>
      </c>
      <c r="G637" t="s">
        <v>22</v>
      </c>
      <c r="H637" t="s">
        <v>22</v>
      </c>
      <c r="I637" t="s">
        <v>874</v>
      </c>
    </row>
    <row r="638" spans="1:9" ht="11.25" customHeight="1">
      <c r="A638" t="s">
        <v>2385</v>
      </c>
      <c r="B638" t="s">
        <v>16</v>
      </c>
      <c r="C638" t="s">
        <v>2678</v>
      </c>
      <c r="D638" t="s">
        <v>2679</v>
      </c>
      <c r="E638" t="s">
        <v>2680</v>
      </c>
      <c r="F638" t="s">
        <v>2416</v>
      </c>
      <c r="G638" t="s">
        <v>22</v>
      </c>
      <c r="H638" t="s">
        <v>22</v>
      </c>
      <c r="I638" t="s">
        <v>874</v>
      </c>
    </row>
    <row r="639" spans="1:9" ht="11.25" customHeight="1">
      <c r="A639" t="s">
        <v>2385</v>
      </c>
      <c r="B639" t="s">
        <v>16</v>
      </c>
      <c r="C639" t="s">
        <v>2691</v>
      </c>
      <c r="D639" t="s">
        <v>2692</v>
      </c>
      <c r="E639" t="s">
        <v>2693</v>
      </c>
      <c r="F639" t="s">
        <v>2522</v>
      </c>
      <c r="G639" t="s">
        <v>22</v>
      </c>
      <c r="H639" t="s">
        <v>22</v>
      </c>
      <c r="I639" t="s">
        <v>874</v>
      </c>
    </row>
    <row r="640" spans="1:9" ht="11.25" customHeight="1">
      <c r="A640" t="s">
        <v>2385</v>
      </c>
      <c r="B640" t="s">
        <v>16</v>
      </c>
      <c r="C640" t="s">
        <v>2697</v>
      </c>
      <c r="D640" t="s">
        <v>2698</v>
      </c>
      <c r="E640" t="s">
        <v>2699</v>
      </c>
      <c r="F640" t="s">
        <v>2700</v>
      </c>
      <c r="G640" t="s">
        <v>22</v>
      </c>
      <c r="H640" t="s">
        <v>22</v>
      </c>
      <c r="I640" t="s">
        <v>874</v>
      </c>
    </row>
    <row r="641" spans="1:9" ht="11.25" customHeight="1">
      <c r="A641" t="s">
        <v>2385</v>
      </c>
      <c r="B641" t="s">
        <v>16</v>
      </c>
      <c r="C641" t="s">
        <v>2701</v>
      </c>
      <c r="D641" t="s">
        <v>2702</v>
      </c>
      <c r="E641" t="s">
        <v>2703</v>
      </c>
      <c r="F641" t="s">
        <v>2704</v>
      </c>
      <c r="G641" t="s">
        <v>22</v>
      </c>
      <c r="H641" t="s">
        <v>22</v>
      </c>
      <c r="I641" t="s">
        <v>874</v>
      </c>
    </row>
    <row r="642" spans="1:9" ht="11.25" customHeight="1">
      <c r="A642" t="s">
        <v>2385</v>
      </c>
      <c r="B642" t="s">
        <v>16</v>
      </c>
      <c r="C642" t="s">
        <v>2708</v>
      </c>
      <c r="D642" t="s">
        <v>2709</v>
      </c>
      <c r="E642" t="s">
        <v>2710</v>
      </c>
      <c r="F642" t="s">
        <v>2631</v>
      </c>
      <c r="G642" t="s">
        <v>22</v>
      </c>
      <c r="H642" t="s">
        <v>22</v>
      </c>
      <c r="I642" t="s">
        <v>874</v>
      </c>
    </row>
    <row r="643" spans="1:9" ht="11.25" customHeight="1">
      <c r="A643" t="s">
        <v>2385</v>
      </c>
      <c r="B643" t="s">
        <v>16</v>
      </c>
      <c r="C643" t="s">
        <v>2714</v>
      </c>
      <c r="D643" t="s">
        <v>2715</v>
      </c>
      <c r="E643" t="s">
        <v>2716</v>
      </c>
      <c r="F643" t="s">
        <v>2674</v>
      </c>
      <c r="G643" t="s">
        <v>22</v>
      </c>
      <c r="H643" t="s">
        <v>22</v>
      </c>
      <c r="I643" t="s">
        <v>874</v>
      </c>
    </row>
    <row r="644" spans="1:9" ht="11.25" customHeight="1">
      <c r="A644" t="s">
        <v>2385</v>
      </c>
      <c r="B644" t="s">
        <v>16</v>
      </c>
      <c r="C644" t="s">
        <v>3869</v>
      </c>
      <c r="D644" t="s">
        <v>3870</v>
      </c>
      <c r="E644" t="s">
        <v>3871</v>
      </c>
      <c r="F644" t="s">
        <v>2401</v>
      </c>
      <c r="G644" t="s">
        <v>22</v>
      </c>
      <c r="H644" t="s">
        <v>22</v>
      </c>
      <c r="I644" t="s">
        <v>874</v>
      </c>
    </row>
    <row r="645" spans="1:9" ht="11.25" customHeight="1">
      <c r="A645" t="s">
        <v>2385</v>
      </c>
      <c r="B645" t="s">
        <v>16</v>
      </c>
      <c r="C645" t="s">
        <v>2720</v>
      </c>
      <c r="D645" t="s">
        <v>2721</v>
      </c>
      <c r="E645" t="s">
        <v>2722</v>
      </c>
      <c r="F645" t="s">
        <v>2522</v>
      </c>
      <c r="G645" t="s">
        <v>22</v>
      </c>
      <c r="H645" t="s">
        <v>22</v>
      </c>
      <c r="I645" t="s">
        <v>874</v>
      </c>
    </row>
    <row r="646" spans="1:9" ht="11.25" customHeight="1">
      <c r="A646" t="s">
        <v>2385</v>
      </c>
      <c r="B646" t="s">
        <v>16</v>
      </c>
      <c r="C646" t="s">
        <v>2744</v>
      </c>
      <c r="D646" t="s">
        <v>2745</v>
      </c>
      <c r="E646" t="s">
        <v>2746</v>
      </c>
      <c r="F646" t="s">
        <v>586</v>
      </c>
      <c r="G646" t="s">
        <v>22</v>
      </c>
      <c r="H646" t="s">
        <v>22</v>
      </c>
      <c r="I646" t="s">
        <v>874</v>
      </c>
    </row>
    <row r="647" spans="1:9" ht="11.25" customHeight="1">
      <c r="A647" t="s">
        <v>2385</v>
      </c>
      <c r="B647" t="s">
        <v>16</v>
      </c>
      <c r="C647" t="s">
        <v>2750</v>
      </c>
      <c r="D647" t="s">
        <v>2751</v>
      </c>
      <c r="E647" t="s">
        <v>2752</v>
      </c>
      <c r="F647" t="s">
        <v>2753</v>
      </c>
      <c r="G647" t="s">
        <v>22</v>
      </c>
      <c r="H647" t="s">
        <v>22</v>
      </c>
      <c r="I647" t="s">
        <v>874</v>
      </c>
    </row>
    <row r="648" spans="1:9" ht="11.25" customHeight="1">
      <c r="A648" t="s">
        <v>2385</v>
      </c>
      <c r="B648" t="s">
        <v>16</v>
      </c>
      <c r="C648" t="s">
        <v>3872</v>
      </c>
      <c r="D648" t="s">
        <v>3873</v>
      </c>
      <c r="E648" t="s">
        <v>3874</v>
      </c>
      <c r="F648" t="s">
        <v>2830</v>
      </c>
      <c r="G648" t="s">
        <v>22</v>
      </c>
      <c r="H648" t="s">
        <v>22</v>
      </c>
      <c r="I648" t="s">
        <v>874</v>
      </c>
    </row>
    <row r="649" spans="1:9" ht="11.25" customHeight="1">
      <c r="A649" t="s">
        <v>2385</v>
      </c>
      <c r="B649" t="s">
        <v>16</v>
      </c>
      <c r="C649" t="s">
        <v>2768</v>
      </c>
      <c r="D649" t="s">
        <v>2769</v>
      </c>
      <c r="E649" t="s">
        <v>2770</v>
      </c>
      <c r="F649" t="s">
        <v>2771</v>
      </c>
      <c r="G649" t="s">
        <v>2772</v>
      </c>
      <c r="H649" t="s">
        <v>22</v>
      </c>
      <c r="I649" t="s">
        <v>874</v>
      </c>
    </row>
    <row r="650" spans="1:9" ht="11.25" customHeight="1">
      <c r="A650" t="s">
        <v>2385</v>
      </c>
      <c r="B650" t="s">
        <v>16</v>
      </c>
      <c r="C650" t="s">
        <v>3875</v>
      </c>
      <c r="D650" t="s">
        <v>3876</v>
      </c>
      <c r="E650" t="s">
        <v>3877</v>
      </c>
      <c r="F650" t="s">
        <v>3247</v>
      </c>
      <c r="G650" t="s">
        <v>22</v>
      </c>
      <c r="H650" t="s">
        <v>22</v>
      </c>
      <c r="I650" t="s">
        <v>874</v>
      </c>
    </row>
    <row r="651" spans="1:9" ht="11.25" customHeight="1">
      <c r="A651" t="s">
        <v>2385</v>
      </c>
      <c r="B651" t="s">
        <v>16</v>
      </c>
      <c r="C651" t="s">
        <v>3878</v>
      </c>
      <c r="D651" t="s">
        <v>3879</v>
      </c>
      <c r="E651" t="s">
        <v>3880</v>
      </c>
      <c r="F651" t="s">
        <v>3247</v>
      </c>
      <c r="G651" t="s">
        <v>22</v>
      </c>
      <c r="H651" t="s">
        <v>22</v>
      </c>
      <c r="I651" t="s">
        <v>874</v>
      </c>
    </row>
    <row r="652" spans="1:9" ht="11.25" customHeight="1">
      <c r="A652" t="s">
        <v>2385</v>
      </c>
      <c r="B652" t="s">
        <v>16</v>
      </c>
      <c r="C652" t="s">
        <v>3881</v>
      </c>
      <c r="D652" t="s">
        <v>3882</v>
      </c>
      <c r="E652" t="s">
        <v>3883</v>
      </c>
      <c r="F652" t="s">
        <v>3247</v>
      </c>
      <c r="G652" t="s">
        <v>22</v>
      </c>
      <c r="H652" t="s">
        <v>22</v>
      </c>
      <c r="I652" t="s">
        <v>874</v>
      </c>
    </row>
    <row r="653" spans="1:9" ht="11.25" customHeight="1">
      <c r="A653" t="s">
        <v>2385</v>
      </c>
      <c r="B653" t="s">
        <v>16</v>
      </c>
      <c r="C653" t="s">
        <v>3884</v>
      </c>
      <c r="D653" t="s">
        <v>3885</v>
      </c>
      <c r="E653" t="s">
        <v>3886</v>
      </c>
      <c r="F653" t="s">
        <v>3247</v>
      </c>
      <c r="G653" t="s">
        <v>22</v>
      </c>
      <c r="H653" t="s">
        <v>22</v>
      </c>
      <c r="I653" t="s">
        <v>874</v>
      </c>
    </row>
    <row r="654" spans="1:9" ht="11.25" customHeight="1">
      <c r="A654" t="s">
        <v>2385</v>
      </c>
      <c r="B654" t="s">
        <v>16</v>
      </c>
      <c r="C654" t="s">
        <v>3887</v>
      </c>
      <c r="D654" t="s">
        <v>3888</v>
      </c>
      <c r="E654" t="s">
        <v>3889</v>
      </c>
      <c r="F654" t="s">
        <v>3247</v>
      </c>
      <c r="G654" t="s">
        <v>22</v>
      </c>
      <c r="H654" t="s">
        <v>22</v>
      </c>
      <c r="I654" t="s">
        <v>874</v>
      </c>
    </row>
    <row r="655" spans="1:9" ht="11.25" customHeight="1">
      <c r="A655" t="s">
        <v>2385</v>
      </c>
      <c r="B655" t="s">
        <v>16</v>
      </c>
      <c r="C655" t="s">
        <v>2783</v>
      </c>
      <c r="D655" t="s">
        <v>2784</v>
      </c>
      <c r="E655" t="s">
        <v>2785</v>
      </c>
      <c r="F655" t="s">
        <v>2786</v>
      </c>
      <c r="G655" t="s">
        <v>22</v>
      </c>
      <c r="H655" t="s">
        <v>22</v>
      </c>
      <c r="I655" t="s">
        <v>874</v>
      </c>
    </row>
    <row r="656" spans="1:9" ht="11.25" customHeight="1">
      <c r="A656" t="s">
        <v>2385</v>
      </c>
      <c r="B656" t="s">
        <v>16</v>
      </c>
      <c r="C656" t="s">
        <v>3890</v>
      </c>
      <c r="D656" t="s">
        <v>3891</v>
      </c>
      <c r="E656" t="s">
        <v>3892</v>
      </c>
      <c r="F656" t="s">
        <v>3148</v>
      </c>
      <c r="G656" t="s">
        <v>3893</v>
      </c>
      <c r="H656" t="s">
        <v>22</v>
      </c>
      <c r="I656" t="s">
        <v>874</v>
      </c>
    </row>
    <row r="657" spans="1:9" ht="11.25" customHeight="1">
      <c r="A657" t="s">
        <v>2385</v>
      </c>
      <c r="B657" t="s">
        <v>16</v>
      </c>
      <c r="C657" t="s">
        <v>3894</v>
      </c>
      <c r="D657" t="s">
        <v>3891</v>
      </c>
      <c r="E657" t="s">
        <v>3895</v>
      </c>
      <c r="F657" t="s">
        <v>2812</v>
      </c>
      <c r="G657" t="s">
        <v>22</v>
      </c>
      <c r="H657" t="s">
        <v>22</v>
      </c>
      <c r="I657" t="s">
        <v>874</v>
      </c>
    </row>
    <row r="658" spans="1:9" ht="11.25" customHeight="1">
      <c r="A658" t="s">
        <v>2385</v>
      </c>
      <c r="B658" t="s">
        <v>16</v>
      </c>
      <c r="C658" t="s">
        <v>2787</v>
      </c>
      <c r="D658" t="s">
        <v>2788</v>
      </c>
      <c r="E658" t="s">
        <v>2789</v>
      </c>
      <c r="F658" t="s">
        <v>2586</v>
      </c>
      <c r="G658" t="s">
        <v>22</v>
      </c>
      <c r="H658" t="s">
        <v>22</v>
      </c>
      <c r="I658" t="s">
        <v>874</v>
      </c>
    </row>
    <row r="659" spans="1:9" ht="11.25" customHeight="1">
      <c r="A659" t="s">
        <v>2385</v>
      </c>
      <c r="B659" t="s">
        <v>16</v>
      </c>
      <c r="C659" t="s">
        <v>3896</v>
      </c>
      <c r="D659" t="s">
        <v>3897</v>
      </c>
      <c r="E659" t="s">
        <v>3898</v>
      </c>
      <c r="F659" t="s">
        <v>2799</v>
      </c>
      <c r="G659" t="s">
        <v>22</v>
      </c>
      <c r="H659" t="s">
        <v>22</v>
      </c>
      <c r="I659" t="s">
        <v>874</v>
      </c>
    </row>
    <row r="660" spans="1:9" ht="11.25" customHeight="1">
      <c r="A660" t="s">
        <v>2385</v>
      </c>
      <c r="B660" t="s">
        <v>16</v>
      </c>
      <c r="C660" t="s">
        <v>2790</v>
      </c>
      <c r="D660" t="s">
        <v>2791</v>
      </c>
      <c r="E660" t="s">
        <v>2792</v>
      </c>
      <c r="F660" t="s">
        <v>2512</v>
      </c>
      <c r="G660" t="s">
        <v>22</v>
      </c>
      <c r="H660" t="s">
        <v>22</v>
      </c>
      <c r="I660" t="s">
        <v>874</v>
      </c>
    </row>
    <row r="661" spans="1:9" ht="11.25" customHeight="1">
      <c r="A661" t="s">
        <v>2385</v>
      </c>
      <c r="B661" t="s">
        <v>16</v>
      </c>
      <c r="C661" t="s">
        <v>2793</v>
      </c>
      <c r="D661" t="s">
        <v>2794</v>
      </c>
      <c r="E661" t="s">
        <v>2795</v>
      </c>
      <c r="F661" t="s">
        <v>2586</v>
      </c>
      <c r="G661" t="s">
        <v>22</v>
      </c>
      <c r="H661" t="s">
        <v>22</v>
      </c>
      <c r="I661" t="s">
        <v>874</v>
      </c>
    </row>
    <row r="662" spans="1:9" ht="11.25" customHeight="1">
      <c r="A662" t="s">
        <v>2385</v>
      </c>
      <c r="B662" t="s">
        <v>16</v>
      </c>
      <c r="C662" t="s">
        <v>2796</v>
      </c>
      <c r="D662" t="s">
        <v>2797</v>
      </c>
      <c r="E662" t="s">
        <v>2798</v>
      </c>
      <c r="F662" t="s">
        <v>2799</v>
      </c>
      <c r="G662" t="s">
        <v>22</v>
      </c>
      <c r="H662" t="s">
        <v>22</v>
      </c>
      <c r="I662" t="s">
        <v>874</v>
      </c>
    </row>
    <row r="663" spans="1:9" ht="11.25" customHeight="1">
      <c r="A663" t="s">
        <v>2385</v>
      </c>
      <c r="B663" t="s">
        <v>16</v>
      </c>
      <c r="C663" t="s">
        <v>2800</v>
      </c>
      <c r="D663" t="s">
        <v>2801</v>
      </c>
      <c r="E663" t="s">
        <v>2802</v>
      </c>
      <c r="F663" t="s">
        <v>2416</v>
      </c>
      <c r="G663" t="s">
        <v>22</v>
      </c>
      <c r="H663" t="s">
        <v>22</v>
      </c>
      <c r="I663" t="s">
        <v>874</v>
      </c>
    </row>
    <row r="664" spans="1:9" ht="11.25" customHeight="1">
      <c r="A664" t="s">
        <v>2385</v>
      </c>
      <c r="B664" t="s">
        <v>16</v>
      </c>
      <c r="C664" t="s">
        <v>2803</v>
      </c>
      <c r="D664" t="s">
        <v>2804</v>
      </c>
      <c r="E664" t="s">
        <v>2805</v>
      </c>
      <c r="F664" t="s">
        <v>2597</v>
      </c>
      <c r="G664" t="s">
        <v>22</v>
      </c>
      <c r="H664" t="s">
        <v>22</v>
      </c>
      <c r="I664" t="s">
        <v>874</v>
      </c>
    </row>
    <row r="665" spans="1:9" ht="11.25" customHeight="1">
      <c r="A665" t="s">
        <v>2385</v>
      </c>
      <c r="B665" t="s">
        <v>16</v>
      </c>
      <c r="C665" t="s">
        <v>2806</v>
      </c>
      <c r="D665" t="s">
        <v>2807</v>
      </c>
      <c r="E665" t="s">
        <v>2808</v>
      </c>
      <c r="F665" t="s">
        <v>2799</v>
      </c>
      <c r="G665" t="s">
        <v>22</v>
      </c>
      <c r="H665" t="s">
        <v>22</v>
      </c>
      <c r="I665" t="s">
        <v>874</v>
      </c>
    </row>
    <row r="666" spans="1:9" ht="11.25" customHeight="1">
      <c r="A666" t="s">
        <v>2385</v>
      </c>
      <c r="B666" t="s">
        <v>16</v>
      </c>
      <c r="C666" t="s">
        <v>2816</v>
      </c>
      <c r="D666" t="s">
        <v>2817</v>
      </c>
      <c r="E666" t="s">
        <v>2818</v>
      </c>
      <c r="F666" t="s">
        <v>2819</v>
      </c>
      <c r="G666" t="s">
        <v>2820</v>
      </c>
      <c r="H666" t="s">
        <v>22</v>
      </c>
      <c r="I666" t="s">
        <v>874</v>
      </c>
    </row>
    <row r="667" spans="1:9" ht="11.25" customHeight="1">
      <c r="A667" t="s">
        <v>2385</v>
      </c>
      <c r="B667" t="s">
        <v>16</v>
      </c>
      <c r="C667" t="s">
        <v>3899</v>
      </c>
      <c r="D667" t="s">
        <v>3900</v>
      </c>
      <c r="E667" t="s">
        <v>3901</v>
      </c>
      <c r="F667" t="s">
        <v>3902</v>
      </c>
      <c r="G667" t="s">
        <v>3903</v>
      </c>
      <c r="H667" t="s">
        <v>22</v>
      </c>
      <c r="I667" t="s">
        <v>874</v>
      </c>
    </row>
    <row r="668" spans="1:9" ht="11.25" customHeight="1">
      <c r="A668" t="s">
        <v>2385</v>
      </c>
      <c r="B668" t="s">
        <v>16</v>
      </c>
      <c r="C668" t="s">
        <v>3904</v>
      </c>
      <c r="D668" t="s">
        <v>3905</v>
      </c>
      <c r="E668" t="s">
        <v>3906</v>
      </c>
      <c r="F668" t="s">
        <v>2631</v>
      </c>
      <c r="G668" t="s">
        <v>22</v>
      </c>
      <c r="H668" t="s">
        <v>22</v>
      </c>
      <c r="I668" t="s">
        <v>874</v>
      </c>
    </row>
    <row r="669" spans="1:9" ht="11.25" customHeight="1">
      <c r="A669" t="s">
        <v>2385</v>
      </c>
      <c r="B669" t="s">
        <v>16</v>
      </c>
      <c r="C669" t="s">
        <v>3907</v>
      </c>
      <c r="D669" t="s">
        <v>3908</v>
      </c>
      <c r="E669" t="s">
        <v>3909</v>
      </c>
      <c r="F669" t="s">
        <v>2663</v>
      </c>
      <c r="G669" t="s">
        <v>22</v>
      </c>
      <c r="H669" t="s">
        <v>22</v>
      </c>
      <c r="I669" t="s">
        <v>874</v>
      </c>
    </row>
    <row r="670" spans="1:9" ht="11.25" customHeight="1">
      <c r="A670" t="s">
        <v>2385</v>
      </c>
      <c r="B670" t="s">
        <v>16</v>
      </c>
      <c r="C670" t="s">
        <v>3910</v>
      </c>
      <c r="D670" t="s">
        <v>3911</v>
      </c>
      <c r="E670" t="s">
        <v>3912</v>
      </c>
      <c r="F670" t="s">
        <v>3148</v>
      </c>
      <c r="G670" t="s">
        <v>22</v>
      </c>
      <c r="H670" t="s">
        <v>22</v>
      </c>
      <c r="I670" t="s">
        <v>874</v>
      </c>
    </row>
    <row r="671" spans="1:9" ht="11.25" customHeight="1">
      <c r="A671" t="s">
        <v>2385</v>
      </c>
      <c r="B671" t="s">
        <v>16</v>
      </c>
      <c r="C671" t="s">
        <v>2831</v>
      </c>
      <c r="D671" t="s">
        <v>2832</v>
      </c>
      <c r="E671" t="s">
        <v>2833</v>
      </c>
      <c r="F671" t="s">
        <v>2434</v>
      </c>
      <c r="G671" t="s">
        <v>22</v>
      </c>
      <c r="H671" t="s">
        <v>22</v>
      </c>
      <c r="I671" t="s">
        <v>874</v>
      </c>
    </row>
    <row r="672" spans="1:9" ht="11.25" customHeight="1">
      <c r="A672" t="s">
        <v>2385</v>
      </c>
      <c r="B672" t="s">
        <v>16</v>
      </c>
      <c r="C672" t="s">
        <v>2834</v>
      </c>
      <c r="D672" t="s">
        <v>2835</v>
      </c>
      <c r="E672" t="s">
        <v>2836</v>
      </c>
      <c r="F672" t="s">
        <v>2837</v>
      </c>
      <c r="G672" t="s">
        <v>22</v>
      </c>
      <c r="H672" t="s">
        <v>22</v>
      </c>
      <c r="I672" t="s">
        <v>874</v>
      </c>
    </row>
    <row r="673" spans="1:9" ht="11.25" customHeight="1">
      <c r="A673" t="s">
        <v>2385</v>
      </c>
      <c r="B673" t="s">
        <v>16</v>
      </c>
      <c r="C673" t="s">
        <v>2838</v>
      </c>
      <c r="D673" t="s">
        <v>2839</v>
      </c>
      <c r="E673" t="s">
        <v>2840</v>
      </c>
      <c r="F673" t="s">
        <v>2841</v>
      </c>
      <c r="G673" t="s">
        <v>22</v>
      </c>
      <c r="H673" t="s">
        <v>22</v>
      </c>
      <c r="I673" t="s">
        <v>874</v>
      </c>
    </row>
    <row r="674" spans="1:9" ht="11.25" customHeight="1">
      <c r="A674" t="s">
        <v>2385</v>
      </c>
      <c r="B674" t="s">
        <v>16</v>
      </c>
      <c r="C674" t="s">
        <v>3913</v>
      </c>
      <c r="D674" t="s">
        <v>3914</v>
      </c>
      <c r="E674" t="s">
        <v>3915</v>
      </c>
      <c r="F674" t="s">
        <v>2442</v>
      </c>
      <c r="G674" t="s">
        <v>22</v>
      </c>
      <c r="H674" t="s">
        <v>22</v>
      </c>
      <c r="I674" t="s">
        <v>874</v>
      </c>
    </row>
    <row r="675" spans="1:9" ht="11.25" customHeight="1">
      <c r="A675" t="s">
        <v>2385</v>
      </c>
      <c r="B675" t="s">
        <v>16</v>
      </c>
      <c r="C675" t="s">
        <v>3916</v>
      </c>
      <c r="D675" t="s">
        <v>3917</v>
      </c>
      <c r="E675" t="s">
        <v>3918</v>
      </c>
      <c r="F675" t="s">
        <v>3440</v>
      </c>
      <c r="G675" t="s">
        <v>22</v>
      </c>
      <c r="H675" t="s">
        <v>22</v>
      </c>
      <c r="I675" t="s">
        <v>874</v>
      </c>
    </row>
    <row r="676" spans="1:9" ht="11.25" customHeight="1">
      <c r="A676" t="s">
        <v>2385</v>
      </c>
      <c r="B676" t="s">
        <v>16</v>
      </c>
      <c r="C676" t="s">
        <v>3919</v>
      </c>
      <c r="D676" t="s">
        <v>3920</v>
      </c>
      <c r="E676" t="s">
        <v>3921</v>
      </c>
      <c r="F676" t="s">
        <v>2659</v>
      </c>
      <c r="G676" t="s">
        <v>3922</v>
      </c>
      <c r="H676" t="s">
        <v>22</v>
      </c>
      <c r="I676" t="s">
        <v>874</v>
      </c>
    </row>
    <row r="677" spans="1:9" ht="11.25" customHeight="1">
      <c r="A677" t="s">
        <v>2385</v>
      </c>
      <c r="B677" t="s">
        <v>16</v>
      </c>
      <c r="C677" t="s">
        <v>2842</v>
      </c>
      <c r="D677" t="s">
        <v>2843</v>
      </c>
      <c r="E677" t="s">
        <v>2844</v>
      </c>
      <c r="F677" t="s">
        <v>2845</v>
      </c>
      <c r="G677" t="s">
        <v>22</v>
      </c>
      <c r="H677" t="s">
        <v>22</v>
      </c>
      <c r="I677" t="s">
        <v>874</v>
      </c>
    </row>
    <row r="678" spans="1:9" ht="11.25" customHeight="1">
      <c r="A678" t="s">
        <v>2385</v>
      </c>
      <c r="B678" t="s">
        <v>16</v>
      </c>
      <c r="C678" t="s">
        <v>3923</v>
      </c>
      <c r="D678" t="s">
        <v>3924</v>
      </c>
      <c r="E678" t="s">
        <v>3925</v>
      </c>
      <c r="F678" t="s">
        <v>2948</v>
      </c>
      <c r="G678" t="s">
        <v>22</v>
      </c>
      <c r="H678" t="s">
        <v>22</v>
      </c>
      <c r="I678" t="s">
        <v>874</v>
      </c>
    </row>
    <row r="679" spans="1:9" ht="11.25" customHeight="1">
      <c r="A679" t="s">
        <v>2385</v>
      </c>
      <c r="B679" t="s">
        <v>16</v>
      </c>
      <c r="C679" t="s">
        <v>2846</v>
      </c>
      <c r="D679" t="s">
        <v>2847</v>
      </c>
      <c r="E679" t="s">
        <v>2848</v>
      </c>
      <c r="F679" t="s">
        <v>2659</v>
      </c>
      <c r="G679" t="s">
        <v>22</v>
      </c>
      <c r="H679" t="s">
        <v>22</v>
      </c>
      <c r="I679" t="s">
        <v>874</v>
      </c>
    </row>
    <row r="680" spans="1:9" ht="11.25" customHeight="1">
      <c r="A680" t="s">
        <v>2385</v>
      </c>
      <c r="B680" t="s">
        <v>16</v>
      </c>
      <c r="C680" t="s">
        <v>3926</v>
      </c>
      <c r="D680" t="s">
        <v>3927</v>
      </c>
      <c r="E680" t="s">
        <v>3928</v>
      </c>
      <c r="F680" t="s">
        <v>2674</v>
      </c>
      <c r="G680" t="s">
        <v>22</v>
      </c>
      <c r="H680" t="s">
        <v>22</v>
      </c>
      <c r="I680" t="s">
        <v>874</v>
      </c>
    </row>
    <row r="681" spans="1:9" ht="11.25" customHeight="1">
      <c r="A681" t="s">
        <v>2385</v>
      </c>
      <c r="B681" t="s">
        <v>16</v>
      </c>
      <c r="C681" t="s">
        <v>2849</v>
      </c>
      <c r="D681" t="s">
        <v>2850</v>
      </c>
      <c r="E681" t="s">
        <v>2851</v>
      </c>
      <c r="F681" t="s">
        <v>2453</v>
      </c>
      <c r="G681" t="s">
        <v>22</v>
      </c>
      <c r="H681" t="s">
        <v>22</v>
      </c>
      <c r="I681" t="s">
        <v>874</v>
      </c>
    </row>
    <row r="682" spans="1:9" ht="11.25" customHeight="1">
      <c r="A682" t="s">
        <v>2385</v>
      </c>
      <c r="B682" t="s">
        <v>16</v>
      </c>
      <c r="C682" t="s">
        <v>3929</v>
      </c>
      <c r="D682" t="s">
        <v>2850</v>
      </c>
      <c r="E682" t="s">
        <v>3930</v>
      </c>
      <c r="F682" t="s">
        <v>3102</v>
      </c>
      <c r="G682" t="s">
        <v>22</v>
      </c>
      <c r="H682" t="s">
        <v>22</v>
      </c>
      <c r="I682" t="s">
        <v>874</v>
      </c>
    </row>
    <row r="683" spans="1:9" ht="11.25" customHeight="1">
      <c r="A683" t="s">
        <v>2385</v>
      </c>
      <c r="B683" t="s">
        <v>16</v>
      </c>
      <c r="C683" t="s">
        <v>3931</v>
      </c>
      <c r="D683" t="s">
        <v>3932</v>
      </c>
      <c r="E683" t="s">
        <v>3933</v>
      </c>
      <c r="F683" t="s">
        <v>2663</v>
      </c>
      <c r="G683" t="s">
        <v>22</v>
      </c>
      <c r="H683" t="s">
        <v>22</v>
      </c>
      <c r="I683" t="s">
        <v>874</v>
      </c>
    </row>
    <row r="684" spans="1:9" ht="11.25" customHeight="1">
      <c r="A684" t="s">
        <v>2385</v>
      </c>
      <c r="B684" t="s">
        <v>16</v>
      </c>
      <c r="C684" t="s">
        <v>2852</v>
      </c>
      <c r="D684" t="s">
        <v>2853</v>
      </c>
      <c r="E684" t="s">
        <v>2854</v>
      </c>
      <c r="F684" t="s">
        <v>2663</v>
      </c>
      <c r="G684" t="s">
        <v>22</v>
      </c>
      <c r="H684" t="s">
        <v>22</v>
      </c>
      <c r="I684" t="s">
        <v>874</v>
      </c>
    </row>
    <row r="685" spans="1:9" ht="11.25" customHeight="1">
      <c r="A685" t="s">
        <v>2385</v>
      </c>
      <c r="B685" t="s">
        <v>16</v>
      </c>
      <c r="C685" t="s">
        <v>3934</v>
      </c>
      <c r="D685" t="s">
        <v>3935</v>
      </c>
      <c r="E685" t="s">
        <v>3936</v>
      </c>
      <c r="F685" t="s">
        <v>2434</v>
      </c>
      <c r="G685" t="s">
        <v>3937</v>
      </c>
      <c r="H685" t="s">
        <v>22</v>
      </c>
      <c r="I685" t="s">
        <v>874</v>
      </c>
    </row>
    <row r="686" spans="1:9" ht="11.25" customHeight="1">
      <c r="A686" t="s">
        <v>2385</v>
      </c>
      <c r="B686" t="s">
        <v>16</v>
      </c>
      <c r="C686" t="s">
        <v>3938</v>
      </c>
      <c r="D686" t="s">
        <v>3939</v>
      </c>
      <c r="E686" t="s">
        <v>3940</v>
      </c>
      <c r="F686" t="s">
        <v>2576</v>
      </c>
      <c r="G686" t="s">
        <v>22</v>
      </c>
      <c r="H686" t="s">
        <v>22</v>
      </c>
      <c r="I686" t="s">
        <v>874</v>
      </c>
    </row>
    <row r="687" spans="1:9" ht="11.25" customHeight="1">
      <c r="A687" t="s">
        <v>2385</v>
      </c>
      <c r="B687" t="s">
        <v>16</v>
      </c>
      <c r="C687" t="s">
        <v>3941</v>
      </c>
      <c r="D687" t="s">
        <v>3942</v>
      </c>
      <c r="E687" t="s">
        <v>3943</v>
      </c>
      <c r="F687" t="s">
        <v>3102</v>
      </c>
      <c r="G687" t="s">
        <v>22</v>
      </c>
      <c r="H687" t="s">
        <v>22</v>
      </c>
      <c r="I687" t="s">
        <v>874</v>
      </c>
    </row>
    <row r="688" spans="1:9" ht="11.25" customHeight="1">
      <c r="A688" t="s">
        <v>2385</v>
      </c>
      <c r="B688" t="s">
        <v>16</v>
      </c>
      <c r="C688" t="s">
        <v>3944</v>
      </c>
      <c r="D688" t="s">
        <v>3945</v>
      </c>
      <c r="E688" t="s">
        <v>3946</v>
      </c>
      <c r="F688" t="s">
        <v>2911</v>
      </c>
      <c r="G688" t="s">
        <v>22</v>
      </c>
      <c r="H688" t="s">
        <v>22</v>
      </c>
      <c r="I688" t="s">
        <v>874</v>
      </c>
    </row>
    <row r="689" spans="1:9" ht="11.25" customHeight="1">
      <c r="A689" t="s">
        <v>2385</v>
      </c>
      <c r="B689" t="s">
        <v>16</v>
      </c>
      <c r="C689" t="s">
        <v>2858</v>
      </c>
      <c r="D689" t="s">
        <v>2859</v>
      </c>
      <c r="E689" t="s">
        <v>2860</v>
      </c>
      <c r="F689" t="s">
        <v>2837</v>
      </c>
      <c r="G689" t="s">
        <v>22</v>
      </c>
      <c r="H689" t="s">
        <v>22</v>
      </c>
      <c r="I689" t="s">
        <v>874</v>
      </c>
    </row>
    <row r="690" spans="1:9" ht="11.25" customHeight="1">
      <c r="A690" t="s">
        <v>2385</v>
      </c>
      <c r="B690" t="s">
        <v>16</v>
      </c>
      <c r="C690" t="s">
        <v>2861</v>
      </c>
      <c r="D690" t="s">
        <v>2862</v>
      </c>
      <c r="E690" t="s">
        <v>2863</v>
      </c>
      <c r="F690" t="s">
        <v>2667</v>
      </c>
      <c r="G690" t="s">
        <v>22</v>
      </c>
      <c r="H690" t="s">
        <v>22</v>
      </c>
      <c r="I690" t="s">
        <v>874</v>
      </c>
    </row>
    <row r="691" spans="1:9" ht="11.25" customHeight="1">
      <c r="A691" t="s">
        <v>2385</v>
      </c>
      <c r="B691" t="s">
        <v>16</v>
      </c>
      <c r="C691" t="s">
        <v>2864</v>
      </c>
      <c r="D691" t="s">
        <v>2865</v>
      </c>
      <c r="E691" t="s">
        <v>2866</v>
      </c>
      <c r="F691" t="s">
        <v>2819</v>
      </c>
      <c r="G691" t="s">
        <v>22</v>
      </c>
      <c r="H691" t="s">
        <v>22</v>
      </c>
      <c r="I691" t="s">
        <v>874</v>
      </c>
    </row>
    <row r="692" spans="1:9" ht="11.25" customHeight="1">
      <c r="A692" t="s">
        <v>2385</v>
      </c>
      <c r="B692" t="s">
        <v>16</v>
      </c>
      <c r="C692" t="s">
        <v>2867</v>
      </c>
      <c r="D692" t="s">
        <v>2868</v>
      </c>
      <c r="E692" t="s">
        <v>2869</v>
      </c>
      <c r="F692" t="s">
        <v>2819</v>
      </c>
      <c r="G692" t="s">
        <v>22</v>
      </c>
      <c r="H692" t="s">
        <v>22</v>
      </c>
      <c r="I692" t="s">
        <v>874</v>
      </c>
    </row>
    <row r="693" spans="1:9" ht="11.25" customHeight="1">
      <c r="A693" t="s">
        <v>2385</v>
      </c>
      <c r="B693" t="s">
        <v>16</v>
      </c>
      <c r="C693" t="s">
        <v>2870</v>
      </c>
      <c r="D693" t="s">
        <v>2871</v>
      </c>
      <c r="E693" t="s">
        <v>2872</v>
      </c>
      <c r="F693" t="s">
        <v>2819</v>
      </c>
      <c r="G693" t="s">
        <v>22</v>
      </c>
      <c r="H693" t="s">
        <v>22</v>
      </c>
      <c r="I693" t="s">
        <v>874</v>
      </c>
    </row>
    <row r="694" spans="1:9" ht="11.25" customHeight="1">
      <c r="A694" t="s">
        <v>2385</v>
      </c>
      <c r="B694" t="s">
        <v>16</v>
      </c>
      <c r="C694" t="s">
        <v>2873</v>
      </c>
      <c r="D694" t="s">
        <v>2874</v>
      </c>
      <c r="E694" t="s">
        <v>2875</v>
      </c>
      <c r="F694" t="s">
        <v>2819</v>
      </c>
      <c r="G694" t="s">
        <v>22</v>
      </c>
      <c r="H694" t="s">
        <v>22</v>
      </c>
      <c r="I694" t="s">
        <v>874</v>
      </c>
    </row>
    <row r="695" spans="1:9" ht="11.25" customHeight="1">
      <c r="A695" t="s">
        <v>2385</v>
      </c>
      <c r="B695" t="s">
        <v>16</v>
      </c>
      <c r="C695" t="s">
        <v>2876</v>
      </c>
      <c r="D695" t="s">
        <v>2877</v>
      </c>
      <c r="E695" t="s">
        <v>2878</v>
      </c>
      <c r="F695" t="s">
        <v>2819</v>
      </c>
      <c r="G695" t="s">
        <v>22</v>
      </c>
      <c r="H695" t="s">
        <v>22</v>
      </c>
      <c r="I695" t="s">
        <v>874</v>
      </c>
    </row>
    <row r="696" spans="1:9" ht="11.25" customHeight="1">
      <c r="A696" t="s">
        <v>2385</v>
      </c>
      <c r="B696" t="s">
        <v>16</v>
      </c>
      <c r="C696" t="s">
        <v>2879</v>
      </c>
      <c r="D696" t="s">
        <v>2880</v>
      </c>
      <c r="E696" t="s">
        <v>2881</v>
      </c>
      <c r="F696" t="s">
        <v>2819</v>
      </c>
      <c r="G696" t="s">
        <v>22</v>
      </c>
      <c r="H696" t="s">
        <v>22</v>
      </c>
      <c r="I696" t="s">
        <v>874</v>
      </c>
    </row>
    <row r="697" spans="1:9" ht="11.25" customHeight="1">
      <c r="A697" t="s">
        <v>2385</v>
      </c>
      <c r="B697" t="s">
        <v>16</v>
      </c>
      <c r="C697" t="s">
        <v>2882</v>
      </c>
      <c r="D697" t="s">
        <v>2883</v>
      </c>
      <c r="E697" t="s">
        <v>2884</v>
      </c>
      <c r="F697" t="s">
        <v>2484</v>
      </c>
      <c r="G697" t="s">
        <v>22</v>
      </c>
      <c r="H697" t="s">
        <v>22</v>
      </c>
      <c r="I697" t="s">
        <v>874</v>
      </c>
    </row>
    <row r="698" spans="1:9" ht="11.25" customHeight="1">
      <c r="A698" t="s">
        <v>2385</v>
      </c>
      <c r="B698" t="s">
        <v>16</v>
      </c>
      <c r="C698" t="s">
        <v>2885</v>
      </c>
      <c r="D698" t="s">
        <v>2886</v>
      </c>
      <c r="E698" t="s">
        <v>2887</v>
      </c>
      <c r="F698" t="s">
        <v>2819</v>
      </c>
      <c r="G698" t="s">
        <v>22</v>
      </c>
      <c r="H698" t="s">
        <v>22</v>
      </c>
      <c r="I698" t="s">
        <v>874</v>
      </c>
    </row>
    <row r="699" spans="1:9" ht="11.25" customHeight="1">
      <c r="A699" t="s">
        <v>2385</v>
      </c>
      <c r="B699" t="s">
        <v>16</v>
      </c>
      <c r="C699" t="s">
        <v>2888</v>
      </c>
      <c r="D699" t="s">
        <v>2889</v>
      </c>
      <c r="E699" t="s">
        <v>2890</v>
      </c>
      <c r="F699" t="s">
        <v>2891</v>
      </c>
      <c r="G699" t="s">
        <v>22</v>
      </c>
      <c r="H699" t="s">
        <v>22</v>
      </c>
      <c r="I699" t="s">
        <v>874</v>
      </c>
    </row>
    <row r="700" spans="1:9" ht="11.25" customHeight="1">
      <c r="A700" t="s">
        <v>2385</v>
      </c>
      <c r="B700" t="s">
        <v>16</v>
      </c>
      <c r="C700" t="s">
        <v>2892</v>
      </c>
      <c r="D700" t="s">
        <v>2893</v>
      </c>
      <c r="E700" t="s">
        <v>2894</v>
      </c>
      <c r="F700" t="s">
        <v>2819</v>
      </c>
      <c r="G700" t="s">
        <v>22</v>
      </c>
      <c r="H700" t="s">
        <v>22</v>
      </c>
      <c r="I700" t="s">
        <v>874</v>
      </c>
    </row>
    <row r="701" spans="1:9" ht="11.25" customHeight="1">
      <c r="A701" t="s">
        <v>2385</v>
      </c>
      <c r="B701" t="s">
        <v>16</v>
      </c>
      <c r="C701" t="s">
        <v>2895</v>
      </c>
      <c r="D701" t="s">
        <v>2896</v>
      </c>
      <c r="E701" t="s">
        <v>2897</v>
      </c>
      <c r="F701" t="s">
        <v>2898</v>
      </c>
      <c r="G701" t="s">
        <v>22</v>
      </c>
      <c r="H701" t="s">
        <v>22</v>
      </c>
      <c r="I701" t="s">
        <v>874</v>
      </c>
    </row>
    <row r="702" spans="1:9" ht="11.25" customHeight="1">
      <c r="A702" t="s">
        <v>2385</v>
      </c>
      <c r="B702" t="s">
        <v>16</v>
      </c>
      <c r="C702" t="s">
        <v>3947</v>
      </c>
      <c r="D702" t="s">
        <v>3948</v>
      </c>
      <c r="E702" t="s">
        <v>3949</v>
      </c>
      <c r="F702" t="s">
        <v>2771</v>
      </c>
      <c r="G702" t="s">
        <v>22</v>
      </c>
      <c r="H702" t="s">
        <v>22</v>
      </c>
      <c r="I702" t="s">
        <v>874</v>
      </c>
    </row>
    <row r="703" spans="1:9" ht="11.25" customHeight="1">
      <c r="A703" t="s">
        <v>2385</v>
      </c>
      <c r="B703" t="s">
        <v>16</v>
      </c>
      <c r="C703" t="s">
        <v>2899</v>
      </c>
      <c r="D703" t="s">
        <v>2900</v>
      </c>
      <c r="E703" t="s">
        <v>2901</v>
      </c>
      <c r="F703" t="s">
        <v>2640</v>
      </c>
      <c r="G703" t="s">
        <v>22</v>
      </c>
      <c r="H703" t="s">
        <v>22</v>
      </c>
      <c r="I703" t="s">
        <v>874</v>
      </c>
    </row>
    <row r="704" spans="1:9" ht="11.25" customHeight="1">
      <c r="A704" t="s">
        <v>2385</v>
      </c>
      <c r="B704" t="s">
        <v>16</v>
      </c>
      <c r="C704" t="s">
        <v>3950</v>
      </c>
      <c r="D704" t="s">
        <v>3951</v>
      </c>
      <c r="E704" t="s">
        <v>3952</v>
      </c>
      <c r="F704" t="s">
        <v>2995</v>
      </c>
      <c r="G704" t="s">
        <v>22</v>
      </c>
      <c r="H704" t="s">
        <v>22</v>
      </c>
      <c r="I704" t="s">
        <v>874</v>
      </c>
    </row>
    <row r="705" spans="1:9" ht="11.25" customHeight="1">
      <c r="A705" t="s">
        <v>2385</v>
      </c>
      <c r="B705" t="s">
        <v>16</v>
      </c>
      <c r="C705" t="s">
        <v>2902</v>
      </c>
      <c r="D705" t="s">
        <v>2903</v>
      </c>
      <c r="E705" t="s">
        <v>2904</v>
      </c>
      <c r="F705" t="s">
        <v>2663</v>
      </c>
      <c r="G705" t="s">
        <v>22</v>
      </c>
      <c r="H705" t="s">
        <v>22</v>
      </c>
      <c r="I705" t="s">
        <v>874</v>
      </c>
    </row>
    <row r="706" spans="1:9" ht="11.25" customHeight="1">
      <c r="A706" t="s">
        <v>2385</v>
      </c>
      <c r="B706" t="s">
        <v>16</v>
      </c>
      <c r="C706" t="s">
        <v>2905</v>
      </c>
      <c r="D706" t="s">
        <v>2906</v>
      </c>
      <c r="E706" t="s">
        <v>2907</v>
      </c>
      <c r="F706" t="s">
        <v>2434</v>
      </c>
      <c r="G706" t="s">
        <v>22</v>
      </c>
      <c r="H706" t="s">
        <v>22</v>
      </c>
      <c r="I706" t="s">
        <v>874</v>
      </c>
    </row>
    <row r="707" spans="1:9" ht="11.25" customHeight="1">
      <c r="A707" t="s">
        <v>2385</v>
      </c>
      <c r="B707" t="s">
        <v>16</v>
      </c>
      <c r="C707" t="s">
        <v>3953</v>
      </c>
      <c r="D707" t="s">
        <v>3954</v>
      </c>
      <c r="E707" t="s">
        <v>3955</v>
      </c>
      <c r="F707" t="s">
        <v>2955</v>
      </c>
      <c r="G707" t="s">
        <v>22</v>
      </c>
      <c r="H707" t="s">
        <v>22</v>
      </c>
      <c r="I707" t="s">
        <v>874</v>
      </c>
    </row>
    <row r="708" spans="1:9" ht="11.25" customHeight="1">
      <c r="A708" t="s">
        <v>2385</v>
      </c>
      <c r="B708" t="s">
        <v>16</v>
      </c>
      <c r="C708" t="s">
        <v>3956</v>
      </c>
      <c r="D708" t="s">
        <v>3957</v>
      </c>
      <c r="E708" t="s">
        <v>3958</v>
      </c>
      <c r="F708" t="s">
        <v>2663</v>
      </c>
      <c r="G708" t="s">
        <v>22</v>
      </c>
      <c r="H708" t="s">
        <v>22</v>
      </c>
      <c r="I708" t="s">
        <v>874</v>
      </c>
    </row>
    <row r="709" spans="1:9" ht="11.25" customHeight="1">
      <c r="A709" t="s">
        <v>2385</v>
      </c>
      <c r="B709" t="s">
        <v>16</v>
      </c>
      <c r="C709" t="s">
        <v>2908</v>
      </c>
      <c r="D709" t="s">
        <v>2909</v>
      </c>
      <c r="E709" t="s">
        <v>2910</v>
      </c>
      <c r="F709" t="s">
        <v>2911</v>
      </c>
      <c r="G709" t="s">
        <v>22</v>
      </c>
      <c r="H709" t="s">
        <v>22</v>
      </c>
      <c r="I709" t="s">
        <v>874</v>
      </c>
    </row>
    <row r="710" spans="1:9" ht="11.25" customHeight="1">
      <c r="A710" t="s">
        <v>2385</v>
      </c>
      <c r="B710" t="s">
        <v>16</v>
      </c>
      <c r="C710" t="s">
        <v>2912</v>
      </c>
      <c r="D710" t="s">
        <v>2913</v>
      </c>
      <c r="E710" t="s">
        <v>2914</v>
      </c>
      <c r="F710" t="s">
        <v>2667</v>
      </c>
      <c r="G710" t="s">
        <v>22</v>
      </c>
      <c r="H710" t="s">
        <v>22</v>
      </c>
      <c r="I710" t="s">
        <v>874</v>
      </c>
    </row>
    <row r="711" spans="1:9" ht="11.25" customHeight="1">
      <c r="A711" t="s">
        <v>2385</v>
      </c>
      <c r="B711" t="s">
        <v>16</v>
      </c>
      <c r="C711" t="s">
        <v>2918</v>
      </c>
      <c r="D711" t="s">
        <v>2919</v>
      </c>
      <c r="E711" t="s">
        <v>2920</v>
      </c>
      <c r="F711" t="s">
        <v>2663</v>
      </c>
      <c r="G711" t="s">
        <v>22</v>
      </c>
      <c r="H711" t="s">
        <v>22</v>
      </c>
      <c r="I711" t="s">
        <v>874</v>
      </c>
    </row>
    <row r="712" spans="1:9" ht="11.25" customHeight="1">
      <c r="A712" t="s">
        <v>2385</v>
      </c>
      <c r="B712" t="s">
        <v>16</v>
      </c>
      <c r="C712" t="s">
        <v>3959</v>
      </c>
      <c r="D712" t="s">
        <v>3960</v>
      </c>
      <c r="E712" t="s">
        <v>3961</v>
      </c>
      <c r="F712" t="s">
        <v>2647</v>
      </c>
      <c r="G712" t="s">
        <v>22</v>
      </c>
      <c r="H712" t="s">
        <v>22</v>
      </c>
      <c r="I712" t="s">
        <v>874</v>
      </c>
    </row>
    <row r="713" spans="1:9" ht="11.25" customHeight="1">
      <c r="A713" t="s">
        <v>2385</v>
      </c>
      <c r="B713" t="s">
        <v>16</v>
      </c>
      <c r="C713" t="s">
        <v>3962</v>
      </c>
      <c r="D713" t="s">
        <v>3963</v>
      </c>
      <c r="E713" t="s">
        <v>3964</v>
      </c>
      <c r="F713" t="s">
        <v>2647</v>
      </c>
      <c r="G713" t="s">
        <v>22</v>
      </c>
      <c r="H713" t="s">
        <v>22</v>
      </c>
      <c r="I713" t="s">
        <v>874</v>
      </c>
    </row>
    <row r="714" spans="1:9" ht="11.25" customHeight="1">
      <c r="A714" t="s">
        <v>2385</v>
      </c>
      <c r="B714" t="s">
        <v>16</v>
      </c>
      <c r="C714" t="s">
        <v>2921</v>
      </c>
      <c r="D714" t="s">
        <v>2922</v>
      </c>
      <c r="E714" t="s">
        <v>2923</v>
      </c>
      <c r="F714" t="s">
        <v>2484</v>
      </c>
      <c r="G714" t="s">
        <v>22</v>
      </c>
      <c r="H714" t="s">
        <v>22</v>
      </c>
      <c r="I714" t="s">
        <v>874</v>
      </c>
    </row>
    <row r="715" spans="1:9" ht="11.25" customHeight="1">
      <c r="A715" t="s">
        <v>2385</v>
      </c>
      <c r="B715" t="s">
        <v>16</v>
      </c>
      <c r="C715" t="s">
        <v>2924</v>
      </c>
      <c r="D715" t="s">
        <v>2925</v>
      </c>
      <c r="E715" t="s">
        <v>2926</v>
      </c>
      <c r="F715" t="s">
        <v>2434</v>
      </c>
      <c r="G715" t="s">
        <v>22</v>
      </c>
      <c r="H715" t="s">
        <v>22</v>
      </c>
      <c r="I715" t="s">
        <v>874</v>
      </c>
    </row>
    <row r="716" spans="1:9" ht="11.25" customHeight="1">
      <c r="A716" t="s">
        <v>2385</v>
      </c>
      <c r="B716" t="s">
        <v>16</v>
      </c>
      <c r="C716" t="s">
        <v>2927</v>
      </c>
      <c r="D716" t="s">
        <v>2928</v>
      </c>
      <c r="E716" t="s">
        <v>2929</v>
      </c>
      <c r="F716" t="s">
        <v>2434</v>
      </c>
      <c r="G716" t="s">
        <v>22</v>
      </c>
      <c r="H716" t="s">
        <v>22</v>
      </c>
      <c r="I716" t="s">
        <v>874</v>
      </c>
    </row>
    <row r="717" spans="1:9" ht="11.25" customHeight="1">
      <c r="A717" t="s">
        <v>2385</v>
      </c>
      <c r="B717" t="s">
        <v>16</v>
      </c>
      <c r="C717" t="s">
        <v>3965</v>
      </c>
      <c r="D717" t="s">
        <v>3966</v>
      </c>
      <c r="E717" t="s">
        <v>3967</v>
      </c>
      <c r="F717" t="s">
        <v>2663</v>
      </c>
      <c r="G717" t="s">
        <v>22</v>
      </c>
      <c r="H717" t="s">
        <v>22</v>
      </c>
      <c r="I717" t="s">
        <v>874</v>
      </c>
    </row>
    <row r="718" spans="1:9" ht="11.25" customHeight="1">
      <c r="A718" t="s">
        <v>2385</v>
      </c>
      <c r="B718" t="s">
        <v>16</v>
      </c>
      <c r="C718" t="s">
        <v>3968</v>
      </c>
      <c r="D718" t="s">
        <v>3969</v>
      </c>
      <c r="E718" t="s">
        <v>3970</v>
      </c>
      <c r="F718" t="s">
        <v>2763</v>
      </c>
      <c r="G718" t="s">
        <v>3971</v>
      </c>
      <c r="H718" t="s">
        <v>22</v>
      </c>
      <c r="I718" t="s">
        <v>874</v>
      </c>
    </row>
    <row r="719" spans="1:9" ht="11.25" customHeight="1">
      <c r="A719" t="s">
        <v>2385</v>
      </c>
      <c r="B719" t="s">
        <v>16</v>
      </c>
      <c r="C719" t="s">
        <v>2936</v>
      </c>
      <c r="D719" t="s">
        <v>2937</v>
      </c>
      <c r="E719" t="s">
        <v>2938</v>
      </c>
      <c r="F719" t="s">
        <v>2659</v>
      </c>
      <c r="G719" t="s">
        <v>22</v>
      </c>
      <c r="H719" t="s">
        <v>22</v>
      </c>
      <c r="I719" t="s">
        <v>874</v>
      </c>
    </row>
    <row r="720" spans="1:9" ht="11.25" customHeight="1">
      <c r="A720" t="s">
        <v>2385</v>
      </c>
      <c r="B720" t="s">
        <v>16</v>
      </c>
      <c r="C720" t="s">
        <v>2939</v>
      </c>
      <c r="D720" t="s">
        <v>2940</v>
      </c>
      <c r="E720" t="s">
        <v>2941</v>
      </c>
      <c r="F720" t="s">
        <v>2655</v>
      </c>
      <c r="G720" t="s">
        <v>22</v>
      </c>
      <c r="H720" t="s">
        <v>22</v>
      </c>
      <c r="I720" t="s">
        <v>874</v>
      </c>
    </row>
    <row r="721" spans="1:9" ht="11.25" customHeight="1">
      <c r="A721" t="s">
        <v>2385</v>
      </c>
      <c r="B721" t="s">
        <v>16</v>
      </c>
      <c r="C721" t="s">
        <v>3972</v>
      </c>
      <c r="D721" t="s">
        <v>3973</v>
      </c>
      <c r="E721" t="s">
        <v>3974</v>
      </c>
      <c r="F721" t="s">
        <v>2663</v>
      </c>
      <c r="G721" t="s">
        <v>22</v>
      </c>
      <c r="H721" t="s">
        <v>22</v>
      </c>
      <c r="I721" t="s">
        <v>874</v>
      </c>
    </row>
    <row r="722" spans="1:9" ht="11.25" customHeight="1">
      <c r="A722" t="s">
        <v>2385</v>
      </c>
      <c r="B722" t="s">
        <v>16</v>
      </c>
      <c r="C722" t="s">
        <v>2942</v>
      </c>
      <c r="D722" t="s">
        <v>2943</v>
      </c>
      <c r="E722" t="s">
        <v>2944</v>
      </c>
      <c r="F722" t="s">
        <v>2819</v>
      </c>
      <c r="G722" t="s">
        <v>22</v>
      </c>
      <c r="H722" t="s">
        <v>22</v>
      </c>
      <c r="I722" t="s">
        <v>874</v>
      </c>
    </row>
    <row r="723" spans="1:9" ht="11.25" customHeight="1">
      <c r="A723" t="s">
        <v>2385</v>
      </c>
      <c r="B723" t="s">
        <v>16</v>
      </c>
      <c r="C723" t="s">
        <v>2945</v>
      </c>
      <c r="D723" t="s">
        <v>2946</v>
      </c>
      <c r="E723" t="s">
        <v>2947</v>
      </c>
      <c r="F723" t="s">
        <v>2948</v>
      </c>
      <c r="G723" t="s">
        <v>22</v>
      </c>
      <c r="H723" t="s">
        <v>22</v>
      </c>
      <c r="I723" t="s">
        <v>874</v>
      </c>
    </row>
    <row r="724" spans="1:9" ht="11.25" customHeight="1">
      <c r="A724" t="s">
        <v>2385</v>
      </c>
      <c r="B724" t="s">
        <v>16</v>
      </c>
      <c r="C724" t="s">
        <v>2949</v>
      </c>
      <c r="D724" t="s">
        <v>2950</v>
      </c>
      <c r="E724" t="s">
        <v>2951</v>
      </c>
      <c r="F724" t="s">
        <v>2442</v>
      </c>
      <c r="G724" t="s">
        <v>22</v>
      </c>
      <c r="H724" t="s">
        <v>22</v>
      </c>
      <c r="I724" t="s">
        <v>874</v>
      </c>
    </row>
    <row r="725" spans="1:9" ht="11.25" customHeight="1">
      <c r="A725" t="s">
        <v>2385</v>
      </c>
      <c r="B725" t="s">
        <v>16</v>
      </c>
      <c r="C725" t="s">
        <v>2956</v>
      </c>
      <c r="D725" t="s">
        <v>2957</v>
      </c>
      <c r="E725" t="s">
        <v>2958</v>
      </c>
      <c r="F725" t="s">
        <v>2819</v>
      </c>
      <c r="G725" t="s">
        <v>22</v>
      </c>
      <c r="H725" t="s">
        <v>22</v>
      </c>
      <c r="I725" t="s">
        <v>874</v>
      </c>
    </row>
    <row r="726" spans="1:9" ht="11.25" customHeight="1">
      <c r="A726" t="s">
        <v>2385</v>
      </c>
      <c r="B726" t="s">
        <v>16</v>
      </c>
      <c r="C726" t="s">
        <v>2962</v>
      </c>
      <c r="D726" t="s">
        <v>2963</v>
      </c>
      <c r="E726" t="s">
        <v>2964</v>
      </c>
      <c r="F726" t="s">
        <v>2837</v>
      </c>
      <c r="G726" t="s">
        <v>22</v>
      </c>
      <c r="H726" t="s">
        <v>22</v>
      </c>
      <c r="I726" t="s">
        <v>874</v>
      </c>
    </row>
    <row r="727" spans="1:9" ht="11.25" customHeight="1">
      <c r="A727" t="s">
        <v>2385</v>
      </c>
      <c r="B727" t="s">
        <v>16</v>
      </c>
      <c r="C727" t="s">
        <v>2965</v>
      </c>
      <c r="D727" t="s">
        <v>2966</v>
      </c>
      <c r="E727" t="s">
        <v>2967</v>
      </c>
      <c r="F727" t="s">
        <v>2968</v>
      </c>
      <c r="G727" t="s">
        <v>22</v>
      </c>
      <c r="H727" t="s">
        <v>22</v>
      </c>
      <c r="I727" t="s">
        <v>874</v>
      </c>
    </row>
    <row r="728" spans="1:9" ht="11.25" customHeight="1">
      <c r="A728" t="s">
        <v>2385</v>
      </c>
      <c r="B728" t="s">
        <v>16</v>
      </c>
      <c r="C728" t="s">
        <v>3975</v>
      </c>
      <c r="D728" t="s">
        <v>3976</v>
      </c>
      <c r="E728" t="s">
        <v>3977</v>
      </c>
      <c r="F728" t="s">
        <v>3027</v>
      </c>
      <c r="G728" t="s">
        <v>22</v>
      </c>
      <c r="H728" t="s">
        <v>22</v>
      </c>
      <c r="I728" t="s">
        <v>874</v>
      </c>
    </row>
    <row r="729" spans="1:9" ht="11.25" customHeight="1">
      <c r="A729" t="s">
        <v>2385</v>
      </c>
      <c r="B729" t="s">
        <v>16</v>
      </c>
      <c r="C729" t="s">
        <v>2969</v>
      </c>
      <c r="D729" t="s">
        <v>2970</v>
      </c>
      <c r="E729" t="s">
        <v>2971</v>
      </c>
      <c r="F729" t="s">
        <v>2674</v>
      </c>
      <c r="G729" t="s">
        <v>22</v>
      </c>
      <c r="H729" t="s">
        <v>22</v>
      </c>
      <c r="I729" t="s">
        <v>874</v>
      </c>
    </row>
    <row r="730" spans="1:9" ht="11.25" customHeight="1">
      <c r="A730" t="s">
        <v>2385</v>
      </c>
      <c r="B730" t="s">
        <v>16</v>
      </c>
      <c r="C730" t="s">
        <v>2972</v>
      </c>
      <c r="D730" t="s">
        <v>2973</v>
      </c>
      <c r="E730" t="s">
        <v>2974</v>
      </c>
      <c r="F730" t="s">
        <v>2975</v>
      </c>
      <c r="G730" t="s">
        <v>22</v>
      </c>
      <c r="H730" t="s">
        <v>22</v>
      </c>
      <c r="I730" t="s">
        <v>874</v>
      </c>
    </row>
    <row r="731" spans="1:9" ht="11.25" customHeight="1">
      <c r="A731" t="s">
        <v>2385</v>
      </c>
      <c r="B731" t="s">
        <v>16</v>
      </c>
      <c r="C731" t="s">
        <v>3978</v>
      </c>
      <c r="D731" t="s">
        <v>3979</v>
      </c>
      <c r="E731" t="s">
        <v>3980</v>
      </c>
      <c r="F731" t="s">
        <v>2771</v>
      </c>
      <c r="G731" t="s">
        <v>3981</v>
      </c>
      <c r="H731" t="s">
        <v>22</v>
      </c>
      <c r="I731" t="s">
        <v>874</v>
      </c>
    </row>
    <row r="732" spans="1:9" ht="11.25" customHeight="1">
      <c r="A732" t="s">
        <v>2385</v>
      </c>
      <c r="B732" t="s">
        <v>16</v>
      </c>
      <c r="C732" t="s">
        <v>2976</v>
      </c>
      <c r="D732" t="s">
        <v>2977</v>
      </c>
      <c r="E732" t="s">
        <v>2978</v>
      </c>
      <c r="F732" t="s">
        <v>2453</v>
      </c>
      <c r="G732" t="s">
        <v>22</v>
      </c>
      <c r="H732" t="s">
        <v>22</v>
      </c>
      <c r="I732" t="s">
        <v>874</v>
      </c>
    </row>
    <row r="733" spans="1:9" ht="11.25" customHeight="1">
      <c r="A733" t="s">
        <v>2385</v>
      </c>
      <c r="B733" t="s">
        <v>16</v>
      </c>
      <c r="C733" t="s">
        <v>3982</v>
      </c>
      <c r="D733" t="s">
        <v>3983</v>
      </c>
      <c r="E733" t="s">
        <v>3984</v>
      </c>
      <c r="F733" t="s">
        <v>2771</v>
      </c>
      <c r="G733" t="s">
        <v>22</v>
      </c>
      <c r="H733" t="s">
        <v>22</v>
      </c>
      <c r="I733" t="s">
        <v>874</v>
      </c>
    </row>
    <row r="734" spans="1:9" ht="11.25" customHeight="1">
      <c r="A734" t="s">
        <v>2385</v>
      </c>
      <c r="B734" t="s">
        <v>16</v>
      </c>
      <c r="C734" t="s">
        <v>3985</v>
      </c>
      <c r="D734" t="s">
        <v>3986</v>
      </c>
      <c r="E734" t="s">
        <v>3987</v>
      </c>
      <c r="F734" t="s">
        <v>2667</v>
      </c>
      <c r="G734" t="s">
        <v>22</v>
      </c>
      <c r="H734" t="s">
        <v>22</v>
      </c>
      <c r="I734" t="s">
        <v>874</v>
      </c>
    </row>
    <row r="735" spans="1:9" ht="11.25" customHeight="1">
      <c r="A735" t="s">
        <v>2385</v>
      </c>
      <c r="B735" t="s">
        <v>16</v>
      </c>
      <c r="C735" t="s">
        <v>2979</v>
      </c>
      <c r="D735" t="s">
        <v>2980</v>
      </c>
      <c r="E735" t="s">
        <v>2981</v>
      </c>
      <c r="F735" t="s">
        <v>2651</v>
      </c>
      <c r="G735" t="s">
        <v>22</v>
      </c>
      <c r="H735" t="s">
        <v>22</v>
      </c>
      <c r="I735" t="s">
        <v>874</v>
      </c>
    </row>
    <row r="736" spans="1:9" ht="11.25" customHeight="1">
      <c r="A736" t="s">
        <v>2385</v>
      </c>
      <c r="B736" t="s">
        <v>16</v>
      </c>
      <c r="C736" t="s">
        <v>2982</v>
      </c>
      <c r="D736" t="s">
        <v>2983</v>
      </c>
      <c r="E736" t="s">
        <v>2984</v>
      </c>
      <c r="F736" t="s">
        <v>2771</v>
      </c>
      <c r="G736" t="s">
        <v>2985</v>
      </c>
      <c r="H736" t="s">
        <v>22</v>
      </c>
      <c r="I736" t="s">
        <v>874</v>
      </c>
    </row>
    <row r="737" spans="1:9" ht="11.25" customHeight="1">
      <c r="A737" t="s">
        <v>2385</v>
      </c>
      <c r="B737" t="s">
        <v>16</v>
      </c>
      <c r="C737" t="s">
        <v>2986</v>
      </c>
      <c r="D737" t="s">
        <v>2987</v>
      </c>
      <c r="E737" t="s">
        <v>2988</v>
      </c>
      <c r="F737" t="s">
        <v>2830</v>
      </c>
      <c r="G737" t="s">
        <v>22</v>
      </c>
      <c r="H737" t="s">
        <v>22</v>
      </c>
      <c r="I737" t="s">
        <v>874</v>
      </c>
    </row>
    <row r="738" spans="1:9" ht="11.25" customHeight="1">
      <c r="A738" t="s">
        <v>2385</v>
      </c>
      <c r="B738" t="s">
        <v>16</v>
      </c>
      <c r="C738" t="s">
        <v>2989</v>
      </c>
      <c r="D738" t="s">
        <v>2990</v>
      </c>
      <c r="E738" t="s">
        <v>2991</v>
      </c>
      <c r="F738" t="s">
        <v>2659</v>
      </c>
      <c r="G738" t="s">
        <v>22</v>
      </c>
      <c r="H738" t="s">
        <v>22</v>
      </c>
      <c r="I738" t="s">
        <v>874</v>
      </c>
    </row>
    <row r="739" spans="1:9" ht="11.25" customHeight="1">
      <c r="A739" t="s">
        <v>2385</v>
      </c>
      <c r="B739" t="s">
        <v>16</v>
      </c>
      <c r="C739" t="s">
        <v>2992</v>
      </c>
      <c r="D739" t="s">
        <v>2993</v>
      </c>
      <c r="E739" t="s">
        <v>2994</v>
      </c>
      <c r="F739" t="s">
        <v>2995</v>
      </c>
      <c r="G739" t="s">
        <v>22</v>
      </c>
      <c r="H739" t="s">
        <v>22</v>
      </c>
      <c r="I739" t="s">
        <v>874</v>
      </c>
    </row>
    <row r="740" spans="1:9" ht="11.25" customHeight="1">
      <c r="A740" t="s">
        <v>2385</v>
      </c>
      <c r="B740" t="s">
        <v>16</v>
      </c>
      <c r="C740" t="s">
        <v>2996</v>
      </c>
      <c r="D740" t="s">
        <v>2997</v>
      </c>
      <c r="E740" t="s">
        <v>2998</v>
      </c>
      <c r="F740" t="s">
        <v>2631</v>
      </c>
      <c r="G740" t="s">
        <v>22</v>
      </c>
      <c r="H740" t="s">
        <v>22</v>
      </c>
      <c r="I740" t="s">
        <v>874</v>
      </c>
    </row>
    <row r="741" spans="1:9" ht="11.25" customHeight="1">
      <c r="A741" t="s">
        <v>2385</v>
      </c>
      <c r="B741" t="s">
        <v>16</v>
      </c>
      <c r="C741" t="s">
        <v>2999</v>
      </c>
      <c r="D741" t="s">
        <v>3000</v>
      </c>
      <c r="E741" t="s">
        <v>3001</v>
      </c>
      <c r="F741" t="s">
        <v>3002</v>
      </c>
      <c r="G741" t="s">
        <v>22</v>
      </c>
      <c r="H741" t="s">
        <v>22</v>
      </c>
      <c r="I741" t="s">
        <v>874</v>
      </c>
    </row>
    <row r="742" spans="1:9" ht="11.25" customHeight="1">
      <c r="A742" t="s">
        <v>2385</v>
      </c>
      <c r="B742" t="s">
        <v>16</v>
      </c>
      <c r="C742" t="s">
        <v>3003</v>
      </c>
      <c r="D742" t="s">
        <v>3004</v>
      </c>
      <c r="E742" t="s">
        <v>3005</v>
      </c>
      <c r="F742" t="s">
        <v>2667</v>
      </c>
      <c r="G742" t="s">
        <v>3006</v>
      </c>
      <c r="H742" t="s">
        <v>22</v>
      </c>
      <c r="I742" t="s">
        <v>874</v>
      </c>
    </row>
    <row r="743" spans="1:9" ht="11.25" customHeight="1">
      <c r="A743" t="s">
        <v>2385</v>
      </c>
      <c r="B743" t="s">
        <v>16</v>
      </c>
      <c r="C743" t="s">
        <v>3007</v>
      </c>
      <c r="D743" t="s">
        <v>3008</v>
      </c>
      <c r="E743" t="s">
        <v>3009</v>
      </c>
      <c r="F743" t="s">
        <v>2667</v>
      </c>
      <c r="G743" t="s">
        <v>22</v>
      </c>
      <c r="H743" t="s">
        <v>22</v>
      </c>
      <c r="I743" t="s">
        <v>874</v>
      </c>
    </row>
    <row r="744" spans="1:9" ht="11.25" customHeight="1">
      <c r="A744" t="s">
        <v>2385</v>
      </c>
      <c r="B744" t="s">
        <v>16</v>
      </c>
      <c r="C744" t="s">
        <v>3010</v>
      </c>
      <c r="D744" t="s">
        <v>3011</v>
      </c>
      <c r="E744" t="s">
        <v>3012</v>
      </c>
      <c r="F744" t="s">
        <v>3013</v>
      </c>
      <c r="G744" t="s">
        <v>22</v>
      </c>
      <c r="H744" t="s">
        <v>22</v>
      </c>
      <c r="I744" t="s">
        <v>874</v>
      </c>
    </row>
    <row r="745" spans="1:9" ht="11.25" customHeight="1">
      <c r="A745" t="s">
        <v>2385</v>
      </c>
      <c r="B745" t="s">
        <v>16</v>
      </c>
      <c r="C745" t="s">
        <v>3014</v>
      </c>
      <c r="D745" t="s">
        <v>3015</v>
      </c>
      <c r="E745" t="s">
        <v>3016</v>
      </c>
      <c r="F745" t="s">
        <v>2819</v>
      </c>
      <c r="G745" t="s">
        <v>22</v>
      </c>
      <c r="H745" t="s">
        <v>22</v>
      </c>
      <c r="I745" t="s">
        <v>874</v>
      </c>
    </row>
    <row r="746" spans="1:9" ht="11.25" customHeight="1">
      <c r="A746" t="s">
        <v>2385</v>
      </c>
      <c r="B746" t="s">
        <v>16</v>
      </c>
      <c r="C746" t="s">
        <v>3017</v>
      </c>
      <c r="D746" t="s">
        <v>3018</v>
      </c>
      <c r="E746" t="s">
        <v>3019</v>
      </c>
      <c r="F746" t="s">
        <v>2631</v>
      </c>
      <c r="G746" t="s">
        <v>3020</v>
      </c>
      <c r="H746" t="s">
        <v>22</v>
      </c>
      <c r="I746" t="s">
        <v>874</v>
      </c>
    </row>
    <row r="747" spans="1:9" ht="11.25" customHeight="1">
      <c r="A747" t="s">
        <v>2385</v>
      </c>
      <c r="B747" t="s">
        <v>16</v>
      </c>
      <c r="C747" t="s">
        <v>3021</v>
      </c>
      <c r="D747" t="s">
        <v>3022</v>
      </c>
      <c r="E747" t="s">
        <v>3023</v>
      </c>
      <c r="F747" t="s">
        <v>2975</v>
      </c>
      <c r="G747" t="s">
        <v>22</v>
      </c>
      <c r="H747" t="s">
        <v>22</v>
      </c>
      <c r="I747" t="s">
        <v>874</v>
      </c>
    </row>
    <row r="748" spans="1:9" ht="11.25" customHeight="1">
      <c r="A748" t="s">
        <v>2385</v>
      </c>
      <c r="B748" t="s">
        <v>16</v>
      </c>
      <c r="C748" t="s">
        <v>3024</v>
      </c>
      <c r="D748" t="s">
        <v>3025</v>
      </c>
      <c r="E748" t="s">
        <v>3026</v>
      </c>
      <c r="F748" t="s">
        <v>3027</v>
      </c>
      <c r="G748" t="s">
        <v>22</v>
      </c>
      <c r="H748" t="s">
        <v>22</v>
      </c>
      <c r="I748" t="s">
        <v>874</v>
      </c>
    </row>
    <row r="749" spans="1:9" ht="11.25" customHeight="1">
      <c r="A749" t="s">
        <v>2385</v>
      </c>
      <c r="B749" t="s">
        <v>16</v>
      </c>
      <c r="C749" t="s">
        <v>3028</v>
      </c>
      <c r="D749" t="s">
        <v>3029</v>
      </c>
      <c r="E749" t="s">
        <v>3030</v>
      </c>
      <c r="F749" t="s">
        <v>2975</v>
      </c>
      <c r="G749" t="s">
        <v>22</v>
      </c>
      <c r="H749" t="s">
        <v>22</v>
      </c>
      <c r="I749" t="s">
        <v>874</v>
      </c>
    </row>
    <row r="750" spans="1:9" ht="11.25" customHeight="1">
      <c r="A750" t="s">
        <v>2385</v>
      </c>
      <c r="B750" t="s">
        <v>16</v>
      </c>
      <c r="C750" t="s">
        <v>3031</v>
      </c>
      <c r="D750" t="s">
        <v>3032</v>
      </c>
      <c r="E750" t="s">
        <v>3033</v>
      </c>
      <c r="F750" t="s">
        <v>2771</v>
      </c>
      <c r="G750" t="s">
        <v>3034</v>
      </c>
      <c r="H750" t="s">
        <v>3035</v>
      </c>
      <c r="I750" t="s">
        <v>874</v>
      </c>
    </row>
    <row r="751" spans="1:9" ht="11.25" customHeight="1">
      <c r="A751" t="s">
        <v>2385</v>
      </c>
      <c r="B751" t="s">
        <v>16</v>
      </c>
      <c r="C751" t="s">
        <v>3988</v>
      </c>
      <c r="D751" t="s">
        <v>3989</v>
      </c>
      <c r="E751" t="s">
        <v>3990</v>
      </c>
      <c r="F751" t="s">
        <v>3027</v>
      </c>
      <c r="G751" t="s">
        <v>22</v>
      </c>
      <c r="H751" t="s">
        <v>22</v>
      </c>
      <c r="I751" t="s">
        <v>874</v>
      </c>
    </row>
    <row r="752" spans="1:9" ht="11.25" customHeight="1">
      <c r="A752" t="s">
        <v>2385</v>
      </c>
      <c r="B752" t="s">
        <v>16</v>
      </c>
      <c r="C752" t="s">
        <v>3991</v>
      </c>
      <c r="D752" t="s">
        <v>3992</v>
      </c>
      <c r="E752" t="s">
        <v>3993</v>
      </c>
      <c r="F752" t="s">
        <v>3210</v>
      </c>
      <c r="G752" t="s">
        <v>22</v>
      </c>
      <c r="H752" t="s">
        <v>22</v>
      </c>
      <c r="I752" t="s">
        <v>874</v>
      </c>
    </row>
    <row r="753" spans="1:9" ht="11.25" customHeight="1">
      <c r="A753" t="s">
        <v>2385</v>
      </c>
      <c r="B753" t="s">
        <v>16</v>
      </c>
      <c r="C753" t="s">
        <v>3036</v>
      </c>
      <c r="D753" t="s">
        <v>3037</v>
      </c>
      <c r="E753" t="s">
        <v>3038</v>
      </c>
      <c r="F753" t="s">
        <v>2631</v>
      </c>
      <c r="G753" t="s">
        <v>3039</v>
      </c>
      <c r="H753" t="s">
        <v>22</v>
      </c>
      <c r="I753" t="s">
        <v>874</v>
      </c>
    </row>
    <row r="754" spans="1:9" ht="11.25" customHeight="1">
      <c r="A754" t="s">
        <v>2385</v>
      </c>
      <c r="B754" t="s">
        <v>16</v>
      </c>
      <c r="C754" t="s">
        <v>3055</v>
      </c>
      <c r="D754" t="s">
        <v>3056</v>
      </c>
      <c r="E754" t="s">
        <v>3057</v>
      </c>
      <c r="F754" t="s">
        <v>2631</v>
      </c>
      <c r="G754" t="s">
        <v>22</v>
      </c>
      <c r="H754" t="s">
        <v>22</v>
      </c>
      <c r="I754" t="s">
        <v>874</v>
      </c>
    </row>
    <row r="755" spans="1:9" ht="11.25" customHeight="1">
      <c r="A755" t="s">
        <v>2385</v>
      </c>
      <c r="B755" t="s">
        <v>16</v>
      </c>
      <c r="C755" t="s">
        <v>3067</v>
      </c>
      <c r="D755" t="s">
        <v>3068</v>
      </c>
      <c r="E755" t="s">
        <v>3069</v>
      </c>
      <c r="F755" t="s">
        <v>3070</v>
      </c>
      <c r="G755" t="s">
        <v>22</v>
      </c>
      <c r="H755" t="s">
        <v>22</v>
      </c>
      <c r="I755" t="s">
        <v>874</v>
      </c>
    </row>
    <row r="756" spans="1:9" ht="11.25" customHeight="1">
      <c r="A756" t="s">
        <v>2385</v>
      </c>
      <c r="B756" t="s">
        <v>16</v>
      </c>
      <c r="C756" t="s">
        <v>3994</v>
      </c>
      <c r="D756" t="s">
        <v>3995</v>
      </c>
      <c r="E756" t="s">
        <v>3996</v>
      </c>
      <c r="F756" t="s">
        <v>2667</v>
      </c>
      <c r="G756" t="s">
        <v>22</v>
      </c>
      <c r="H756" t="s">
        <v>22</v>
      </c>
      <c r="I756" t="s">
        <v>874</v>
      </c>
    </row>
    <row r="757" spans="1:9" ht="11.25" customHeight="1">
      <c r="A757" t="s">
        <v>2385</v>
      </c>
      <c r="B757" t="s">
        <v>16</v>
      </c>
      <c r="C757" t="s">
        <v>3092</v>
      </c>
      <c r="D757" t="s">
        <v>3093</v>
      </c>
      <c r="E757" t="s">
        <v>3094</v>
      </c>
      <c r="F757" t="s">
        <v>2508</v>
      </c>
      <c r="G757" t="s">
        <v>22</v>
      </c>
      <c r="H757" t="s">
        <v>22</v>
      </c>
      <c r="I757" t="s">
        <v>874</v>
      </c>
    </row>
    <row r="758" spans="1:9" ht="11.25" customHeight="1">
      <c r="A758" t="s">
        <v>2385</v>
      </c>
      <c r="B758" t="s">
        <v>16</v>
      </c>
      <c r="C758" t="s">
        <v>3095</v>
      </c>
      <c r="D758" t="s">
        <v>3096</v>
      </c>
      <c r="E758" t="s">
        <v>3097</v>
      </c>
      <c r="F758" t="s">
        <v>2667</v>
      </c>
      <c r="G758" t="s">
        <v>22</v>
      </c>
      <c r="H758" t="s">
        <v>3098</v>
      </c>
      <c r="I758" t="s">
        <v>874</v>
      </c>
    </row>
    <row r="759" spans="1:9" ht="11.25" customHeight="1">
      <c r="A759" t="s">
        <v>2385</v>
      </c>
      <c r="B759" t="s">
        <v>16</v>
      </c>
      <c r="C759" t="s">
        <v>3099</v>
      </c>
      <c r="D759" t="s">
        <v>3100</v>
      </c>
      <c r="E759" t="s">
        <v>3101</v>
      </c>
      <c r="F759" t="s">
        <v>3102</v>
      </c>
      <c r="G759" t="s">
        <v>22</v>
      </c>
      <c r="H759" t="s">
        <v>22</v>
      </c>
      <c r="I759" t="s">
        <v>874</v>
      </c>
    </row>
    <row r="760" spans="1:9" ht="11.25" customHeight="1">
      <c r="A760" t="s">
        <v>2385</v>
      </c>
      <c r="B760" t="s">
        <v>16</v>
      </c>
      <c r="C760" t="s">
        <v>3103</v>
      </c>
      <c r="D760" t="s">
        <v>3104</v>
      </c>
      <c r="E760" t="s">
        <v>3105</v>
      </c>
      <c r="F760" t="s">
        <v>2841</v>
      </c>
      <c r="G760" t="s">
        <v>22</v>
      </c>
      <c r="H760" t="s">
        <v>22</v>
      </c>
      <c r="I760" t="s">
        <v>874</v>
      </c>
    </row>
    <row r="761" spans="1:9" ht="11.25" customHeight="1">
      <c r="A761" t="s">
        <v>2385</v>
      </c>
      <c r="B761" t="s">
        <v>16</v>
      </c>
      <c r="C761" t="s">
        <v>3118</v>
      </c>
      <c r="D761" t="s">
        <v>3119</v>
      </c>
      <c r="E761" t="s">
        <v>3120</v>
      </c>
      <c r="F761" t="s">
        <v>2819</v>
      </c>
      <c r="G761" t="s">
        <v>22</v>
      </c>
      <c r="H761" t="s">
        <v>22</v>
      </c>
      <c r="I761" t="s">
        <v>874</v>
      </c>
    </row>
    <row r="762" spans="1:9" ht="11.25" customHeight="1">
      <c r="A762" t="s">
        <v>2385</v>
      </c>
      <c r="B762" t="s">
        <v>16</v>
      </c>
      <c r="C762" t="s">
        <v>3997</v>
      </c>
      <c r="D762" t="s">
        <v>3998</v>
      </c>
      <c r="E762" t="s">
        <v>3999</v>
      </c>
      <c r="F762" t="s">
        <v>2484</v>
      </c>
      <c r="G762" t="s">
        <v>22</v>
      </c>
      <c r="H762" t="s">
        <v>22</v>
      </c>
      <c r="I762" t="s">
        <v>874</v>
      </c>
    </row>
    <row r="763" spans="1:9" ht="11.25" customHeight="1">
      <c r="A763" t="s">
        <v>2385</v>
      </c>
      <c r="B763" t="s">
        <v>16</v>
      </c>
      <c r="C763" t="s">
        <v>3127</v>
      </c>
      <c r="D763" t="s">
        <v>3128</v>
      </c>
      <c r="E763" t="s">
        <v>2699</v>
      </c>
      <c r="F763" t="s">
        <v>3129</v>
      </c>
      <c r="G763" t="s">
        <v>22</v>
      </c>
      <c r="H763" t="s">
        <v>22</v>
      </c>
      <c r="I763" t="s">
        <v>874</v>
      </c>
    </row>
    <row r="764" spans="1:9" ht="11.25" customHeight="1">
      <c r="A764" t="s">
        <v>2385</v>
      </c>
      <c r="B764" t="s">
        <v>16</v>
      </c>
      <c r="C764" t="s">
        <v>4000</v>
      </c>
      <c r="D764" t="s">
        <v>4001</v>
      </c>
      <c r="E764" t="s">
        <v>4002</v>
      </c>
      <c r="F764" t="s">
        <v>2449</v>
      </c>
      <c r="G764" t="s">
        <v>22</v>
      </c>
      <c r="H764" t="s">
        <v>22</v>
      </c>
      <c r="I764" t="s">
        <v>874</v>
      </c>
    </row>
    <row r="765" spans="1:9" ht="11.25" customHeight="1">
      <c r="A765" t="s">
        <v>2385</v>
      </c>
      <c r="B765" t="s">
        <v>16</v>
      </c>
      <c r="C765" t="s">
        <v>3139</v>
      </c>
      <c r="D765" t="s">
        <v>3140</v>
      </c>
      <c r="E765" t="s">
        <v>3141</v>
      </c>
      <c r="F765" t="s">
        <v>2393</v>
      </c>
      <c r="G765" t="s">
        <v>22</v>
      </c>
      <c r="H765" t="s">
        <v>22</v>
      </c>
      <c r="I765" t="s">
        <v>874</v>
      </c>
    </row>
    <row r="766" spans="1:9" ht="11.25" customHeight="1">
      <c r="A766" t="s">
        <v>2385</v>
      </c>
      <c r="B766" t="s">
        <v>16</v>
      </c>
      <c r="C766" t="s">
        <v>3142</v>
      </c>
      <c r="D766" t="s">
        <v>3143</v>
      </c>
      <c r="E766" t="s">
        <v>3144</v>
      </c>
      <c r="F766" t="s">
        <v>2651</v>
      </c>
      <c r="G766" t="s">
        <v>22</v>
      </c>
      <c r="H766" t="s">
        <v>22</v>
      </c>
      <c r="I766" t="s">
        <v>874</v>
      </c>
    </row>
    <row r="767" spans="1:9" ht="11.25" customHeight="1">
      <c r="A767" t="s">
        <v>2385</v>
      </c>
      <c r="B767" t="s">
        <v>16</v>
      </c>
      <c r="C767" t="s">
        <v>3145</v>
      </c>
      <c r="D767" t="s">
        <v>3146</v>
      </c>
      <c r="E767" t="s">
        <v>3147</v>
      </c>
      <c r="F767" t="s">
        <v>3148</v>
      </c>
      <c r="G767" t="s">
        <v>22</v>
      </c>
      <c r="H767" t="s">
        <v>22</v>
      </c>
      <c r="I767" t="s">
        <v>874</v>
      </c>
    </row>
    <row r="768" spans="1:9" ht="11.25" customHeight="1">
      <c r="A768" t="s">
        <v>2385</v>
      </c>
      <c r="B768" t="s">
        <v>16</v>
      </c>
      <c r="C768" t="s">
        <v>4003</v>
      </c>
      <c r="D768" t="s">
        <v>4004</v>
      </c>
      <c r="E768" t="s">
        <v>4005</v>
      </c>
      <c r="F768" t="s">
        <v>2406</v>
      </c>
      <c r="G768" t="s">
        <v>4006</v>
      </c>
      <c r="H768" t="s">
        <v>22</v>
      </c>
      <c r="I768" t="s">
        <v>874</v>
      </c>
    </row>
    <row r="769" spans="1:9" ht="11.25" customHeight="1">
      <c r="A769" t="s">
        <v>2385</v>
      </c>
      <c r="B769" t="s">
        <v>16</v>
      </c>
      <c r="C769" t="s">
        <v>3158</v>
      </c>
      <c r="D769" t="s">
        <v>3159</v>
      </c>
      <c r="E769" t="s">
        <v>3160</v>
      </c>
      <c r="F769" t="s">
        <v>2427</v>
      </c>
      <c r="G769" t="s">
        <v>22</v>
      </c>
      <c r="H769" t="s">
        <v>22</v>
      </c>
      <c r="I769" t="s">
        <v>874</v>
      </c>
    </row>
    <row r="770" spans="1:9" ht="11.25" customHeight="1">
      <c r="A770" t="s">
        <v>2385</v>
      </c>
      <c r="B770" t="s">
        <v>16</v>
      </c>
      <c r="C770" t="s">
        <v>4007</v>
      </c>
      <c r="D770" t="s">
        <v>4008</v>
      </c>
      <c r="E770" t="s">
        <v>4009</v>
      </c>
      <c r="F770" t="s">
        <v>2586</v>
      </c>
      <c r="G770" t="s">
        <v>22</v>
      </c>
      <c r="H770" t="s">
        <v>22</v>
      </c>
      <c r="I770" t="s">
        <v>874</v>
      </c>
    </row>
    <row r="771" spans="1:9" ht="11.25" customHeight="1">
      <c r="A771" t="s">
        <v>2385</v>
      </c>
      <c r="B771" t="s">
        <v>16</v>
      </c>
      <c r="C771" t="s">
        <v>4010</v>
      </c>
      <c r="D771" t="s">
        <v>4011</v>
      </c>
      <c r="E771" t="s">
        <v>4012</v>
      </c>
      <c r="F771" t="s">
        <v>3210</v>
      </c>
      <c r="G771" t="s">
        <v>22</v>
      </c>
      <c r="H771" t="s">
        <v>22</v>
      </c>
      <c r="I771" t="s">
        <v>874</v>
      </c>
    </row>
    <row r="772" spans="1:9" ht="11.25" customHeight="1">
      <c r="A772" t="s">
        <v>2385</v>
      </c>
      <c r="B772" t="s">
        <v>16</v>
      </c>
      <c r="C772" t="s">
        <v>4013</v>
      </c>
      <c r="D772" t="s">
        <v>4014</v>
      </c>
      <c r="E772" t="s">
        <v>4015</v>
      </c>
      <c r="F772" t="s">
        <v>2779</v>
      </c>
      <c r="G772" t="s">
        <v>22</v>
      </c>
      <c r="H772" t="s">
        <v>22</v>
      </c>
      <c r="I772" t="s">
        <v>874</v>
      </c>
    </row>
    <row r="773" spans="1:9" ht="11.25" customHeight="1">
      <c r="A773" t="s">
        <v>2385</v>
      </c>
      <c r="B773" t="s">
        <v>16</v>
      </c>
      <c r="C773" t="s">
        <v>4016</v>
      </c>
      <c r="D773" t="s">
        <v>4017</v>
      </c>
      <c r="E773" t="s">
        <v>4018</v>
      </c>
      <c r="F773" t="s">
        <v>2647</v>
      </c>
      <c r="G773" t="s">
        <v>22</v>
      </c>
      <c r="H773" t="s">
        <v>22</v>
      </c>
      <c r="I773" t="s">
        <v>874</v>
      </c>
    </row>
    <row r="774" spans="1:9" ht="11.25" customHeight="1">
      <c r="A774" t="s">
        <v>2385</v>
      </c>
      <c r="B774" t="s">
        <v>16</v>
      </c>
      <c r="C774" t="s">
        <v>4019</v>
      </c>
      <c r="D774" t="s">
        <v>4020</v>
      </c>
      <c r="E774" t="s">
        <v>4021</v>
      </c>
      <c r="F774" t="s">
        <v>3027</v>
      </c>
      <c r="G774" t="s">
        <v>22</v>
      </c>
      <c r="H774" t="s">
        <v>22</v>
      </c>
      <c r="I774" t="s">
        <v>874</v>
      </c>
    </row>
    <row r="775" spans="1:9" ht="11.25" customHeight="1">
      <c r="A775" t="s">
        <v>2385</v>
      </c>
      <c r="B775" t="s">
        <v>16</v>
      </c>
      <c r="C775" t="s">
        <v>4022</v>
      </c>
      <c r="D775" t="s">
        <v>4023</v>
      </c>
      <c r="E775" t="s">
        <v>4024</v>
      </c>
      <c r="F775" t="s">
        <v>2767</v>
      </c>
      <c r="G775" t="s">
        <v>22</v>
      </c>
      <c r="H775" t="s">
        <v>22</v>
      </c>
      <c r="I775" t="s">
        <v>874</v>
      </c>
    </row>
    <row r="776" spans="1:9" ht="11.25" customHeight="1">
      <c r="A776" t="s">
        <v>2385</v>
      </c>
      <c r="B776" t="s">
        <v>16</v>
      </c>
      <c r="C776" t="s">
        <v>4025</v>
      </c>
      <c r="D776" t="s">
        <v>4026</v>
      </c>
      <c r="E776" t="s">
        <v>4027</v>
      </c>
      <c r="F776" t="s">
        <v>2631</v>
      </c>
      <c r="G776" t="s">
        <v>22</v>
      </c>
      <c r="H776" t="s">
        <v>22</v>
      </c>
      <c r="I776" t="s">
        <v>874</v>
      </c>
    </row>
    <row r="777" spans="1:9" ht="11.25" customHeight="1">
      <c r="A777" t="s">
        <v>2385</v>
      </c>
      <c r="B777" t="s">
        <v>16</v>
      </c>
      <c r="C777" t="s">
        <v>3227</v>
      </c>
      <c r="D777" t="s">
        <v>3228</v>
      </c>
      <c r="E777" t="s">
        <v>3229</v>
      </c>
      <c r="F777" t="s">
        <v>2674</v>
      </c>
      <c r="G777" t="s">
        <v>22</v>
      </c>
      <c r="H777" t="s">
        <v>22</v>
      </c>
      <c r="I777" t="s">
        <v>874</v>
      </c>
    </row>
    <row r="778" spans="1:9" ht="11.25" customHeight="1">
      <c r="A778" t="s">
        <v>2385</v>
      </c>
      <c r="B778" t="s">
        <v>16</v>
      </c>
      <c r="C778" t="s">
        <v>3230</v>
      </c>
      <c r="D778" t="s">
        <v>3228</v>
      </c>
      <c r="E778" t="s">
        <v>3231</v>
      </c>
      <c r="F778" t="s">
        <v>2830</v>
      </c>
      <c r="G778" t="s">
        <v>22</v>
      </c>
      <c r="H778" t="s">
        <v>22</v>
      </c>
      <c r="I778" t="s">
        <v>874</v>
      </c>
    </row>
    <row r="779" spans="1:9" ht="11.25" customHeight="1">
      <c r="A779" t="s">
        <v>2385</v>
      </c>
      <c r="B779" t="s">
        <v>16</v>
      </c>
      <c r="C779" t="s">
        <v>4028</v>
      </c>
      <c r="D779" t="s">
        <v>3228</v>
      </c>
      <c r="E779" t="s">
        <v>4029</v>
      </c>
      <c r="F779" t="s">
        <v>2420</v>
      </c>
      <c r="G779" t="s">
        <v>22</v>
      </c>
      <c r="H779" t="s">
        <v>22</v>
      </c>
      <c r="I779" t="s">
        <v>874</v>
      </c>
    </row>
    <row r="780" spans="1:9" ht="11.25" customHeight="1">
      <c r="A780" t="s">
        <v>2385</v>
      </c>
      <c r="B780" t="s">
        <v>16</v>
      </c>
      <c r="C780" t="s">
        <v>4030</v>
      </c>
      <c r="D780" t="s">
        <v>4031</v>
      </c>
      <c r="E780" t="s">
        <v>4032</v>
      </c>
      <c r="F780" t="s">
        <v>2434</v>
      </c>
      <c r="G780" t="s">
        <v>22</v>
      </c>
      <c r="H780" t="s">
        <v>22</v>
      </c>
      <c r="I780" t="s">
        <v>874</v>
      </c>
    </row>
    <row r="781" spans="1:9" ht="11.25" customHeight="1">
      <c r="A781" t="s">
        <v>2385</v>
      </c>
      <c r="B781" t="s">
        <v>16</v>
      </c>
      <c r="C781" t="s">
        <v>3235</v>
      </c>
      <c r="D781" t="s">
        <v>3236</v>
      </c>
      <c r="E781" t="s">
        <v>3237</v>
      </c>
      <c r="F781" t="s">
        <v>2659</v>
      </c>
      <c r="G781" t="s">
        <v>22</v>
      </c>
      <c r="H781" t="s">
        <v>22</v>
      </c>
      <c r="I781" t="s">
        <v>874</v>
      </c>
    </row>
    <row r="782" spans="1:9" ht="11.25" customHeight="1">
      <c r="A782" t="s">
        <v>2385</v>
      </c>
      <c r="B782" t="s">
        <v>16</v>
      </c>
      <c r="C782" t="s">
        <v>3244</v>
      </c>
      <c r="D782" t="s">
        <v>3245</v>
      </c>
      <c r="E782" t="s">
        <v>3246</v>
      </c>
      <c r="F782" t="s">
        <v>3247</v>
      </c>
      <c r="G782" t="s">
        <v>22</v>
      </c>
      <c r="H782" t="s">
        <v>22</v>
      </c>
      <c r="I782" t="s">
        <v>874</v>
      </c>
    </row>
    <row r="783" spans="1:9" ht="11.25" customHeight="1">
      <c r="A783" t="s">
        <v>2385</v>
      </c>
      <c r="B783" t="s">
        <v>16</v>
      </c>
      <c r="C783" t="s">
        <v>4033</v>
      </c>
      <c r="D783" t="s">
        <v>4034</v>
      </c>
      <c r="E783" t="s">
        <v>4035</v>
      </c>
      <c r="F783" t="s">
        <v>4036</v>
      </c>
      <c r="G783" t="s">
        <v>22</v>
      </c>
      <c r="H783" t="s">
        <v>22</v>
      </c>
      <c r="I783" t="s">
        <v>874</v>
      </c>
    </row>
    <row r="784" spans="1:9" ht="11.25" customHeight="1">
      <c r="A784" t="s">
        <v>2385</v>
      </c>
      <c r="B784" t="s">
        <v>16</v>
      </c>
      <c r="C784" t="s">
        <v>4037</v>
      </c>
      <c r="D784" t="s">
        <v>4038</v>
      </c>
      <c r="E784" t="s">
        <v>4039</v>
      </c>
      <c r="F784" t="s">
        <v>2442</v>
      </c>
      <c r="G784" t="s">
        <v>22</v>
      </c>
      <c r="H784" t="s">
        <v>22</v>
      </c>
      <c r="I784" t="s">
        <v>874</v>
      </c>
    </row>
    <row r="785" spans="1:9" ht="11.25" customHeight="1">
      <c r="A785" t="s">
        <v>2385</v>
      </c>
      <c r="B785" t="s">
        <v>16</v>
      </c>
      <c r="C785" t="s">
        <v>3272</v>
      </c>
      <c r="D785" t="s">
        <v>3273</v>
      </c>
      <c r="E785" t="s">
        <v>3274</v>
      </c>
      <c r="F785" t="s">
        <v>2586</v>
      </c>
      <c r="G785" t="s">
        <v>22</v>
      </c>
      <c r="H785" t="s">
        <v>22</v>
      </c>
      <c r="I785" t="s">
        <v>874</v>
      </c>
    </row>
    <row r="786" spans="1:9" ht="11.25" customHeight="1">
      <c r="A786" t="s">
        <v>2385</v>
      </c>
      <c r="B786" t="s">
        <v>16</v>
      </c>
      <c r="C786" t="s">
        <v>4040</v>
      </c>
      <c r="D786" t="s">
        <v>4041</v>
      </c>
      <c r="E786" t="s">
        <v>4042</v>
      </c>
      <c r="F786" t="s">
        <v>3027</v>
      </c>
      <c r="G786" t="s">
        <v>22</v>
      </c>
      <c r="H786" t="s">
        <v>22</v>
      </c>
      <c r="I786" t="s">
        <v>874</v>
      </c>
    </row>
    <row r="787" spans="1:9" ht="11.25" customHeight="1">
      <c r="A787" t="s">
        <v>2385</v>
      </c>
      <c r="B787" t="s">
        <v>16</v>
      </c>
      <c r="C787" t="s">
        <v>3282</v>
      </c>
      <c r="D787" t="s">
        <v>3283</v>
      </c>
      <c r="E787" t="s">
        <v>3284</v>
      </c>
      <c r="F787" t="s">
        <v>2401</v>
      </c>
      <c r="G787" t="s">
        <v>22</v>
      </c>
      <c r="H787" t="s">
        <v>22</v>
      </c>
      <c r="I787" t="s">
        <v>874</v>
      </c>
    </row>
    <row r="788" spans="1:9" ht="11.25" customHeight="1">
      <c r="A788" t="s">
        <v>2385</v>
      </c>
      <c r="B788" t="s">
        <v>16</v>
      </c>
      <c r="C788" t="s">
        <v>3285</v>
      </c>
      <c r="D788" t="s">
        <v>3286</v>
      </c>
      <c r="E788" t="s">
        <v>3287</v>
      </c>
      <c r="F788" t="s">
        <v>2613</v>
      </c>
      <c r="G788" t="s">
        <v>22</v>
      </c>
      <c r="H788" t="s">
        <v>22</v>
      </c>
      <c r="I788" t="s">
        <v>874</v>
      </c>
    </row>
    <row r="789" spans="1:9" ht="11.25" customHeight="1">
      <c r="A789" t="s">
        <v>2385</v>
      </c>
      <c r="B789" t="s">
        <v>16</v>
      </c>
      <c r="C789" t="s">
        <v>4043</v>
      </c>
      <c r="D789" t="s">
        <v>4044</v>
      </c>
      <c r="E789" t="s">
        <v>4045</v>
      </c>
      <c r="F789" t="s">
        <v>2449</v>
      </c>
      <c r="G789" t="s">
        <v>22</v>
      </c>
      <c r="H789" t="s">
        <v>22</v>
      </c>
      <c r="I789" t="s">
        <v>874</v>
      </c>
    </row>
    <row r="790" spans="1:9" ht="11.25" customHeight="1">
      <c r="A790" t="s">
        <v>2385</v>
      </c>
      <c r="B790" t="s">
        <v>16</v>
      </c>
      <c r="C790" t="s">
        <v>4046</v>
      </c>
      <c r="D790" t="s">
        <v>4047</v>
      </c>
      <c r="E790" t="s">
        <v>4048</v>
      </c>
      <c r="F790" t="s">
        <v>2449</v>
      </c>
      <c r="G790" t="s">
        <v>22</v>
      </c>
      <c r="H790" t="s">
        <v>22</v>
      </c>
      <c r="I790" t="s">
        <v>874</v>
      </c>
    </row>
    <row r="791" spans="1:9" ht="11.25" customHeight="1">
      <c r="A791" t="s">
        <v>2385</v>
      </c>
      <c r="B791" t="s">
        <v>16</v>
      </c>
      <c r="C791" t="s">
        <v>4049</v>
      </c>
      <c r="D791" t="s">
        <v>4050</v>
      </c>
      <c r="E791" t="s">
        <v>4051</v>
      </c>
      <c r="F791" t="s">
        <v>2463</v>
      </c>
      <c r="G791" t="s">
        <v>22</v>
      </c>
      <c r="H791" t="s">
        <v>22</v>
      </c>
      <c r="I791" t="s">
        <v>874</v>
      </c>
    </row>
    <row r="792" spans="1:9" ht="11.25" customHeight="1">
      <c r="A792" t="s">
        <v>2385</v>
      </c>
      <c r="B792" t="s">
        <v>16</v>
      </c>
      <c r="C792" t="s">
        <v>3307</v>
      </c>
      <c r="D792" t="s">
        <v>3308</v>
      </c>
      <c r="E792" t="s">
        <v>3309</v>
      </c>
      <c r="F792" t="s">
        <v>2522</v>
      </c>
      <c r="G792" t="s">
        <v>3310</v>
      </c>
      <c r="H792" t="s">
        <v>22</v>
      </c>
      <c r="I792" t="s">
        <v>874</v>
      </c>
    </row>
    <row r="793" spans="1:9" ht="11.25" customHeight="1">
      <c r="A793" t="s">
        <v>2385</v>
      </c>
      <c r="B793" t="s">
        <v>16</v>
      </c>
      <c r="C793" t="s">
        <v>4052</v>
      </c>
      <c r="D793" t="s">
        <v>4053</v>
      </c>
      <c r="E793" t="s">
        <v>4054</v>
      </c>
      <c r="F793" t="s">
        <v>2898</v>
      </c>
      <c r="G793" t="s">
        <v>22</v>
      </c>
      <c r="H793" t="s">
        <v>22</v>
      </c>
      <c r="I793" t="s">
        <v>874</v>
      </c>
    </row>
    <row r="794" spans="1:9" ht="11.25" customHeight="1">
      <c r="A794" t="s">
        <v>2385</v>
      </c>
      <c r="B794" t="s">
        <v>16</v>
      </c>
      <c r="C794" t="s">
        <v>3311</v>
      </c>
      <c r="D794" t="s">
        <v>3312</v>
      </c>
      <c r="E794" t="s">
        <v>3313</v>
      </c>
      <c r="F794" t="s">
        <v>2427</v>
      </c>
      <c r="G794" t="s">
        <v>22</v>
      </c>
      <c r="H794" t="s">
        <v>22</v>
      </c>
      <c r="I794" t="s">
        <v>874</v>
      </c>
    </row>
    <row r="795" spans="1:9" ht="11.25" customHeight="1">
      <c r="A795" t="s">
        <v>2385</v>
      </c>
      <c r="B795" t="s">
        <v>16</v>
      </c>
      <c r="C795" t="s">
        <v>3331</v>
      </c>
      <c r="D795" t="s">
        <v>3332</v>
      </c>
      <c r="E795" t="s">
        <v>3333</v>
      </c>
      <c r="F795" t="s">
        <v>2522</v>
      </c>
      <c r="G795" t="s">
        <v>22</v>
      </c>
      <c r="H795" t="s">
        <v>22</v>
      </c>
      <c r="I795" t="s">
        <v>874</v>
      </c>
    </row>
    <row r="796" spans="1:9" ht="11.25" customHeight="1">
      <c r="A796" t="s">
        <v>2385</v>
      </c>
      <c r="B796" t="s">
        <v>16</v>
      </c>
      <c r="C796" t="s">
        <v>4055</v>
      </c>
      <c r="D796" t="s">
        <v>3332</v>
      </c>
      <c r="E796" t="s">
        <v>4056</v>
      </c>
      <c r="F796" t="s">
        <v>2393</v>
      </c>
      <c r="G796" t="s">
        <v>22</v>
      </c>
      <c r="H796" t="s">
        <v>22</v>
      </c>
      <c r="I796" t="s">
        <v>874</v>
      </c>
    </row>
    <row r="797" spans="1:9" ht="11.25" customHeight="1">
      <c r="A797" t="s">
        <v>2385</v>
      </c>
      <c r="B797" t="s">
        <v>16</v>
      </c>
      <c r="C797" t="s">
        <v>3334</v>
      </c>
      <c r="D797" t="s">
        <v>3335</v>
      </c>
      <c r="E797" t="s">
        <v>3336</v>
      </c>
      <c r="F797" t="s">
        <v>2674</v>
      </c>
      <c r="G797" t="s">
        <v>22</v>
      </c>
      <c r="H797" t="s">
        <v>22</v>
      </c>
      <c r="I797" t="s">
        <v>874</v>
      </c>
    </row>
    <row r="798" spans="1:9" ht="11.25" customHeight="1">
      <c r="A798" t="s">
        <v>2385</v>
      </c>
      <c r="B798" t="s">
        <v>16</v>
      </c>
      <c r="C798" t="s">
        <v>4057</v>
      </c>
      <c r="D798" t="s">
        <v>4058</v>
      </c>
      <c r="E798" t="s">
        <v>4059</v>
      </c>
      <c r="F798" t="s">
        <v>2845</v>
      </c>
      <c r="G798" t="s">
        <v>22</v>
      </c>
      <c r="H798" t="s">
        <v>22</v>
      </c>
      <c r="I798" t="s">
        <v>874</v>
      </c>
    </row>
    <row r="799" spans="1:9" ht="11.25" customHeight="1">
      <c r="A799" t="s">
        <v>2385</v>
      </c>
      <c r="B799" t="s">
        <v>16</v>
      </c>
      <c r="C799" t="s">
        <v>4060</v>
      </c>
      <c r="D799" t="s">
        <v>4061</v>
      </c>
      <c r="E799" t="s">
        <v>4062</v>
      </c>
      <c r="F799" t="s">
        <v>2819</v>
      </c>
      <c r="G799" t="s">
        <v>22</v>
      </c>
      <c r="H799" t="s">
        <v>22</v>
      </c>
      <c r="I799" t="s">
        <v>874</v>
      </c>
    </row>
    <row r="800" spans="1:9" ht="11.25" customHeight="1">
      <c r="A800" t="s">
        <v>2385</v>
      </c>
      <c r="B800" t="s">
        <v>16</v>
      </c>
      <c r="C800" t="s">
        <v>4063</v>
      </c>
      <c r="D800" t="s">
        <v>4064</v>
      </c>
      <c r="E800" t="s">
        <v>4065</v>
      </c>
      <c r="F800" t="s">
        <v>2449</v>
      </c>
      <c r="G800" t="s">
        <v>22</v>
      </c>
      <c r="H800" t="s">
        <v>22</v>
      </c>
      <c r="I800" t="s">
        <v>874</v>
      </c>
    </row>
    <row r="801" spans="1:9" ht="11.25" customHeight="1">
      <c r="A801" t="s">
        <v>2385</v>
      </c>
      <c r="B801" t="s">
        <v>16</v>
      </c>
      <c r="C801" t="s">
        <v>3350</v>
      </c>
      <c r="D801" t="s">
        <v>3351</v>
      </c>
      <c r="E801" t="s">
        <v>3352</v>
      </c>
      <c r="F801" t="s">
        <v>2948</v>
      </c>
      <c r="G801" t="s">
        <v>3353</v>
      </c>
      <c r="H801" t="s">
        <v>22</v>
      </c>
      <c r="I801" t="s">
        <v>874</v>
      </c>
    </row>
    <row r="802" spans="1:9" ht="11.25" customHeight="1">
      <c r="A802" t="s">
        <v>2385</v>
      </c>
      <c r="B802" t="s">
        <v>16</v>
      </c>
      <c r="C802" t="s">
        <v>4066</v>
      </c>
      <c r="D802" t="s">
        <v>4067</v>
      </c>
      <c r="E802" t="s">
        <v>4068</v>
      </c>
      <c r="F802" t="s">
        <v>3102</v>
      </c>
      <c r="G802" t="s">
        <v>22</v>
      </c>
      <c r="H802" t="s">
        <v>22</v>
      </c>
      <c r="I802" t="s">
        <v>874</v>
      </c>
    </row>
    <row r="803" spans="1:9" ht="11.25" customHeight="1">
      <c r="A803" t="s">
        <v>2385</v>
      </c>
      <c r="B803" t="s">
        <v>16</v>
      </c>
      <c r="C803" t="s">
        <v>3373</v>
      </c>
      <c r="D803" t="s">
        <v>3374</v>
      </c>
      <c r="E803" t="s">
        <v>3375</v>
      </c>
      <c r="F803" t="s">
        <v>50</v>
      </c>
      <c r="G803" t="s">
        <v>22</v>
      </c>
      <c r="H803" t="s">
        <v>22</v>
      </c>
      <c r="I803" t="s">
        <v>874</v>
      </c>
    </row>
    <row r="804" spans="1:9" ht="11.25" customHeight="1">
      <c r="A804" t="s">
        <v>2385</v>
      </c>
      <c r="B804" t="s">
        <v>16</v>
      </c>
      <c r="C804" t="s">
        <v>4069</v>
      </c>
      <c r="D804" t="s">
        <v>4070</v>
      </c>
      <c r="E804" t="s">
        <v>4071</v>
      </c>
      <c r="F804" t="s">
        <v>2690</v>
      </c>
      <c r="G804" t="s">
        <v>22</v>
      </c>
      <c r="H804" t="s">
        <v>22</v>
      </c>
      <c r="I804" t="s">
        <v>874</v>
      </c>
    </row>
    <row r="805" spans="1:9" ht="11.25" customHeight="1">
      <c r="A805" t="s">
        <v>2385</v>
      </c>
      <c r="B805" t="s">
        <v>16</v>
      </c>
      <c r="C805" t="s">
        <v>3382</v>
      </c>
      <c r="D805" t="s">
        <v>3383</v>
      </c>
      <c r="E805" t="s">
        <v>3384</v>
      </c>
      <c r="F805" t="s">
        <v>2586</v>
      </c>
      <c r="G805" t="s">
        <v>22</v>
      </c>
      <c r="H805" t="s">
        <v>22</v>
      </c>
      <c r="I805" t="s">
        <v>874</v>
      </c>
    </row>
    <row r="806" spans="1:9" ht="11.25" customHeight="1">
      <c r="A806" t="s">
        <v>2385</v>
      </c>
      <c r="B806" t="s">
        <v>16</v>
      </c>
      <c r="C806" t="s">
        <v>4072</v>
      </c>
      <c r="D806" t="s">
        <v>4073</v>
      </c>
      <c r="E806" t="s">
        <v>4074</v>
      </c>
      <c r="F806" t="s">
        <v>3148</v>
      </c>
      <c r="G806" t="s">
        <v>4075</v>
      </c>
      <c r="H806" t="s">
        <v>22</v>
      </c>
      <c r="I806" t="s">
        <v>874</v>
      </c>
    </row>
    <row r="807" spans="1:9" ht="11.25" customHeight="1">
      <c r="A807" t="s">
        <v>2385</v>
      </c>
      <c r="B807" t="s">
        <v>16</v>
      </c>
      <c r="C807" t="s">
        <v>3445</v>
      </c>
      <c r="D807" t="s">
        <v>3446</v>
      </c>
      <c r="E807" t="s">
        <v>3447</v>
      </c>
      <c r="F807" t="s">
        <v>3448</v>
      </c>
      <c r="G807" t="s">
        <v>22</v>
      </c>
      <c r="H807" t="s">
        <v>22</v>
      </c>
      <c r="I807" t="s">
        <v>874</v>
      </c>
    </row>
    <row r="808" spans="1:9" ht="11.25" customHeight="1">
      <c r="A808" t="s">
        <v>2385</v>
      </c>
      <c r="B808" t="s">
        <v>16</v>
      </c>
      <c r="C808" t="s">
        <v>4076</v>
      </c>
      <c r="D808" t="s">
        <v>4077</v>
      </c>
      <c r="E808" t="s">
        <v>4078</v>
      </c>
      <c r="F808" t="s">
        <v>2442</v>
      </c>
      <c r="G808" t="s">
        <v>22</v>
      </c>
      <c r="H808" t="s">
        <v>22</v>
      </c>
      <c r="I808" t="s">
        <v>874</v>
      </c>
    </row>
    <row r="809" spans="1:9" ht="11.25" customHeight="1">
      <c r="A809" t="s">
        <v>2385</v>
      </c>
      <c r="B809" t="s">
        <v>16</v>
      </c>
      <c r="C809" t="s">
        <v>4079</v>
      </c>
      <c r="D809" t="s">
        <v>4080</v>
      </c>
      <c r="E809" t="s">
        <v>4081</v>
      </c>
      <c r="F809" t="s">
        <v>2406</v>
      </c>
      <c r="G809" t="s">
        <v>22</v>
      </c>
      <c r="H809" t="s">
        <v>22</v>
      </c>
      <c r="I809" t="s">
        <v>874</v>
      </c>
    </row>
    <row r="810" spans="1:9" ht="11.25" customHeight="1">
      <c r="A810" t="s">
        <v>2385</v>
      </c>
      <c r="B810" t="s">
        <v>16</v>
      </c>
      <c r="C810" t="s">
        <v>4082</v>
      </c>
      <c r="D810" t="s">
        <v>4083</v>
      </c>
      <c r="E810" t="s">
        <v>4084</v>
      </c>
      <c r="F810" t="s">
        <v>3440</v>
      </c>
      <c r="G810" t="s">
        <v>22</v>
      </c>
      <c r="H810" t="s">
        <v>22</v>
      </c>
      <c r="I810" t="s">
        <v>874</v>
      </c>
    </row>
    <row r="811" spans="1:9" ht="11.25" customHeight="1">
      <c r="A811" t="s">
        <v>2385</v>
      </c>
      <c r="B811" t="s">
        <v>16</v>
      </c>
      <c r="C811" t="s">
        <v>4085</v>
      </c>
      <c r="D811" t="s">
        <v>4086</v>
      </c>
      <c r="E811" t="s">
        <v>4087</v>
      </c>
      <c r="F811" t="s">
        <v>2449</v>
      </c>
      <c r="G811" t="s">
        <v>4088</v>
      </c>
      <c r="H811" t="s">
        <v>22</v>
      </c>
      <c r="I811" t="s">
        <v>874</v>
      </c>
    </row>
    <row r="812" spans="1:9" ht="11.25" customHeight="1">
      <c r="A812" t="s">
        <v>2385</v>
      </c>
      <c r="B812" t="s">
        <v>16</v>
      </c>
      <c r="C812" t="s">
        <v>4089</v>
      </c>
      <c r="D812" t="s">
        <v>4090</v>
      </c>
      <c r="E812" t="s">
        <v>4091</v>
      </c>
      <c r="F812" t="s">
        <v>2449</v>
      </c>
      <c r="G812" t="s">
        <v>22</v>
      </c>
      <c r="H812" t="s">
        <v>22</v>
      </c>
      <c r="I812" t="s">
        <v>874</v>
      </c>
    </row>
    <row r="813" spans="1:9" ht="11.25" customHeight="1">
      <c r="A813" t="s">
        <v>2385</v>
      </c>
      <c r="B813" t="s">
        <v>16</v>
      </c>
      <c r="C813" t="s">
        <v>4092</v>
      </c>
      <c r="D813" t="s">
        <v>4093</v>
      </c>
      <c r="E813" t="s">
        <v>4094</v>
      </c>
      <c r="F813" t="s">
        <v>2948</v>
      </c>
      <c r="G813" t="s">
        <v>4095</v>
      </c>
      <c r="H813" t="s">
        <v>22</v>
      </c>
      <c r="I813" t="s">
        <v>874</v>
      </c>
    </row>
    <row r="814" spans="1:9" ht="11.25" customHeight="1">
      <c r="A814" t="s">
        <v>2385</v>
      </c>
      <c r="B814" t="s">
        <v>16</v>
      </c>
      <c r="C814" t="s">
        <v>3466</v>
      </c>
      <c r="D814" t="s">
        <v>3467</v>
      </c>
      <c r="E814" t="s">
        <v>3468</v>
      </c>
      <c r="F814" t="s">
        <v>2442</v>
      </c>
      <c r="G814" t="s">
        <v>22</v>
      </c>
      <c r="H814" t="s">
        <v>22</v>
      </c>
      <c r="I814" t="s">
        <v>874</v>
      </c>
    </row>
    <row r="815" spans="1:9" ht="11.25" customHeight="1">
      <c r="A815" t="s">
        <v>2385</v>
      </c>
      <c r="B815" t="s">
        <v>16</v>
      </c>
      <c r="C815" t="s">
        <v>3469</v>
      </c>
      <c r="D815" t="s">
        <v>3470</v>
      </c>
      <c r="E815" t="s">
        <v>3471</v>
      </c>
      <c r="F815" t="s">
        <v>2640</v>
      </c>
      <c r="G815" t="s">
        <v>22</v>
      </c>
      <c r="H815" t="s">
        <v>22</v>
      </c>
      <c r="I815" t="s">
        <v>874</v>
      </c>
    </row>
    <row r="816" spans="1:9" ht="11.25" customHeight="1">
      <c r="A816" t="s">
        <v>2385</v>
      </c>
      <c r="B816" t="s">
        <v>16</v>
      </c>
      <c r="C816" t="s">
        <v>3492</v>
      </c>
      <c r="D816" t="s">
        <v>3493</v>
      </c>
      <c r="E816" t="s">
        <v>3494</v>
      </c>
      <c r="F816" t="s">
        <v>2819</v>
      </c>
      <c r="G816" t="s">
        <v>3495</v>
      </c>
      <c r="H816" t="s">
        <v>22</v>
      </c>
      <c r="I816" t="s">
        <v>874</v>
      </c>
    </row>
    <row r="817" spans="1:9" ht="11.25" customHeight="1">
      <c r="A817" t="s">
        <v>2385</v>
      </c>
      <c r="B817" t="s">
        <v>16</v>
      </c>
      <c r="C817" t="s">
        <v>4096</v>
      </c>
      <c r="D817" t="s">
        <v>4097</v>
      </c>
      <c r="E817" t="s">
        <v>4098</v>
      </c>
      <c r="F817" t="s">
        <v>2837</v>
      </c>
      <c r="G817" t="s">
        <v>22</v>
      </c>
      <c r="H817" t="s">
        <v>22</v>
      </c>
      <c r="I817" t="s">
        <v>874</v>
      </c>
    </row>
    <row r="818" spans="1:9" ht="11.25" customHeight="1">
      <c r="A818" t="s">
        <v>2385</v>
      </c>
      <c r="B818" t="s">
        <v>16</v>
      </c>
      <c r="C818" t="s">
        <v>3508</v>
      </c>
      <c r="D818" t="s">
        <v>3509</v>
      </c>
      <c r="E818" t="s">
        <v>3510</v>
      </c>
      <c r="F818" t="s">
        <v>2586</v>
      </c>
      <c r="G818" t="s">
        <v>22</v>
      </c>
      <c r="H818" t="s">
        <v>22</v>
      </c>
      <c r="I818" t="s">
        <v>874</v>
      </c>
    </row>
    <row r="819" spans="1:9" ht="11.25" customHeight="1">
      <c r="A819" t="s">
        <v>2385</v>
      </c>
      <c r="B819" t="s">
        <v>16</v>
      </c>
      <c r="C819" t="s">
        <v>3511</v>
      </c>
      <c r="D819" t="s">
        <v>3512</v>
      </c>
      <c r="E819" t="s">
        <v>3513</v>
      </c>
      <c r="F819" t="s">
        <v>2453</v>
      </c>
      <c r="G819" t="s">
        <v>22</v>
      </c>
      <c r="H819" t="s">
        <v>22</v>
      </c>
      <c r="I819" t="s">
        <v>874</v>
      </c>
    </row>
    <row r="820" spans="1:9" ht="11.25" customHeight="1">
      <c r="A820" t="s">
        <v>2385</v>
      </c>
      <c r="B820" t="s">
        <v>16</v>
      </c>
      <c r="C820" t="s">
        <v>3532</v>
      </c>
      <c r="D820" t="s">
        <v>3533</v>
      </c>
      <c r="E820" t="s">
        <v>3534</v>
      </c>
      <c r="F820" t="s">
        <v>2434</v>
      </c>
      <c r="G820" t="s">
        <v>22</v>
      </c>
      <c r="H820" t="s">
        <v>22</v>
      </c>
      <c r="I820" t="s">
        <v>874</v>
      </c>
    </row>
    <row r="821" spans="1:9" ht="11.25" customHeight="1">
      <c r="A821" t="s">
        <v>2385</v>
      </c>
      <c r="B821" t="s">
        <v>16</v>
      </c>
      <c r="C821" t="s">
        <v>4099</v>
      </c>
      <c r="D821" t="s">
        <v>4100</v>
      </c>
      <c r="E821" t="s">
        <v>4101</v>
      </c>
      <c r="F821" t="s">
        <v>2449</v>
      </c>
      <c r="G821" t="s">
        <v>22</v>
      </c>
      <c r="H821" t="s">
        <v>22</v>
      </c>
      <c r="I821" t="s">
        <v>874</v>
      </c>
    </row>
    <row r="822" spans="1:9" ht="11.25" customHeight="1">
      <c r="A822" t="s">
        <v>2385</v>
      </c>
      <c r="B822" t="s">
        <v>16</v>
      </c>
      <c r="C822" t="s">
        <v>3544</v>
      </c>
      <c r="D822" t="s">
        <v>3545</v>
      </c>
      <c r="E822" t="s">
        <v>3546</v>
      </c>
      <c r="F822" t="s">
        <v>2453</v>
      </c>
      <c r="G822" t="s">
        <v>22</v>
      </c>
      <c r="H822" t="s">
        <v>22</v>
      </c>
      <c r="I822" t="s">
        <v>874</v>
      </c>
    </row>
    <row r="823" spans="1:9" ht="11.25" customHeight="1">
      <c r="A823" t="s">
        <v>2385</v>
      </c>
      <c r="B823" t="s">
        <v>16</v>
      </c>
      <c r="C823" t="s">
        <v>3570</v>
      </c>
      <c r="D823" t="s">
        <v>3571</v>
      </c>
      <c r="E823" t="s">
        <v>3572</v>
      </c>
      <c r="F823" t="s">
        <v>2416</v>
      </c>
      <c r="G823" t="s">
        <v>22</v>
      </c>
      <c r="H823" t="s">
        <v>22</v>
      </c>
      <c r="I823" t="s">
        <v>874</v>
      </c>
    </row>
    <row r="824" spans="1:9" ht="11.25" customHeight="1">
      <c r="A824" t="s">
        <v>2385</v>
      </c>
      <c r="B824" t="s">
        <v>16</v>
      </c>
      <c r="C824" t="s">
        <v>4102</v>
      </c>
      <c r="D824" t="s">
        <v>4103</v>
      </c>
      <c r="E824" t="s">
        <v>4104</v>
      </c>
      <c r="F824" t="s">
        <v>2667</v>
      </c>
      <c r="G824" t="s">
        <v>22</v>
      </c>
      <c r="H824" t="s">
        <v>22</v>
      </c>
      <c r="I824" t="s">
        <v>874</v>
      </c>
    </row>
    <row r="825" spans="1:9" ht="11.25" customHeight="1">
      <c r="A825" t="s">
        <v>2385</v>
      </c>
      <c r="B825" t="s">
        <v>16</v>
      </c>
      <c r="C825" t="s">
        <v>4105</v>
      </c>
      <c r="D825" t="s">
        <v>4106</v>
      </c>
      <c r="E825" t="s">
        <v>4107</v>
      </c>
      <c r="F825" t="s">
        <v>2651</v>
      </c>
      <c r="G825" t="s">
        <v>22</v>
      </c>
      <c r="H825" t="s">
        <v>22</v>
      </c>
      <c r="I825" t="s">
        <v>874</v>
      </c>
    </row>
    <row r="826" spans="1:9" ht="11.25" customHeight="1">
      <c r="A826" t="s">
        <v>2385</v>
      </c>
      <c r="B826" t="s">
        <v>16</v>
      </c>
      <c r="C826" t="s">
        <v>4108</v>
      </c>
      <c r="D826" t="s">
        <v>4109</v>
      </c>
      <c r="E826" t="s">
        <v>4110</v>
      </c>
      <c r="F826" t="s">
        <v>2674</v>
      </c>
      <c r="G826" t="s">
        <v>22</v>
      </c>
      <c r="H826" t="s">
        <v>22</v>
      </c>
      <c r="I826" t="s">
        <v>874</v>
      </c>
    </row>
    <row r="827" spans="1:9" ht="11.25" customHeight="1">
      <c r="A827" t="s">
        <v>2385</v>
      </c>
      <c r="B827" t="s">
        <v>16</v>
      </c>
      <c r="C827" t="s">
        <v>4111</v>
      </c>
      <c r="D827" t="s">
        <v>4112</v>
      </c>
      <c r="E827" t="s">
        <v>4113</v>
      </c>
      <c r="F827" t="s">
        <v>2449</v>
      </c>
      <c r="G827" t="s">
        <v>22</v>
      </c>
      <c r="H827" t="s">
        <v>22</v>
      </c>
      <c r="I827" t="s">
        <v>874</v>
      </c>
    </row>
    <row r="828" spans="1:9" ht="11.25" customHeight="1">
      <c r="A828" t="s">
        <v>2385</v>
      </c>
      <c r="B828" t="s">
        <v>16</v>
      </c>
      <c r="C828" t="s">
        <v>4114</v>
      </c>
      <c r="D828" t="s">
        <v>4115</v>
      </c>
      <c r="E828" t="s">
        <v>4116</v>
      </c>
      <c r="F828" t="s">
        <v>2690</v>
      </c>
      <c r="G828" t="s">
        <v>22</v>
      </c>
      <c r="H828" t="s">
        <v>22</v>
      </c>
      <c r="I828" t="s">
        <v>874</v>
      </c>
    </row>
    <row r="829" spans="1:9" ht="11.25" customHeight="1">
      <c r="A829" t="s">
        <v>2385</v>
      </c>
      <c r="B829" t="s">
        <v>16</v>
      </c>
      <c r="C829" t="s">
        <v>4117</v>
      </c>
      <c r="D829" t="s">
        <v>4118</v>
      </c>
      <c r="E829" t="s">
        <v>4119</v>
      </c>
      <c r="F829" t="s">
        <v>3102</v>
      </c>
      <c r="G829" t="s">
        <v>22</v>
      </c>
      <c r="H829" t="s">
        <v>22</v>
      </c>
      <c r="I829" t="s">
        <v>874</v>
      </c>
    </row>
    <row r="830" spans="1:9" ht="11.25" customHeight="1">
      <c r="A830" t="s">
        <v>2385</v>
      </c>
      <c r="B830" t="s">
        <v>16</v>
      </c>
      <c r="C830" t="s">
        <v>4120</v>
      </c>
      <c r="D830" t="s">
        <v>4121</v>
      </c>
      <c r="E830" t="s">
        <v>4122</v>
      </c>
      <c r="F830" t="s">
        <v>2667</v>
      </c>
      <c r="G830" t="s">
        <v>22</v>
      </c>
      <c r="H830" t="s">
        <v>22</v>
      </c>
      <c r="I830" t="s">
        <v>874</v>
      </c>
    </row>
    <row r="831" spans="1:9" ht="11.25" customHeight="1">
      <c r="A831" t="s">
        <v>2385</v>
      </c>
      <c r="B831" t="s">
        <v>16</v>
      </c>
      <c r="C831" t="s">
        <v>4123</v>
      </c>
      <c r="D831" t="s">
        <v>4124</v>
      </c>
      <c r="E831" t="s">
        <v>4125</v>
      </c>
      <c r="F831" t="s">
        <v>2779</v>
      </c>
      <c r="G831" t="s">
        <v>22</v>
      </c>
      <c r="H831" t="s">
        <v>22</v>
      </c>
      <c r="I831" t="s">
        <v>874</v>
      </c>
    </row>
    <row r="832" spans="1:9" ht="11.25" customHeight="1">
      <c r="A832" t="s">
        <v>2385</v>
      </c>
      <c r="B832" t="s">
        <v>16</v>
      </c>
      <c r="C832" t="s">
        <v>3686</v>
      </c>
      <c r="D832" t="s">
        <v>3687</v>
      </c>
      <c r="E832" t="s">
        <v>2437</v>
      </c>
      <c r="F832" t="s">
        <v>3688</v>
      </c>
      <c r="G832" t="s">
        <v>22</v>
      </c>
      <c r="H832" t="s">
        <v>22</v>
      </c>
      <c r="I832" t="s">
        <v>874</v>
      </c>
    </row>
    <row r="833" spans="1:9" ht="11.25" customHeight="1">
      <c r="A833" t="s">
        <v>2385</v>
      </c>
      <c r="B833" t="s">
        <v>16</v>
      </c>
      <c r="C833" t="s">
        <v>4126</v>
      </c>
      <c r="D833" t="s">
        <v>4127</v>
      </c>
      <c r="E833" t="s">
        <v>4128</v>
      </c>
      <c r="F833" t="s">
        <v>2667</v>
      </c>
      <c r="G833" t="s">
        <v>22</v>
      </c>
      <c r="H833" t="s">
        <v>22</v>
      </c>
      <c r="I833" t="s">
        <v>874</v>
      </c>
    </row>
    <row r="834" spans="1:9" ht="11.25" customHeight="1">
      <c r="A834" t="s">
        <v>2385</v>
      </c>
      <c r="B834" t="s">
        <v>16</v>
      </c>
      <c r="C834" t="s">
        <v>3693</v>
      </c>
      <c r="D834" t="s">
        <v>3694</v>
      </c>
      <c r="E834" t="s">
        <v>3695</v>
      </c>
      <c r="F834" t="s">
        <v>2819</v>
      </c>
      <c r="G834" t="s">
        <v>22</v>
      </c>
      <c r="H834" t="s">
        <v>22</v>
      </c>
      <c r="I834" t="s">
        <v>874</v>
      </c>
    </row>
    <row r="835" spans="1:9" ht="11.25" customHeight="1">
      <c r="A835" t="s">
        <v>2385</v>
      </c>
      <c r="B835" t="s">
        <v>16</v>
      </c>
      <c r="C835" t="s">
        <v>3696</v>
      </c>
      <c r="D835" t="s">
        <v>3697</v>
      </c>
      <c r="E835" t="s">
        <v>3698</v>
      </c>
      <c r="F835" t="s">
        <v>2463</v>
      </c>
      <c r="G835" t="s">
        <v>22</v>
      </c>
      <c r="H835" t="s">
        <v>22</v>
      </c>
      <c r="I835" t="s">
        <v>874</v>
      </c>
    </row>
    <row r="836" spans="1:9" ht="11.25" customHeight="1">
      <c r="A836" t="s">
        <v>2385</v>
      </c>
      <c r="B836" t="s">
        <v>16</v>
      </c>
      <c r="C836" t="s">
        <v>3699</v>
      </c>
      <c r="D836" t="s">
        <v>3700</v>
      </c>
      <c r="E836" t="s">
        <v>3701</v>
      </c>
      <c r="F836" t="s">
        <v>2442</v>
      </c>
      <c r="G836" t="s">
        <v>22</v>
      </c>
      <c r="H836" t="s">
        <v>22</v>
      </c>
      <c r="I836" t="s">
        <v>874</v>
      </c>
    </row>
    <row r="837" spans="1:9" ht="11.25" customHeight="1">
      <c r="A837" t="s">
        <v>2385</v>
      </c>
      <c r="B837" t="s">
        <v>16</v>
      </c>
      <c r="C837" t="s">
        <v>3706</v>
      </c>
      <c r="D837" t="s">
        <v>3707</v>
      </c>
      <c r="E837" t="s">
        <v>3708</v>
      </c>
      <c r="F837" t="s">
        <v>2572</v>
      </c>
      <c r="G837" t="s">
        <v>22</v>
      </c>
      <c r="H837" t="s">
        <v>22</v>
      </c>
      <c r="I837" t="s">
        <v>874</v>
      </c>
    </row>
    <row r="838" spans="1:9" ht="11.25" customHeight="1">
      <c r="A838" t="s">
        <v>2385</v>
      </c>
      <c r="B838" t="s">
        <v>16</v>
      </c>
      <c r="C838" t="s">
        <v>3718</v>
      </c>
      <c r="D838" t="s">
        <v>3719</v>
      </c>
      <c r="E838" t="s">
        <v>3720</v>
      </c>
      <c r="F838" t="s">
        <v>2898</v>
      </c>
      <c r="G838" t="s">
        <v>22</v>
      </c>
      <c r="H838" t="s">
        <v>22</v>
      </c>
      <c r="I838" t="s">
        <v>874</v>
      </c>
    </row>
    <row r="839" spans="1:9" ht="11.25" customHeight="1">
      <c r="A839" t="s">
        <v>2385</v>
      </c>
      <c r="B839" t="s">
        <v>16</v>
      </c>
      <c r="C839" t="s">
        <v>3727</v>
      </c>
      <c r="D839" t="s">
        <v>3728</v>
      </c>
      <c r="E839" t="s">
        <v>3729</v>
      </c>
      <c r="F839" t="s">
        <v>2586</v>
      </c>
      <c r="G839" t="s">
        <v>22</v>
      </c>
      <c r="H839" t="s">
        <v>22</v>
      </c>
      <c r="I839" t="s">
        <v>874</v>
      </c>
    </row>
    <row r="840" spans="1:9" ht="11.25" customHeight="1">
      <c r="A840" t="s">
        <v>2385</v>
      </c>
      <c r="B840" t="s">
        <v>16</v>
      </c>
      <c r="C840" t="s">
        <v>3730</v>
      </c>
      <c r="D840" t="s">
        <v>3731</v>
      </c>
      <c r="E840" t="s">
        <v>3732</v>
      </c>
      <c r="F840" t="s">
        <v>2830</v>
      </c>
      <c r="G840" t="s">
        <v>22</v>
      </c>
      <c r="H840" t="s">
        <v>22</v>
      </c>
      <c r="I840" t="s">
        <v>874</v>
      </c>
    </row>
    <row r="841" spans="1:9" ht="11.25" customHeight="1">
      <c r="A841" t="s">
        <v>2385</v>
      </c>
      <c r="B841" t="s">
        <v>16</v>
      </c>
      <c r="C841" t="s">
        <v>22</v>
      </c>
      <c r="D841" t="s">
        <v>3733</v>
      </c>
      <c r="E841" t="s">
        <v>3734</v>
      </c>
      <c r="F841" t="s">
        <v>2393</v>
      </c>
      <c r="G841" t="s">
        <v>22</v>
      </c>
      <c r="H841" t="s">
        <v>22</v>
      </c>
      <c r="I841" t="s">
        <v>874</v>
      </c>
    </row>
    <row r="842" spans="1:9" ht="11.25" customHeight="1">
      <c r="A842" t="s">
        <v>2385</v>
      </c>
      <c r="B842" t="s">
        <v>16</v>
      </c>
      <c r="C842" t="s">
        <v>4129</v>
      </c>
      <c r="D842" t="s">
        <v>4130</v>
      </c>
      <c r="E842" t="s">
        <v>4131</v>
      </c>
      <c r="F842" t="s">
        <v>3027</v>
      </c>
      <c r="G842" t="s">
        <v>22</v>
      </c>
      <c r="H842" t="s">
        <v>22</v>
      </c>
      <c r="I842" t="s">
        <v>874</v>
      </c>
    </row>
    <row r="843" spans="1:9" ht="11.25" customHeight="1">
      <c r="A843" t="s">
        <v>2385</v>
      </c>
      <c r="B843" t="s">
        <v>16</v>
      </c>
      <c r="C843" t="s">
        <v>3735</v>
      </c>
      <c r="D843" t="s">
        <v>3736</v>
      </c>
      <c r="E843" t="s">
        <v>3737</v>
      </c>
      <c r="F843" t="s">
        <v>3070</v>
      </c>
      <c r="G843" t="s">
        <v>22</v>
      </c>
      <c r="H843" t="s">
        <v>22</v>
      </c>
      <c r="I843" t="s">
        <v>874</v>
      </c>
    </row>
    <row r="844" spans="1:9" ht="11.25" customHeight="1">
      <c r="A844" t="s">
        <v>2385</v>
      </c>
      <c r="B844" t="s">
        <v>16</v>
      </c>
      <c r="C844" t="s">
        <v>3738</v>
      </c>
      <c r="D844" t="s">
        <v>3739</v>
      </c>
      <c r="E844" t="s">
        <v>3740</v>
      </c>
      <c r="F844" t="s">
        <v>2631</v>
      </c>
      <c r="G844" t="s">
        <v>3741</v>
      </c>
      <c r="H844" t="s">
        <v>22</v>
      </c>
      <c r="I844" t="s">
        <v>874</v>
      </c>
    </row>
    <row r="845" spans="1:9" ht="11.25" customHeight="1">
      <c r="A845" t="s">
        <v>2385</v>
      </c>
      <c r="B845" t="s">
        <v>16</v>
      </c>
      <c r="C845" t="s">
        <v>4132</v>
      </c>
      <c r="D845" t="s">
        <v>4133</v>
      </c>
      <c r="E845" t="s">
        <v>4134</v>
      </c>
      <c r="F845" t="s">
        <v>2830</v>
      </c>
      <c r="G845" t="s">
        <v>22</v>
      </c>
      <c r="H845" t="s">
        <v>22</v>
      </c>
      <c r="I845" t="s">
        <v>874</v>
      </c>
    </row>
    <row r="846" spans="1:9" ht="11.25" customHeight="1">
      <c r="A846" t="s">
        <v>2385</v>
      </c>
      <c r="B846" t="s">
        <v>16</v>
      </c>
      <c r="C846" t="s">
        <v>3742</v>
      </c>
      <c r="D846" t="s">
        <v>3743</v>
      </c>
      <c r="E846" t="s">
        <v>3744</v>
      </c>
      <c r="F846" t="s">
        <v>2631</v>
      </c>
      <c r="G846" t="s">
        <v>22</v>
      </c>
      <c r="H846" t="s">
        <v>22</v>
      </c>
      <c r="I846" t="s">
        <v>874</v>
      </c>
    </row>
    <row r="847" spans="1:9" ht="11.25" customHeight="1">
      <c r="A847" t="s">
        <v>2385</v>
      </c>
      <c r="B847" t="s">
        <v>16</v>
      </c>
      <c r="C847" t="s">
        <v>4135</v>
      </c>
      <c r="D847" t="s">
        <v>4136</v>
      </c>
      <c r="E847" t="s">
        <v>4137</v>
      </c>
      <c r="F847" t="s">
        <v>3210</v>
      </c>
      <c r="G847" t="s">
        <v>22</v>
      </c>
      <c r="H847" t="s">
        <v>22</v>
      </c>
      <c r="I847" t="s">
        <v>874</v>
      </c>
    </row>
    <row r="848" spans="1:9" ht="11.25" customHeight="1">
      <c r="A848" t="s">
        <v>2385</v>
      </c>
      <c r="B848" t="s">
        <v>16</v>
      </c>
      <c r="C848" t="s">
        <v>3754</v>
      </c>
      <c r="D848" t="s">
        <v>3755</v>
      </c>
      <c r="E848" t="s">
        <v>3756</v>
      </c>
      <c r="F848" t="s">
        <v>3688</v>
      </c>
      <c r="G848" t="s">
        <v>22</v>
      </c>
      <c r="H848" t="s">
        <v>22</v>
      </c>
      <c r="I848" t="s">
        <v>874</v>
      </c>
    </row>
    <row r="849" spans="1:9" ht="11.25" customHeight="1">
      <c r="A849" t="s">
        <v>2385</v>
      </c>
      <c r="B849" t="s">
        <v>16</v>
      </c>
      <c r="C849" t="s">
        <v>3757</v>
      </c>
      <c r="D849" t="s">
        <v>3755</v>
      </c>
      <c r="E849" t="s">
        <v>3756</v>
      </c>
      <c r="F849" t="s">
        <v>2568</v>
      </c>
      <c r="G849" t="s">
        <v>22</v>
      </c>
      <c r="H849" t="s">
        <v>22</v>
      </c>
      <c r="I849" t="s">
        <v>874</v>
      </c>
    </row>
    <row r="850" spans="1:9" ht="11.25" customHeight="1">
      <c r="A850" t="s">
        <v>2385</v>
      </c>
      <c r="B850" t="s">
        <v>16</v>
      </c>
      <c r="C850" t="s">
        <v>4138</v>
      </c>
      <c r="D850" t="s">
        <v>4139</v>
      </c>
      <c r="E850" t="s">
        <v>4140</v>
      </c>
      <c r="F850" t="s">
        <v>2434</v>
      </c>
      <c r="G850" t="s">
        <v>22</v>
      </c>
      <c r="H850" t="s">
        <v>22</v>
      </c>
      <c r="I850" t="s">
        <v>874</v>
      </c>
    </row>
    <row r="851" spans="1:9" ht="11.25" customHeight="1">
      <c r="A851" t="s">
        <v>2385</v>
      </c>
      <c r="B851" t="s">
        <v>16</v>
      </c>
      <c r="C851" t="s">
        <v>4141</v>
      </c>
      <c r="D851" t="s">
        <v>4142</v>
      </c>
      <c r="E851" t="s">
        <v>4143</v>
      </c>
      <c r="F851" t="s">
        <v>3102</v>
      </c>
      <c r="G851" t="s">
        <v>22</v>
      </c>
      <c r="H851" t="s">
        <v>22</v>
      </c>
      <c r="I851" t="s">
        <v>874</v>
      </c>
    </row>
    <row r="852" spans="1:9" ht="11.25" customHeight="1">
      <c r="A852" t="s">
        <v>2385</v>
      </c>
      <c r="B852" t="s">
        <v>16</v>
      </c>
      <c r="C852" t="s">
        <v>3765</v>
      </c>
      <c r="D852" t="s">
        <v>3766</v>
      </c>
      <c r="E852" t="s">
        <v>3767</v>
      </c>
      <c r="F852" t="s">
        <v>2449</v>
      </c>
      <c r="G852" t="s">
        <v>22</v>
      </c>
      <c r="H852" t="s">
        <v>22</v>
      </c>
      <c r="I852" t="s">
        <v>874</v>
      </c>
    </row>
    <row r="853" spans="1:9" ht="11.25" customHeight="1">
      <c r="A853" t="s">
        <v>2385</v>
      </c>
      <c r="B853" t="s">
        <v>16</v>
      </c>
      <c r="C853" t="s">
        <v>3779</v>
      </c>
      <c r="D853" t="s">
        <v>3780</v>
      </c>
      <c r="E853" t="s">
        <v>3781</v>
      </c>
      <c r="F853" t="s">
        <v>2841</v>
      </c>
      <c r="G853" t="s">
        <v>22</v>
      </c>
      <c r="H853" t="s">
        <v>22</v>
      </c>
      <c r="I853" t="s">
        <v>874</v>
      </c>
    </row>
    <row r="854" spans="1:9" ht="11.25" customHeight="1">
      <c r="A854" t="s">
        <v>2385</v>
      </c>
      <c r="B854" t="s">
        <v>16</v>
      </c>
      <c r="C854" t="s">
        <v>3785</v>
      </c>
      <c r="D854" t="s">
        <v>3786</v>
      </c>
      <c r="E854" t="s">
        <v>3787</v>
      </c>
      <c r="F854" t="s">
        <v>2659</v>
      </c>
      <c r="G854" t="s">
        <v>22</v>
      </c>
      <c r="H854" t="s">
        <v>22</v>
      </c>
      <c r="I854" t="s">
        <v>874</v>
      </c>
    </row>
    <row r="855" spans="1:9" ht="11.25" customHeight="1">
      <c r="A855" t="s">
        <v>2385</v>
      </c>
      <c r="B855" t="s">
        <v>16</v>
      </c>
      <c r="C855" t="s">
        <v>3791</v>
      </c>
      <c r="D855" t="s">
        <v>3792</v>
      </c>
      <c r="E855" t="s">
        <v>3793</v>
      </c>
      <c r="F855" t="s">
        <v>2771</v>
      </c>
      <c r="G855" t="s">
        <v>3794</v>
      </c>
      <c r="H855" t="s">
        <v>22</v>
      </c>
      <c r="I855" t="s">
        <v>874</v>
      </c>
    </row>
    <row r="856" spans="1:9" ht="11.25" customHeight="1">
      <c r="A856" t="s">
        <v>2385</v>
      </c>
      <c r="B856" t="s">
        <v>16</v>
      </c>
      <c r="C856" t="s">
        <v>3798</v>
      </c>
      <c r="D856" t="s">
        <v>3799</v>
      </c>
      <c r="E856" t="s">
        <v>3800</v>
      </c>
      <c r="F856" t="s">
        <v>3444</v>
      </c>
      <c r="G856" t="s">
        <v>22</v>
      </c>
      <c r="H856" t="s">
        <v>22</v>
      </c>
      <c r="I856" t="s">
        <v>874</v>
      </c>
    </row>
    <row r="857" spans="1:9" ht="11.25" customHeight="1">
      <c r="A857" t="s">
        <v>2385</v>
      </c>
      <c r="B857" t="s">
        <v>16</v>
      </c>
      <c r="C857" t="s">
        <v>3811</v>
      </c>
      <c r="D857" t="s">
        <v>3812</v>
      </c>
      <c r="E857" t="s">
        <v>3813</v>
      </c>
      <c r="F857" t="s">
        <v>3814</v>
      </c>
      <c r="G857" t="s">
        <v>22</v>
      </c>
      <c r="H857" t="s">
        <v>22</v>
      </c>
      <c r="I857" t="s">
        <v>874</v>
      </c>
    </row>
    <row r="858" spans="1:9" ht="11.25" customHeight="1">
      <c r="A858" t="s">
        <v>2385</v>
      </c>
      <c r="B858" t="s">
        <v>16</v>
      </c>
      <c r="C858" t="s">
        <v>3821</v>
      </c>
      <c r="D858" t="s">
        <v>3822</v>
      </c>
      <c r="E858" t="s">
        <v>3823</v>
      </c>
      <c r="F858" t="s">
        <v>3824</v>
      </c>
      <c r="G858" t="s">
        <v>22</v>
      </c>
      <c r="H858" t="s">
        <v>22</v>
      </c>
      <c r="I858" t="s">
        <v>929</v>
      </c>
    </row>
    <row r="859" spans="1:9" ht="11.25" customHeight="1">
      <c r="A859" t="s">
        <v>2385</v>
      </c>
      <c r="B859" t="s">
        <v>16</v>
      </c>
      <c r="C859" t="s">
        <v>2413</v>
      </c>
      <c r="D859" t="s">
        <v>2414</v>
      </c>
      <c r="E859" t="s">
        <v>2415</v>
      </c>
      <c r="F859" t="s">
        <v>2416</v>
      </c>
      <c r="G859" t="s">
        <v>22</v>
      </c>
      <c r="H859" t="s">
        <v>22</v>
      </c>
      <c r="I859" t="s">
        <v>929</v>
      </c>
    </row>
    <row r="860" spans="1:9" ht="11.25" customHeight="1">
      <c r="A860" t="s">
        <v>2385</v>
      </c>
      <c r="B860" t="s">
        <v>16</v>
      </c>
      <c r="C860" t="s">
        <v>3825</v>
      </c>
      <c r="D860" t="s">
        <v>3826</v>
      </c>
      <c r="E860" t="s">
        <v>3827</v>
      </c>
      <c r="F860" t="s">
        <v>2416</v>
      </c>
      <c r="G860" t="s">
        <v>22</v>
      </c>
      <c r="H860" t="s">
        <v>22</v>
      </c>
      <c r="I860" t="s">
        <v>929</v>
      </c>
    </row>
    <row r="861" spans="1:9" ht="11.25" customHeight="1">
      <c r="A861" t="s">
        <v>2385</v>
      </c>
      <c r="B861" t="s">
        <v>16</v>
      </c>
      <c r="C861" t="s">
        <v>2417</v>
      </c>
      <c r="D861" t="s">
        <v>2418</v>
      </c>
      <c r="E861" t="s">
        <v>2419</v>
      </c>
      <c r="F861" t="s">
        <v>2420</v>
      </c>
      <c r="G861" t="s">
        <v>22</v>
      </c>
      <c r="H861" t="s">
        <v>22</v>
      </c>
      <c r="I861" t="s">
        <v>929</v>
      </c>
    </row>
    <row r="862" spans="1:9" ht="11.25" customHeight="1">
      <c r="A862" t="s">
        <v>2385</v>
      </c>
      <c r="B862" t="s">
        <v>16</v>
      </c>
      <c r="C862" t="s">
        <v>3828</v>
      </c>
      <c r="D862" t="s">
        <v>3829</v>
      </c>
      <c r="E862" t="s">
        <v>3830</v>
      </c>
      <c r="F862" t="s">
        <v>2420</v>
      </c>
      <c r="G862" t="s">
        <v>22</v>
      </c>
      <c r="H862" t="s">
        <v>22</v>
      </c>
      <c r="I862" t="s">
        <v>929</v>
      </c>
    </row>
    <row r="863" spans="1:9" ht="11.25" customHeight="1">
      <c r="A863" t="s">
        <v>2385</v>
      </c>
      <c r="B863" t="s">
        <v>16</v>
      </c>
      <c r="C863" t="s">
        <v>2431</v>
      </c>
      <c r="D863" t="s">
        <v>2432</v>
      </c>
      <c r="E863" t="s">
        <v>2433</v>
      </c>
      <c r="F863" t="s">
        <v>2434</v>
      </c>
      <c r="G863" t="s">
        <v>22</v>
      </c>
      <c r="H863" t="s">
        <v>22</v>
      </c>
      <c r="I863" t="s">
        <v>929</v>
      </c>
    </row>
    <row r="864" spans="1:9" ht="11.25" customHeight="1">
      <c r="A864" t="s">
        <v>2385</v>
      </c>
      <c r="B864" t="s">
        <v>16</v>
      </c>
      <c r="C864" t="s">
        <v>3831</v>
      </c>
      <c r="D864" t="s">
        <v>2436</v>
      </c>
      <c r="E864" t="s">
        <v>2437</v>
      </c>
      <c r="F864" t="s">
        <v>3832</v>
      </c>
      <c r="G864" t="s">
        <v>3833</v>
      </c>
      <c r="H864" t="s">
        <v>22</v>
      </c>
      <c r="I864" t="s">
        <v>929</v>
      </c>
    </row>
    <row r="865" spans="1:9" ht="11.25" customHeight="1">
      <c r="A865" t="s">
        <v>2385</v>
      </c>
      <c r="B865" t="s">
        <v>16</v>
      </c>
      <c r="C865" t="s">
        <v>3834</v>
      </c>
      <c r="D865" t="s">
        <v>3835</v>
      </c>
      <c r="E865" t="s">
        <v>3836</v>
      </c>
      <c r="F865" t="s">
        <v>2449</v>
      </c>
      <c r="G865" t="s">
        <v>22</v>
      </c>
      <c r="H865" t="s">
        <v>22</v>
      </c>
      <c r="I865" t="s">
        <v>929</v>
      </c>
    </row>
    <row r="866" spans="1:9" ht="11.25" customHeight="1">
      <c r="A866" t="s">
        <v>2385</v>
      </c>
      <c r="B866" t="s">
        <v>16</v>
      </c>
      <c r="C866" t="s">
        <v>2443</v>
      </c>
      <c r="D866" t="s">
        <v>2444</v>
      </c>
      <c r="E866" t="s">
        <v>2445</v>
      </c>
      <c r="F866" t="s">
        <v>2420</v>
      </c>
      <c r="G866" t="s">
        <v>22</v>
      </c>
      <c r="H866" t="s">
        <v>22</v>
      </c>
      <c r="I866" t="s">
        <v>929</v>
      </c>
    </row>
    <row r="867" spans="1:9" ht="11.25" customHeight="1">
      <c r="A867" t="s">
        <v>2385</v>
      </c>
      <c r="B867" t="s">
        <v>16</v>
      </c>
      <c r="C867" t="s">
        <v>2446</v>
      </c>
      <c r="D867" t="s">
        <v>2447</v>
      </c>
      <c r="E867" t="s">
        <v>2448</v>
      </c>
      <c r="F867" t="s">
        <v>2449</v>
      </c>
      <c r="G867" t="s">
        <v>22</v>
      </c>
      <c r="H867" t="s">
        <v>22</v>
      </c>
      <c r="I867" t="s">
        <v>929</v>
      </c>
    </row>
    <row r="868" spans="1:9" ht="11.25" customHeight="1">
      <c r="A868" t="s">
        <v>2385</v>
      </c>
      <c r="B868" t="s">
        <v>16</v>
      </c>
      <c r="C868" t="s">
        <v>2454</v>
      </c>
      <c r="D868" t="s">
        <v>2455</v>
      </c>
      <c r="E868" t="s">
        <v>2456</v>
      </c>
      <c r="F868" t="s">
        <v>2449</v>
      </c>
      <c r="G868" t="s">
        <v>22</v>
      </c>
      <c r="H868" t="s">
        <v>22</v>
      </c>
      <c r="I868" t="s">
        <v>929</v>
      </c>
    </row>
    <row r="869" spans="1:9" ht="11.25" customHeight="1">
      <c r="A869" t="s">
        <v>2385</v>
      </c>
      <c r="B869" t="s">
        <v>16</v>
      </c>
      <c r="C869" t="s">
        <v>2457</v>
      </c>
      <c r="D869" t="s">
        <v>2458</v>
      </c>
      <c r="E869" t="s">
        <v>2459</v>
      </c>
      <c r="F869" t="s">
        <v>2416</v>
      </c>
      <c r="G869" t="s">
        <v>22</v>
      </c>
      <c r="H869" t="s">
        <v>22</v>
      </c>
      <c r="I869" t="s">
        <v>929</v>
      </c>
    </row>
    <row r="870" spans="1:9" ht="11.25" customHeight="1">
      <c r="A870" t="s">
        <v>2385</v>
      </c>
      <c r="B870" t="s">
        <v>16</v>
      </c>
      <c r="C870" t="s">
        <v>2460</v>
      </c>
      <c r="D870" t="s">
        <v>2461</v>
      </c>
      <c r="E870" t="s">
        <v>2462</v>
      </c>
      <c r="F870" t="s">
        <v>2463</v>
      </c>
      <c r="G870" t="s">
        <v>22</v>
      </c>
      <c r="H870" t="s">
        <v>22</v>
      </c>
      <c r="I870" t="s">
        <v>929</v>
      </c>
    </row>
    <row r="871" spans="1:9" ht="11.25" customHeight="1">
      <c r="A871" t="s">
        <v>2385</v>
      </c>
      <c r="B871" t="s">
        <v>16</v>
      </c>
      <c r="C871" t="s">
        <v>3837</v>
      </c>
      <c r="D871" t="s">
        <v>3838</v>
      </c>
      <c r="E871" t="s">
        <v>3839</v>
      </c>
      <c r="F871" t="s">
        <v>2613</v>
      </c>
      <c r="G871" t="s">
        <v>22</v>
      </c>
      <c r="H871" t="s">
        <v>22</v>
      </c>
      <c r="I871" t="s">
        <v>929</v>
      </c>
    </row>
    <row r="872" spans="1:9" ht="11.25" customHeight="1">
      <c r="A872" t="s">
        <v>2385</v>
      </c>
      <c r="B872" t="s">
        <v>16</v>
      </c>
      <c r="C872" t="s">
        <v>3840</v>
      </c>
      <c r="D872" t="s">
        <v>3841</v>
      </c>
      <c r="E872" t="s">
        <v>3842</v>
      </c>
      <c r="F872" t="s">
        <v>2508</v>
      </c>
      <c r="G872" t="s">
        <v>22</v>
      </c>
      <c r="H872" t="s">
        <v>22</v>
      </c>
      <c r="I872" t="s">
        <v>929</v>
      </c>
    </row>
    <row r="873" spans="1:9" ht="11.25" customHeight="1">
      <c r="A873" t="s">
        <v>2385</v>
      </c>
      <c r="B873" t="s">
        <v>16</v>
      </c>
      <c r="C873" t="s">
        <v>2468</v>
      </c>
      <c r="D873" t="s">
        <v>2469</v>
      </c>
      <c r="E873" t="s">
        <v>2470</v>
      </c>
      <c r="F873" t="s">
        <v>2449</v>
      </c>
      <c r="G873" t="s">
        <v>22</v>
      </c>
      <c r="H873" t="s">
        <v>22</v>
      </c>
      <c r="I873" t="s">
        <v>929</v>
      </c>
    </row>
    <row r="874" spans="1:9" ht="11.25" customHeight="1">
      <c r="A874" t="s">
        <v>2385</v>
      </c>
      <c r="B874" t="s">
        <v>16</v>
      </c>
      <c r="C874" t="s">
        <v>2478</v>
      </c>
      <c r="D874" t="s">
        <v>2479</v>
      </c>
      <c r="E874" t="s">
        <v>2480</v>
      </c>
      <c r="F874" t="s">
        <v>2416</v>
      </c>
      <c r="G874" t="s">
        <v>22</v>
      </c>
      <c r="H874" t="s">
        <v>22</v>
      </c>
      <c r="I874" t="s">
        <v>929</v>
      </c>
    </row>
    <row r="875" spans="1:9" ht="11.25" customHeight="1">
      <c r="A875" t="s">
        <v>2385</v>
      </c>
      <c r="B875" t="s">
        <v>16</v>
      </c>
      <c r="C875" t="s">
        <v>2481</v>
      </c>
      <c r="D875" t="s">
        <v>2482</v>
      </c>
      <c r="E875" t="s">
        <v>2483</v>
      </c>
      <c r="F875" t="s">
        <v>2484</v>
      </c>
      <c r="G875" t="s">
        <v>2485</v>
      </c>
      <c r="H875" t="s">
        <v>22</v>
      </c>
      <c r="I875" t="s">
        <v>929</v>
      </c>
    </row>
    <row r="876" spans="1:9" ht="11.25" customHeight="1">
      <c r="A876" t="s">
        <v>2385</v>
      </c>
      <c r="B876" t="s">
        <v>16</v>
      </c>
      <c r="C876" t="s">
        <v>2496</v>
      </c>
      <c r="D876" t="s">
        <v>2497</v>
      </c>
      <c r="E876" t="s">
        <v>2498</v>
      </c>
      <c r="F876" t="s">
        <v>2427</v>
      </c>
      <c r="G876" t="s">
        <v>22</v>
      </c>
      <c r="H876" t="s">
        <v>22</v>
      </c>
      <c r="I876" t="s">
        <v>929</v>
      </c>
    </row>
    <row r="877" spans="1:9" ht="11.25" customHeight="1">
      <c r="A877" t="s">
        <v>2385</v>
      </c>
      <c r="B877" t="s">
        <v>16</v>
      </c>
      <c r="C877" t="s">
        <v>2499</v>
      </c>
      <c r="D877" t="s">
        <v>2500</v>
      </c>
      <c r="E877" t="s">
        <v>2501</v>
      </c>
      <c r="F877" t="s">
        <v>2453</v>
      </c>
      <c r="G877" t="s">
        <v>22</v>
      </c>
      <c r="H877" t="s">
        <v>22</v>
      </c>
      <c r="I877" t="s">
        <v>929</v>
      </c>
    </row>
    <row r="878" spans="1:9" ht="11.25" customHeight="1">
      <c r="A878" t="s">
        <v>2385</v>
      </c>
      <c r="B878" t="s">
        <v>16</v>
      </c>
      <c r="C878" t="s">
        <v>2505</v>
      </c>
      <c r="D878" t="s">
        <v>2506</v>
      </c>
      <c r="E878" t="s">
        <v>2507</v>
      </c>
      <c r="F878" t="s">
        <v>2508</v>
      </c>
      <c r="G878" t="s">
        <v>22</v>
      </c>
      <c r="H878" t="s">
        <v>22</v>
      </c>
      <c r="I878" t="s">
        <v>929</v>
      </c>
    </row>
    <row r="879" spans="1:9" ht="11.25" customHeight="1">
      <c r="A879" t="s">
        <v>2385</v>
      </c>
      <c r="B879" t="s">
        <v>16</v>
      </c>
      <c r="C879" t="s">
        <v>2509</v>
      </c>
      <c r="D879" t="s">
        <v>2510</v>
      </c>
      <c r="E879" t="s">
        <v>2511</v>
      </c>
      <c r="F879" t="s">
        <v>2512</v>
      </c>
      <c r="G879" t="s">
        <v>22</v>
      </c>
      <c r="H879" t="s">
        <v>22</v>
      </c>
      <c r="I879" t="s">
        <v>929</v>
      </c>
    </row>
    <row r="880" spans="1:9" ht="11.25" customHeight="1">
      <c r="A880" t="s">
        <v>2385</v>
      </c>
      <c r="B880" t="s">
        <v>16</v>
      </c>
      <c r="C880" t="s">
        <v>13</v>
      </c>
      <c r="D880" t="s">
        <v>45</v>
      </c>
      <c r="E880" t="s">
        <v>48</v>
      </c>
      <c r="F880" t="s">
        <v>50</v>
      </c>
      <c r="G880" t="s">
        <v>22</v>
      </c>
      <c r="H880" t="s">
        <v>22</v>
      </c>
      <c r="I880" t="s">
        <v>929</v>
      </c>
    </row>
    <row r="881" spans="1:9" ht="11.25" customHeight="1">
      <c r="A881" t="s">
        <v>2385</v>
      </c>
      <c r="B881" t="s">
        <v>16</v>
      </c>
      <c r="C881" t="s">
        <v>2527</v>
      </c>
      <c r="D881" t="s">
        <v>2528</v>
      </c>
      <c r="E881" t="s">
        <v>2526</v>
      </c>
      <c r="F881" t="s">
        <v>2529</v>
      </c>
      <c r="G881" t="s">
        <v>22</v>
      </c>
      <c r="H881" t="s">
        <v>22</v>
      </c>
      <c r="I881" t="s">
        <v>929</v>
      </c>
    </row>
    <row r="882" spans="1:9" ht="11.25" customHeight="1">
      <c r="A882" t="s">
        <v>2385</v>
      </c>
      <c r="B882" t="s">
        <v>16</v>
      </c>
      <c r="C882" t="s">
        <v>2536</v>
      </c>
      <c r="D882" t="s">
        <v>2537</v>
      </c>
      <c r="E882" t="s">
        <v>2526</v>
      </c>
      <c r="F882" t="s">
        <v>2538</v>
      </c>
      <c r="G882" t="s">
        <v>22</v>
      </c>
      <c r="H882" t="s">
        <v>22</v>
      </c>
      <c r="I882" t="s">
        <v>929</v>
      </c>
    </row>
    <row r="883" spans="1:9" ht="11.25" customHeight="1">
      <c r="A883" t="s">
        <v>2385</v>
      </c>
      <c r="B883" t="s">
        <v>16</v>
      </c>
      <c r="C883" t="s">
        <v>2542</v>
      </c>
      <c r="D883" t="s">
        <v>2543</v>
      </c>
      <c r="E883" t="s">
        <v>2526</v>
      </c>
      <c r="F883" t="s">
        <v>2544</v>
      </c>
      <c r="G883" t="s">
        <v>22</v>
      </c>
      <c r="H883" t="s">
        <v>22</v>
      </c>
      <c r="I883" t="s">
        <v>929</v>
      </c>
    </row>
    <row r="884" spans="1:9" ht="11.25" customHeight="1">
      <c r="A884" t="s">
        <v>2385</v>
      </c>
      <c r="B884" t="s">
        <v>16</v>
      </c>
      <c r="C884" t="s">
        <v>3843</v>
      </c>
      <c r="D884" t="s">
        <v>3844</v>
      </c>
      <c r="E884" t="s">
        <v>3845</v>
      </c>
      <c r="F884" t="s">
        <v>2434</v>
      </c>
      <c r="G884" t="s">
        <v>22</v>
      </c>
      <c r="H884" t="s">
        <v>22</v>
      </c>
      <c r="I884" t="s">
        <v>929</v>
      </c>
    </row>
    <row r="885" spans="1:9" ht="11.25" customHeight="1">
      <c r="A885" t="s">
        <v>2385</v>
      </c>
      <c r="B885" t="s">
        <v>16</v>
      </c>
      <c r="C885" t="s">
        <v>4144</v>
      </c>
      <c r="D885" t="s">
        <v>4145</v>
      </c>
      <c r="E885" t="s">
        <v>4146</v>
      </c>
      <c r="F885" t="s">
        <v>2442</v>
      </c>
      <c r="G885" t="s">
        <v>4147</v>
      </c>
      <c r="H885" t="s">
        <v>22</v>
      </c>
      <c r="I885" t="s">
        <v>929</v>
      </c>
    </row>
    <row r="886" spans="1:9" ht="11.25" customHeight="1">
      <c r="A886" t="s">
        <v>2385</v>
      </c>
      <c r="B886" t="s">
        <v>16</v>
      </c>
      <c r="C886" t="s">
        <v>4148</v>
      </c>
      <c r="D886" t="s">
        <v>4149</v>
      </c>
      <c r="E886" t="s">
        <v>4150</v>
      </c>
      <c r="F886" t="s">
        <v>2837</v>
      </c>
      <c r="G886" t="s">
        <v>22</v>
      </c>
      <c r="H886" t="s">
        <v>22</v>
      </c>
      <c r="I886" t="s">
        <v>929</v>
      </c>
    </row>
    <row r="887" spans="1:9" ht="11.25" customHeight="1">
      <c r="A887" t="s">
        <v>2385</v>
      </c>
      <c r="B887" t="s">
        <v>16</v>
      </c>
      <c r="C887" t="s">
        <v>2577</v>
      </c>
      <c r="D887" t="s">
        <v>2578</v>
      </c>
      <c r="E887" t="s">
        <v>2579</v>
      </c>
      <c r="F887" t="s">
        <v>2401</v>
      </c>
      <c r="G887" t="s">
        <v>22</v>
      </c>
      <c r="H887" t="s">
        <v>22</v>
      </c>
      <c r="I887" t="s">
        <v>929</v>
      </c>
    </row>
    <row r="888" spans="1:9" ht="11.25" customHeight="1">
      <c r="A888" t="s">
        <v>2385</v>
      </c>
      <c r="B888" t="s">
        <v>16</v>
      </c>
      <c r="C888" t="s">
        <v>2587</v>
      </c>
      <c r="D888" t="s">
        <v>2588</v>
      </c>
      <c r="E888" t="s">
        <v>2589</v>
      </c>
      <c r="F888" t="s">
        <v>2463</v>
      </c>
      <c r="G888" t="s">
        <v>2590</v>
      </c>
      <c r="H888" t="s">
        <v>22</v>
      </c>
      <c r="I888" t="s">
        <v>929</v>
      </c>
    </row>
    <row r="889" spans="1:9" ht="11.25" customHeight="1">
      <c r="A889" t="s">
        <v>2385</v>
      </c>
      <c r="B889" t="s">
        <v>16</v>
      </c>
      <c r="C889" t="s">
        <v>3863</v>
      </c>
      <c r="D889" t="s">
        <v>3864</v>
      </c>
      <c r="E889" t="s">
        <v>3865</v>
      </c>
      <c r="F889" t="s">
        <v>2647</v>
      </c>
      <c r="G889" t="s">
        <v>22</v>
      </c>
      <c r="H889" t="s">
        <v>22</v>
      </c>
      <c r="I889" t="s">
        <v>929</v>
      </c>
    </row>
    <row r="890" spans="1:9" ht="11.25" customHeight="1">
      <c r="A890" t="s">
        <v>2385</v>
      </c>
      <c r="B890" t="s">
        <v>16</v>
      </c>
      <c r="C890" t="s">
        <v>3866</v>
      </c>
      <c r="D890" t="s">
        <v>3867</v>
      </c>
      <c r="E890" t="s">
        <v>3868</v>
      </c>
      <c r="F890" t="s">
        <v>2830</v>
      </c>
      <c r="G890" t="s">
        <v>22</v>
      </c>
      <c r="H890" t="s">
        <v>22</v>
      </c>
      <c r="I890" t="s">
        <v>929</v>
      </c>
    </row>
    <row r="891" spans="1:9" ht="11.25" customHeight="1">
      <c r="A891" t="s">
        <v>2385</v>
      </c>
      <c r="B891" t="s">
        <v>16</v>
      </c>
      <c r="C891" t="s">
        <v>2628</v>
      </c>
      <c r="D891" t="s">
        <v>2629</v>
      </c>
      <c r="E891" t="s">
        <v>2630</v>
      </c>
      <c r="F891" t="s">
        <v>2631</v>
      </c>
      <c r="G891" t="s">
        <v>2632</v>
      </c>
      <c r="H891" t="s">
        <v>22</v>
      </c>
      <c r="I891" t="s">
        <v>929</v>
      </c>
    </row>
    <row r="892" spans="1:9" ht="11.25" customHeight="1">
      <c r="A892" t="s">
        <v>2385</v>
      </c>
      <c r="B892" t="s">
        <v>16</v>
      </c>
      <c r="C892" t="s">
        <v>2656</v>
      </c>
      <c r="D892" t="s">
        <v>2657</v>
      </c>
      <c r="E892" t="s">
        <v>2658</v>
      </c>
      <c r="F892" t="s">
        <v>2659</v>
      </c>
      <c r="G892" t="s">
        <v>22</v>
      </c>
      <c r="H892" t="s">
        <v>22</v>
      </c>
      <c r="I892" t="s">
        <v>929</v>
      </c>
    </row>
    <row r="893" spans="1:9" ht="11.25" customHeight="1">
      <c r="A893" t="s">
        <v>2385</v>
      </c>
      <c r="B893" t="s">
        <v>16</v>
      </c>
      <c r="C893" t="s">
        <v>2660</v>
      </c>
      <c r="D893" t="s">
        <v>2661</v>
      </c>
      <c r="E893" t="s">
        <v>2662</v>
      </c>
      <c r="F893" t="s">
        <v>2663</v>
      </c>
      <c r="G893" t="s">
        <v>22</v>
      </c>
      <c r="H893" t="s">
        <v>22</v>
      </c>
      <c r="I893" t="s">
        <v>929</v>
      </c>
    </row>
    <row r="894" spans="1:9" ht="11.25" customHeight="1">
      <c r="A894" t="s">
        <v>2385</v>
      </c>
      <c r="B894" t="s">
        <v>16</v>
      </c>
      <c r="C894" t="s">
        <v>2671</v>
      </c>
      <c r="D894" t="s">
        <v>2672</v>
      </c>
      <c r="E894" t="s">
        <v>2673</v>
      </c>
      <c r="F894" t="s">
        <v>2674</v>
      </c>
      <c r="G894" t="s">
        <v>22</v>
      </c>
      <c r="H894" t="s">
        <v>22</v>
      </c>
      <c r="I894" t="s">
        <v>929</v>
      </c>
    </row>
    <row r="895" spans="1:9" ht="11.25" customHeight="1">
      <c r="A895" t="s">
        <v>2385</v>
      </c>
      <c r="B895" t="s">
        <v>16</v>
      </c>
      <c r="C895" t="s">
        <v>2675</v>
      </c>
      <c r="D895" t="s">
        <v>2676</v>
      </c>
      <c r="E895" t="s">
        <v>2677</v>
      </c>
      <c r="F895" t="s">
        <v>2427</v>
      </c>
      <c r="G895" t="s">
        <v>22</v>
      </c>
      <c r="H895" t="s">
        <v>22</v>
      </c>
      <c r="I895" t="s">
        <v>929</v>
      </c>
    </row>
    <row r="896" spans="1:9" ht="11.25" customHeight="1">
      <c r="A896" t="s">
        <v>2385</v>
      </c>
      <c r="B896" t="s">
        <v>16</v>
      </c>
      <c r="C896" t="s">
        <v>2678</v>
      </c>
      <c r="D896" t="s">
        <v>2679</v>
      </c>
      <c r="E896" t="s">
        <v>2680</v>
      </c>
      <c r="F896" t="s">
        <v>2416</v>
      </c>
      <c r="G896" t="s">
        <v>22</v>
      </c>
      <c r="H896" t="s">
        <v>22</v>
      </c>
      <c r="I896" t="s">
        <v>929</v>
      </c>
    </row>
    <row r="897" spans="1:9" ht="11.25" customHeight="1">
      <c r="A897" t="s">
        <v>2385</v>
      </c>
      <c r="B897" t="s">
        <v>16</v>
      </c>
      <c r="C897" t="s">
        <v>2691</v>
      </c>
      <c r="D897" t="s">
        <v>2692</v>
      </c>
      <c r="E897" t="s">
        <v>2693</v>
      </c>
      <c r="F897" t="s">
        <v>2522</v>
      </c>
      <c r="G897" t="s">
        <v>22</v>
      </c>
      <c r="H897" t="s">
        <v>22</v>
      </c>
      <c r="I897" t="s">
        <v>929</v>
      </c>
    </row>
    <row r="898" spans="1:9" ht="11.25" customHeight="1">
      <c r="A898" t="s">
        <v>2385</v>
      </c>
      <c r="B898" t="s">
        <v>16</v>
      </c>
      <c r="C898" t="s">
        <v>2697</v>
      </c>
      <c r="D898" t="s">
        <v>2698</v>
      </c>
      <c r="E898" t="s">
        <v>2699</v>
      </c>
      <c r="F898" t="s">
        <v>2700</v>
      </c>
      <c r="G898" t="s">
        <v>22</v>
      </c>
      <c r="H898" t="s">
        <v>22</v>
      </c>
      <c r="I898" t="s">
        <v>929</v>
      </c>
    </row>
    <row r="899" spans="1:9" ht="11.25" customHeight="1">
      <c r="A899" t="s">
        <v>2385</v>
      </c>
      <c r="B899" t="s">
        <v>16</v>
      </c>
      <c r="C899" t="s">
        <v>2708</v>
      </c>
      <c r="D899" t="s">
        <v>2709</v>
      </c>
      <c r="E899" t="s">
        <v>2710</v>
      </c>
      <c r="F899" t="s">
        <v>2631</v>
      </c>
      <c r="G899" t="s">
        <v>22</v>
      </c>
      <c r="H899" t="s">
        <v>22</v>
      </c>
      <c r="I899" t="s">
        <v>929</v>
      </c>
    </row>
    <row r="900" spans="1:9" ht="11.25" customHeight="1">
      <c r="A900" t="s">
        <v>2385</v>
      </c>
      <c r="B900" t="s">
        <v>16</v>
      </c>
      <c r="C900" t="s">
        <v>2720</v>
      </c>
      <c r="D900" t="s">
        <v>2721</v>
      </c>
      <c r="E900" t="s">
        <v>2722</v>
      </c>
      <c r="F900" t="s">
        <v>2522</v>
      </c>
      <c r="G900" t="s">
        <v>22</v>
      </c>
      <c r="H900" t="s">
        <v>22</v>
      </c>
      <c r="I900" t="s">
        <v>929</v>
      </c>
    </row>
    <row r="901" spans="1:9" ht="11.25" customHeight="1">
      <c r="A901" t="s">
        <v>2385</v>
      </c>
      <c r="B901" t="s">
        <v>16</v>
      </c>
      <c r="C901" t="s">
        <v>4151</v>
      </c>
      <c r="D901" t="s">
        <v>4152</v>
      </c>
      <c r="E901" t="s">
        <v>4153</v>
      </c>
      <c r="F901" t="s">
        <v>2449</v>
      </c>
      <c r="G901" t="s">
        <v>22</v>
      </c>
      <c r="H901" t="s">
        <v>22</v>
      </c>
      <c r="I901" t="s">
        <v>929</v>
      </c>
    </row>
    <row r="902" spans="1:9" ht="11.25" customHeight="1">
      <c r="A902" t="s">
        <v>2385</v>
      </c>
      <c r="B902" t="s">
        <v>16</v>
      </c>
      <c r="C902" t="s">
        <v>2744</v>
      </c>
      <c r="D902" t="s">
        <v>2745</v>
      </c>
      <c r="E902" t="s">
        <v>2746</v>
      </c>
      <c r="F902" t="s">
        <v>586</v>
      </c>
      <c r="G902" t="s">
        <v>22</v>
      </c>
      <c r="H902" t="s">
        <v>22</v>
      </c>
      <c r="I902" t="s">
        <v>929</v>
      </c>
    </row>
    <row r="903" spans="1:9" ht="11.25" customHeight="1">
      <c r="A903" t="s">
        <v>2385</v>
      </c>
      <c r="B903" t="s">
        <v>16</v>
      </c>
      <c r="C903" t="s">
        <v>4154</v>
      </c>
      <c r="D903" t="s">
        <v>4155</v>
      </c>
      <c r="E903" t="s">
        <v>4156</v>
      </c>
      <c r="F903" t="s">
        <v>586</v>
      </c>
      <c r="G903" t="s">
        <v>22</v>
      </c>
      <c r="H903" t="s">
        <v>22</v>
      </c>
      <c r="I903" t="s">
        <v>929</v>
      </c>
    </row>
    <row r="904" spans="1:9" ht="11.25" customHeight="1">
      <c r="A904" t="s">
        <v>2385</v>
      </c>
      <c r="B904" t="s">
        <v>16</v>
      </c>
      <c r="C904" t="s">
        <v>2750</v>
      </c>
      <c r="D904" t="s">
        <v>2751</v>
      </c>
      <c r="E904" t="s">
        <v>2752</v>
      </c>
      <c r="F904" t="s">
        <v>2753</v>
      </c>
      <c r="G904" t="s">
        <v>22</v>
      </c>
      <c r="H904" t="s">
        <v>22</v>
      </c>
      <c r="I904" t="s">
        <v>929</v>
      </c>
    </row>
    <row r="905" spans="1:9" ht="11.25" customHeight="1">
      <c r="A905" t="s">
        <v>2385</v>
      </c>
      <c r="B905" t="s">
        <v>16</v>
      </c>
      <c r="C905" t="s">
        <v>3872</v>
      </c>
      <c r="D905" t="s">
        <v>3873</v>
      </c>
      <c r="E905" t="s">
        <v>3874</v>
      </c>
      <c r="F905" t="s">
        <v>2830</v>
      </c>
      <c r="G905" t="s">
        <v>22</v>
      </c>
      <c r="H905" t="s">
        <v>22</v>
      </c>
      <c r="I905" t="s">
        <v>929</v>
      </c>
    </row>
    <row r="906" spans="1:9" ht="11.25" customHeight="1">
      <c r="A906" t="s">
        <v>2385</v>
      </c>
      <c r="B906" t="s">
        <v>16</v>
      </c>
      <c r="C906" t="s">
        <v>2783</v>
      </c>
      <c r="D906" t="s">
        <v>2784</v>
      </c>
      <c r="E906" t="s">
        <v>2785</v>
      </c>
      <c r="F906" t="s">
        <v>2786</v>
      </c>
      <c r="G906" t="s">
        <v>22</v>
      </c>
      <c r="H906" t="s">
        <v>22</v>
      </c>
      <c r="I906" t="s">
        <v>929</v>
      </c>
    </row>
    <row r="907" spans="1:9" ht="11.25" customHeight="1">
      <c r="A907" t="s">
        <v>2385</v>
      </c>
      <c r="B907" t="s">
        <v>16</v>
      </c>
      <c r="C907" t="s">
        <v>3894</v>
      </c>
      <c r="D907" t="s">
        <v>3891</v>
      </c>
      <c r="E907" t="s">
        <v>3895</v>
      </c>
      <c r="F907" t="s">
        <v>2812</v>
      </c>
      <c r="G907" t="s">
        <v>22</v>
      </c>
      <c r="H907" t="s">
        <v>22</v>
      </c>
      <c r="I907" t="s">
        <v>929</v>
      </c>
    </row>
    <row r="908" spans="1:9" ht="11.25" customHeight="1">
      <c r="A908" t="s">
        <v>2385</v>
      </c>
      <c r="B908" t="s">
        <v>16</v>
      </c>
      <c r="C908" t="s">
        <v>4157</v>
      </c>
      <c r="D908" t="s">
        <v>4158</v>
      </c>
      <c r="E908" t="s">
        <v>4159</v>
      </c>
      <c r="F908" t="s">
        <v>2586</v>
      </c>
      <c r="G908" t="s">
        <v>22</v>
      </c>
      <c r="H908" t="s">
        <v>22</v>
      </c>
      <c r="I908" t="s">
        <v>929</v>
      </c>
    </row>
    <row r="909" spans="1:9" ht="11.25" customHeight="1">
      <c r="A909" t="s">
        <v>2385</v>
      </c>
      <c r="B909" t="s">
        <v>16</v>
      </c>
      <c r="C909" t="s">
        <v>2787</v>
      </c>
      <c r="D909" t="s">
        <v>2788</v>
      </c>
      <c r="E909" t="s">
        <v>2789</v>
      </c>
      <c r="F909" t="s">
        <v>2586</v>
      </c>
      <c r="G909" t="s">
        <v>22</v>
      </c>
      <c r="H909" t="s">
        <v>22</v>
      </c>
      <c r="I909" t="s">
        <v>929</v>
      </c>
    </row>
    <row r="910" spans="1:9" ht="11.25" customHeight="1">
      <c r="A910" t="s">
        <v>2385</v>
      </c>
      <c r="B910" t="s">
        <v>16</v>
      </c>
      <c r="C910" t="s">
        <v>3896</v>
      </c>
      <c r="D910" t="s">
        <v>3897</v>
      </c>
      <c r="E910" t="s">
        <v>3898</v>
      </c>
      <c r="F910" t="s">
        <v>2799</v>
      </c>
      <c r="G910" t="s">
        <v>22</v>
      </c>
      <c r="H910" t="s">
        <v>22</v>
      </c>
      <c r="I910" t="s">
        <v>929</v>
      </c>
    </row>
    <row r="911" spans="1:9" ht="11.25" customHeight="1">
      <c r="A911" t="s">
        <v>2385</v>
      </c>
      <c r="B911" t="s">
        <v>16</v>
      </c>
      <c r="C911" t="s">
        <v>2790</v>
      </c>
      <c r="D911" t="s">
        <v>2791</v>
      </c>
      <c r="E911" t="s">
        <v>2792</v>
      </c>
      <c r="F911" t="s">
        <v>2512</v>
      </c>
      <c r="G911" t="s">
        <v>22</v>
      </c>
      <c r="H911" t="s">
        <v>22</v>
      </c>
      <c r="I911" t="s">
        <v>929</v>
      </c>
    </row>
    <row r="912" spans="1:9" ht="11.25" customHeight="1">
      <c r="A912" t="s">
        <v>2385</v>
      </c>
      <c r="B912" t="s">
        <v>16</v>
      </c>
      <c r="C912" t="s">
        <v>2793</v>
      </c>
      <c r="D912" t="s">
        <v>2794</v>
      </c>
      <c r="E912" t="s">
        <v>2795</v>
      </c>
      <c r="F912" t="s">
        <v>2586</v>
      </c>
      <c r="G912" t="s">
        <v>22</v>
      </c>
      <c r="H912" t="s">
        <v>22</v>
      </c>
      <c r="I912" t="s">
        <v>929</v>
      </c>
    </row>
    <row r="913" spans="1:9" ht="11.25" customHeight="1">
      <c r="A913" t="s">
        <v>2385</v>
      </c>
      <c r="B913" t="s">
        <v>16</v>
      </c>
      <c r="C913" t="s">
        <v>4160</v>
      </c>
      <c r="D913" t="s">
        <v>4161</v>
      </c>
      <c r="E913" t="s">
        <v>4162</v>
      </c>
      <c r="F913" t="s">
        <v>2763</v>
      </c>
      <c r="G913" t="s">
        <v>22</v>
      </c>
      <c r="H913" t="s">
        <v>22</v>
      </c>
      <c r="I913" t="s">
        <v>929</v>
      </c>
    </row>
    <row r="914" spans="1:9" ht="11.25" customHeight="1">
      <c r="A914" t="s">
        <v>2385</v>
      </c>
      <c r="B914" t="s">
        <v>16</v>
      </c>
      <c r="C914" t="s">
        <v>2796</v>
      </c>
      <c r="D914" t="s">
        <v>2797</v>
      </c>
      <c r="E914" t="s">
        <v>2798</v>
      </c>
      <c r="F914" t="s">
        <v>2799</v>
      </c>
      <c r="G914" t="s">
        <v>22</v>
      </c>
      <c r="H914" t="s">
        <v>22</v>
      </c>
      <c r="I914" t="s">
        <v>929</v>
      </c>
    </row>
    <row r="915" spans="1:9" ht="11.25" customHeight="1">
      <c r="A915" t="s">
        <v>2385</v>
      </c>
      <c r="B915" t="s">
        <v>16</v>
      </c>
      <c r="C915" t="s">
        <v>2800</v>
      </c>
      <c r="D915" t="s">
        <v>2801</v>
      </c>
      <c r="E915" t="s">
        <v>2802</v>
      </c>
      <c r="F915" t="s">
        <v>2416</v>
      </c>
      <c r="G915" t="s">
        <v>22</v>
      </c>
      <c r="H915" t="s">
        <v>22</v>
      </c>
      <c r="I915" t="s">
        <v>929</v>
      </c>
    </row>
    <row r="916" spans="1:9" ht="11.25" customHeight="1">
      <c r="A916" t="s">
        <v>2385</v>
      </c>
      <c r="B916" t="s">
        <v>16</v>
      </c>
      <c r="C916" t="s">
        <v>2803</v>
      </c>
      <c r="D916" t="s">
        <v>2804</v>
      </c>
      <c r="E916" t="s">
        <v>2805</v>
      </c>
      <c r="F916" t="s">
        <v>2597</v>
      </c>
      <c r="G916" t="s">
        <v>22</v>
      </c>
      <c r="H916" t="s">
        <v>22</v>
      </c>
      <c r="I916" t="s">
        <v>929</v>
      </c>
    </row>
    <row r="917" spans="1:9" ht="11.25" customHeight="1">
      <c r="A917" t="s">
        <v>2385</v>
      </c>
      <c r="B917" t="s">
        <v>16</v>
      </c>
      <c r="C917" t="s">
        <v>2806</v>
      </c>
      <c r="D917" t="s">
        <v>2807</v>
      </c>
      <c r="E917" t="s">
        <v>2808</v>
      </c>
      <c r="F917" t="s">
        <v>2799</v>
      </c>
      <c r="G917" t="s">
        <v>22</v>
      </c>
      <c r="H917" t="s">
        <v>22</v>
      </c>
      <c r="I917" t="s">
        <v>929</v>
      </c>
    </row>
    <row r="918" spans="1:9" ht="11.25" customHeight="1">
      <c r="A918" t="s">
        <v>2385</v>
      </c>
      <c r="B918" t="s">
        <v>16</v>
      </c>
      <c r="C918" t="s">
        <v>2816</v>
      </c>
      <c r="D918" t="s">
        <v>2817</v>
      </c>
      <c r="E918" t="s">
        <v>2818</v>
      </c>
      <c r="F918" t="s">
        <v>2819</v>
      </c>
      <c r="G918" t="s">
        <v>2820</v>
      </c>
      <c r="H918" t="s">
        <v>22</v>
      </c>
      <c r="I918" t="s">
        <v>929</v>
      </c>
    </row>
    <row r="919" spans="1:9" ht="11.25" customHeight="1">
      <c r="A919" t="s">
        <v>2385</v>
      </c>
      <c r="B919" t="s">
        <v>16</v>
      </c>
      <c r="C919" t="s">
        <v>3899</v>
      </c>
      <c r="D919" t="s">
        <v>3900</v>
      </c>
      <c r="E919" t="s">
        <v>3901</v>
      </c>
      <c r="F919" t="s">
        <v>3902</v>
      </c>
      <c r="G919" t="s">
        <v>3903</v>
      </c>
      <c r="H919" t="s">
        <v>22</v>
      </c>
      <c r="I919" t="s">
        <v>929</v>
      </c>
    </row>
    <row r="920" spans="1:9" ht="11.25" customHeight="1">
      <c r="A920" t="s">
        <v>2385</v>
      </c>
      <c r="B920" t="s">
        <v>16</v>
      </c>
      <c r="C920" t="s">
        <v>3904</v>
      </c>
      <c r="D920" t="s">
        <v>3905</v>
      </c>
      <c r="E920" t="s">
        <v>3906</v>
      </c>
      <c r="F920" t="s">
        <v>2631</v>
      </c>
      <c r="G920" t="s">
        <v>22</v>
      </c>
      <c r="H920" t="s">
        <v>22</v>
      </c>
      <c r="I920" t="s">
        <v>929</v>
      </c>
    </row>
    <row r="921" spans="1:9" ht="11.25" customHeight="1">
      <c r="A921" t="s">
        <v>2385</v>
      </c>
      <c r="B921" t="s">
        <v>16</v>
      </c>
      <c r="C921" t="s">
        <v>4163</v>
      </c>
      <c r="D921" t="s">
        <v>4164</v>
      </c>
      <c r="E921" t="s">
        <v>4165</v>
      </c>
      <c r="F921" t="s">
        <v>2484</v>
      </c>
      <c r="G921" t="s">
        <v>22</v>
      </c>
      <c r="H921" t="s">
        <v>22</v>
      </c>
      <c r="I921" t="s">
        <v>929</v>
      </c>
    </row>
    <row r="922" spans="1:9" ht="11.25" customHeight="1">
      <c r="A922" t="s">
        <v>2385</v>
      </c>
      <c r="B922" t="s">
        <v>16</v>
      </c>
      <c r="C922" t="s">
        <v>3910</v>
      </c>
      <c r="D922" t="s">
        <v>3911</v>
      </c>
      <c r="E922" t="s">
        <v>3912</v>
      </c>
      <c r="F922" t="s">
        <v>3148</v>
      </c>
      <c r="G922" t="s">
        <v>22</v>
      </c>
      <c r="H922" t="s">
        <v>22</v>
      </c>
      <c r="I922" t="s">
        <v>929</v>
      </c>
    </row>
    <row r="923" spans="1:9" ht="11.25" customHeight="1">
      <c r="A923" t="s">
        <v>2385</v>
      </c>
      <c r="B923" t="s">
        <v>16</v>
      </c>
      <c r="C923" t="s">
        <v>2831</v>
      </c>
      <c r="D923" t="s">
        <v>2832</v>
      </c>
      <c r="E923" t="s">
        <v>2833</v>
      </c>
      <c r="F923" t="s">
        <v>2434</v>
      </c>
      <c r="G923" t="s">
        <v>22</v>
      </c>
      <c r="H923" t="s">
        <v>22</v>
      </c>
      <c r="I923" t="s">
        <v>929</v>
      </c>
    </row>
    <row r="924" spans="1:9" ht="11.25" customHeight="1">
      <c r="A924" t="s">
        <v>2385</v>
      </c>
      <c r="B924" t="s">
        <v>16</v>
      </c>
      <c r="C924" t="s">
        <v>2834</v>
      </c>
      <c r="D924" t="s">
        <v>2835</v>
      </c>
      <c r="E924" t="s">
        <v>2836</v>
      </c>
      <c r="F924" t="s">
        <v>2837</v>
      </c>
      <c r="G924" t="s">
        <v>22</v>
      </c>
      <c r="H924" t="s">
        <v>22</v>
      </c>
      <c r="I924" t="s">
        <v>929</v>
      </c>
    </row>
    <row r="925" spans="1:9" ht="11.25" customHeight="1">
      <c r="A925" t="s">
        <v>2385</v>
      </c>
      <c r="B925" t="s">
        <v>16</v>
      </c>
      <c r="C925" t="s">
        <v>2838</v>
      </c>
      <c r="D925" t="s">
        <v>2839</v>
      </c>
      <c r="E925" t="s">
        <v>2840</v>
      </c>
      <c r="F925" t="s">
        <v>2841</v>
      </c>
      <c r="G925" t="s">
        <v>22</v>
      </c>
      <c r="H925" t="s">
        <v>22</v>
      </c>
      <c r="I925" t="s">
        <v>929</v>
      </c>
    </row>
    <row r="926" spans="1:9" ht="11.25" customHeight="1">
      <c r="A926" t="s">
        <v>2385</v>
      </c>
      <c r="B926" t="s">
        <v>16</v>
      </c>
      <c r="C926" t="s">
        <v>3913</v>
      </c>
      <c r="D926" t="s">
        <v>3914</v>
      </c>
      <c r="E926" t="s">
        <v>3915</v>
      </c>
      <c r="F926" t="s">
        <v>2442</v>
      </c>
      <c r="G926" t="s">
        <v>22</v>
      </c>
      <c r="H926" t="s">
        <v>22</v>
      </c>
      <c r="I926" t="s">
        <v>929</v>
      </c>
    </row>
    <row r="927" spans="1:9" ht="11.25" customHeight="1">
      <c r="A927" t="s">
        <v>2385</v>
      </c>
      <c r="B927" t="s">
        <v>16</v>
      </c>
      <c r="C927" t="s">
        <v>3916</v>
      </c>
      <c r="D927" t="s">
        <v>3917</v>
      </c>
      <c r="E927" t="s">
        <v>3918</v>
      </c>
      <c r="F927" t="s">
        <v>3440</v>
      </c>
      <c r="G927" t="s">
        <v>22</v>
      </c>
      <c r="H927" t="s">
        <v>22</v>
      </c>
      <c r="I927" t="s">
        <v>929</v>
      </c>
    </row>
    <row r="928" spans="1:9" ht="11.25" customHeight="1">
      <c r="A928" t="s">
        <v>2385</v>
      </c>
      <c r="B928" t="s">
        <v>16</v>
      </c>
      <c r="C928" t="s">
        <v>4166</v>
      </c>
      <c r="D928" t="s">
        <v>4167</v>
      </c>
      <c r="E928" t="s">
        <v>4168</v>
      </c>
      <c r="F928" t="s">
        <v>2576</v>
      </c>
      <c r="G928" t="s">
        <v>22</v>
      </c>
      <c r="H928" t="s">
        <v>22</v>
      </c>
      <c r="I928" t="s">
        <v>929</v>
      </c>
    </row>
    <row r="929" spans="1:9" ht="11.25" customHeight="1">
      <c r="A929" t="s">
        <v>2385</v>
      </c>
      <c r="B929" t="s">
        <v>16</v>
      </c>
      <c r="C929" t="s">
        <v>2842</v>
      </c>
      <c r="D929" t="s">
        <v>2843</v>
      </c>
      <c r="E929" t="s">
        <v>2844</v>
      </c>
      <c r="F929" t="s">
        <v>2845</v>
      </c>
      <c r="G929" t="s">
        <v>22</v>
      </c>
      <c r="H929" t="s">
        <v>22</v>
      </c>
      <c r="I929" t="s">
        <v>929</v>
      </c>
    </row>
    <row r="930" spans="1:9" ht="11.25" customHeight="1">
      <c r="A930" t="s">
        <v>2385</v>
      </c>
      <c r="B930" t="s">
        <v>16</v>
      </c>
      <c r="C930" t="s">
        <v>2846</v>
      </c>
      <c r="D930" t="s">
        <v>2847</v>
      </c>
      <c r="E930" t="s">
        <v>2848</v>
      </c>
      <c r="F930" t="s">
        <v>2659</v>
      </c>
      <c r="G930" t="s">
        <v>22</v>
      </c>
      <c r="H930" t="s">
        <v>22</v>
      </c>
      <c r="I930" t="s">
        <v>929</v>
      </c>
    </row>
    <row r="931" spans="1:9" ht="11.25" customHeight="1">
      <c r="A931" t="s">
        <v>2385</v>
      </c>
      <c r="B931" t="s">
        <v>16</v>
      </c>
      <c r="C931" t="s">
        <v>3926</v>
      </c>
      <c r="D931" t="s">
        <v>3927</v>
      </c>
      <c r="E931" t="s">
        <v>3928</v>
      </c>
      <c r="F931" t="s">
        <v>2674</v>
      </c>
      <c r="G931" t="s">
        <v>22</v>
      </c>
      <c r="H931" t="s">
        <v>22</v>
      </c>
      <c r="I931" t="s">
        <v>929</v>
      </c>
    </row>
    <row r="932" spans="1:9" ht="11.25" customHeight="1">
      <c r="A932" t="s">
        <v>2385</v>
      </c>
      <c r="B932" t="s">
        <v>16</v>
      </c>
      <c r="C932" t="s">
        <v>2849</v>
      </c>
      <c r="D932" t="s">
        <v>2850</v>
      </c>
      <c r="E932" t="s">
        <v>2851</v>
      </c>
      <c r="F932" t="s">
        <v>2453</v>
      </c>
      <c r="G932" t="s">
        <v>22</v>
      </c>
      <c r="H932" t="s">
        <v>22</v>
      </c>
      <c r="I932" t="s">
        <v>929</v>
      </c>
    </row>
    <row r="933" spans="1:9" ht="11.25" customHeight="1">
      <c r="A933" t="s">
        <v>2385</v>
      </c>
      <c r="B933" t="s">
        <v>16</v>
      </c>
      <c r="C933" t="s">
        <v>3929</v>
      </c>
      <c r="D933" t="s">
        <v>2850</v>
      </c>
      <c r="E933" t="s">
        <v>3930</v>
      </c>
      <c r="F933" t="s">
        <v>3102</v>
      </c>
      <c r="G933" t="s">
        <v>22</v>
      </c>
      <c r="H933" t="s">
        <v>22</v>
      </c>
      <c r="I933" t="s">
        <v>929</v>
      </c>
    </row>
    <row r="934" spans="1:9" ht="11.25" customHeight="1">
      <c r="A934" t="s">
        <v>2385</v>
      </c>
      <c r="B934" t="s">
        <v>16</v>
      </c>
      <c r="C934" t="s">
        <v>2852</v>
      </c>
      <c r="D934" t="s">
        <v>2853</v>
      </c>
      <c r="E934" t="s">
        <v>2854</v>
      </c>
      <c r="F934" t="s">
        <v>2663</v>
      </c>
      <c r="G934" t="s">
        <v>22</v>
      </c>
      <c r="H934" t="s">
        <v>22</v>
      </c>
      <c r="I934" t="s">
        <v>929</v>
      </c>
    </row>
    <row r="935" spans="1:9" ht="11.25" customHeight="1">
      <c r="A935" t="s">
        <v>2385</v>
      </c>
      <c r="B935" t="s">
        <v>16</v>
      </c>
      <c r="C935" t="s">
        <v>3934</v>
      </c>
      <c r="D935" t="s">
        <v>3935</v>
      </c>
      <c r="E935" t="s">
        <v>3936</v>
      </c>
      <c r="F935" t="s">
        <v>2434</v>
      </c>
      <c r="G935" t="s">
        <v>3937</v>
      </c>
      <c r="H935" t="s">
        <v>22</v>
      </c>
      <c r="I935" t="s">
        <v>929</v>
      </c>
    </row>
    <row r="936" spans="1:9" ht="11.25" customHeight="1">
      <c r="A936" t="s">
        <v>2385</v>
      </c>
      <c r="B936" t="s">
        <v>16</v>
      </c>
      <c r="C936" t="s">
        <v>3938</v>
      </c>
      <c r="D936" t="s">
        <v>3939</v>
      </c>
      <c r="E936" t="s">
        <v>3940</v>
      </c>
      <c r="F936" t="s">
        <v>2576</v>
      </c>
      <c r="G936" t="s">
        <v>22</v>
      </c>
      <c r="H936" t="s">
        <v>22</v>
      </c>
      <c r="I936" t="s">
        <v>929</v>
      </c>
    </row>
    <row r="937" spans="1:9" ht="11.25" customHeight="1">
      <c r="A937" t="s">
        <v>2385</v>
      </c>
      <c r="B937" t="s">
        <v>16</v>
      </c>
      <c r="C937" t="s">
        <v>3941</v>
      </c>
      <c r="D937" t="s">
        <v>3942</v>
      </c>
      <c r="E937" t="s">
        <v>3943</v>
      </c>
      <c r="F937" t="s">
        <v>3102</v>
      </c>
      <c r="G937" t="s">
        <v>22</v>
      </c>
      <c r="H937" t="s">
        <v>22</v>
      </c>
      <c r="I937" t="s">
        <v>929</v>
      </c>
    </row>
    <row r="938" spans="1:9" ht="11.25" customHeight="1">
      <c r="A938" t="s">
        <v>2385</v>
      </c>
      <c r="B938" t="s">
        <v>16</v>
      </c>
      <c r="C938" t="s">
        <v>3944</v>
      </c>
      <c r="D938" t="s">
        <v>3945</v>
      </c>
      <c r="E938" t="s">
        <v>3946</v>
      </c>
      <c r="F938" t="s">
        <v>2911</v>
      </c>
      <c r="G938" t="s">
        <v>22</v>
      </c>
      <c r="H938" t="s">
        <v>22</v>
      </c>
      <c r="I938" t="s">
        <v>929</v>
      </c>
    </row>
    <row r="939" spans="1:9" ht="11.25" customHeight="1">
      <c r="A939" t="s">
        <v>2385</v>
      </c>
      <c r="B939" t="s">
        <v>16</v>
      </c>
      <c r="C939" t="s">
        <v>2858</v>
      </c>
      <c r="D939" t="s">
        <v>2859</v>
      </c>
      <c r="E939" t="s">
        <v>2860</v>
      </c>
      <c r="F939" t="s">
        <v>2837</v>
      </c>
      <c r="G939" t="s">
        <v>22</v>
      </c>
      <c r="H939" t="s">
        <v>22</v>
      </c>
      <c r="I939" t="s">
        <v>929</v>
      </c>
    </row>
    <row r="940" spans="1:9" ht="11.25" customHeight="1">
      <c r="A940" t="s">
        <v>2385</v>
      </c>
      <c r="B940" t="s">
        <v>16</v>
      </c>
      <c r="C940" t="s">
        <v>2861</v>
      </c>
      <c r="D940" t="s">
        <v>2862</v>
      </c>
      <c r="E940" t="s">
        <v>2863</v>
      </c>
      <c r="F940" t="s">
        <v>2667</v>
      </c>
      <c r="G940" t="s">
        <v>22</v>
      </c>
      <c r="H940" t="s">
        <v>22</v>
      </c>
      <c r="I940" t="s">
        <v>929</v>
      </c>
    </row>
    <row r="941" spans="1:9" ht="11.25" customHeight="1">
      <c r="A941" t="s">
        <v>2385</v>
      </c>
      <c r="B941" t="s">
        <v>16</v>
      </c>
      <c r="C941" t="s">
        <v>2864</v>
      </c>
      <c r="D941" t="s">
        <v>2865</v>
      </c>
      <c r="E941" t="s">
        <v>2866</v>
      </c>
      <c r="F941" t="s">
        <v>2819</v>
      </c>
      <c r="G941" t="s">
        <v>22</v>
      </c>
      <c r="H941" t="s">
        <v>22</v>
      </c>
      <c r="I941" t="s">
        <v>929</v>
      </c>
    </row>
    <row r="942" spans="1:9" ht="11.25" customHeight="1">
      <c r="A942" t="s">
        <v>2385</v>
      </c>
      <c r="B942" t="s">
        <v>16</v>
      </c>
      <c r="C942" t="s">
        <v>2867</v>
      </c>
      <c r="D942" t="s">
        <v>2868</v>
      </c>
      <c r="E942" t="s">
        <v>2869</v>
      </c>
      <c r="F942" t="s">
        <v>2819</v>
      </c>
      <c r="G942" t="s">
        <v>22</v>
      </c>
      <c r="H942" t="s">
        <v>22</v>
      </c>
      <c r="I942" t="s">
        <v>929</v>
      </c>
    </row>
    <row r="943" spans="1:9" ht="11.25" customHeight="1">
      <c r="A943" t="s">
        <v>2385</v>
      </c>
      <c r="B943" t="s">
        <v>16</v>
      </c>
      <c r="C943" t="s">
        <v>2870</v>
      </c>
      <c r="D943" t="s">
        <v>2871</v>
      </c>
      <c r="E943" t="s">
        <v>2872</v>
      </c>
      <c r="F943" t="s">
        <v>2819</v>
      </c>
      <c r="G943" t="s">
        <v>22</v>
      </c>
      <c r="H943" t="s">
        <v>22</v>
      </c>
      <c r="I943" t="s">
        <v>929</v>
      </c>
    </row>
    <row r="944" spans="1:9" ht="11.25" customHeight="1">
      <c r="A944" t="s">
        <v>2385</v>
      </c>
      <c r="B944" t="s">
        <v>16</v>
      </c>
      <c r="C944" t="s">
        <v>2873</v>
      </c>
      <c r="D944" t="s">
        <v>2874</v>
      </c>
      <c r="E944" t="s">
        <v>2875</v>
      </c>
      <c r="F944" t="s">
        <v>2819</v>
      </c>
      <c r="G944" t="s">
        <v>22</v>
      </c>
      <c r="H944" t="s">
        <v>22</v>
      </c>
      <c r="I944" t="s">
        <v>929</v>
      </c>
    </row>
    <row r="945" spans="1:9" ht="11.25" customHeight="1">
      <c r="A945" t="s">
        <v>2385</v>
      </c>
      <c r="B945" t="s">
        <v>16</v>
      </c>
      <c r="C945" t="s">
        <v>2876</v>
      </c>
      <c r="D945" t="s">
        <v>2877</v>
      </c>
      <c r="E945" t="s">
        <v>2878</v>
      </c>
      <c r="F945" t="s">
        <v>2819</v>
      </c>
      <c r="G945" t="s">
        <v>22</v>
      </c>
      <c r="H945" t="s">
        <v>22</v>
      </c>
      <c r="I945" t="s">
        <v>929</v>
      </c>
    </row>
    <row r="946" spans="1:9" ht="11.25" customHeight="1">
      <c r="A946" t="s">
        <v>2385</v>
      </c>
      <c r="B946" t="s">
        <v>16</v>
      </c>
      <c r="C946" t="s">
        <v>2879</v>
      </c>
      <c r="D946" t="s">
        <v>2880</v>
      </c>
      <c r="E946" t="s">
        <v>2881</v>
      </c>
      <c r="F946" t="s">
        <v>2819</v>
      </c>
      <c r="G946" t="s">
        <v>22</v>
      </c>
      <c r="H946" t="s">
        <v>22</v>
      </c>
      <c r="I946" t="s">
        <v>929</v>
      </c>
    </row>
    <row r="947" spans="1:9" ht="11.25" customHeight="1">
      <c r="A947" t="s">
        <v>2385</v>
      </c>
      <c r="B947" t="s">
        <v>16</v>
      </c>
      <c r="C947" t="s">
        <v>2882</v>
      </c>
      <c r="D947" t="s">
        <v>2883</v>
      </c>
      <c r="E947" t="s">
        <v>2884</v>
      </c>
      <c r="F947" t="s">
        <v>2484</v>
      </c>
      <c r="G947" t="s">
        <v>22</v>
      </c>
      <c r="H947" t="s">
        <v>22</v>
      </c>
      <c r="I947" t="s">
        <v>929</v>
      </c>
    </row>
    <row r="948" spans="1:9" ht="11.25" customHeight="1">
      <c r="A948" t="s">
        <v>2385</v>
      </c>
      <c r="B948" t="s">
        <v>16</v>
      </c>
      <c r="C948" t="s">
        <v>2885</v>
      </c>
      <c r="D948" t="s">
        <v>2886</v>
      </c>
      <c r="E948" t="s">
        <v>2887</v>
      </c>
      <c r="F948" t="s">
        <v>2819</v>
      </c>
      <c r="G948" t="s">
        <v>22</v>
      </c>
      <c r="H948" t="s">
        <v>22</v>
      </c>
      <c r="I948" t="s">
        <v>929</v>
      </c>
    </row>
    <row r="949" spans="1:9" ht="11.25" customHeight="1">
      <c r="A949" t="s">
        <v>2385</v>
      </c>
      <c r="B949" t="s">
        <v>16</v>
      </c>
      <c r="C949" t="s">
        <v>2888</v>
      </c>
      <c r="D949" t="s">
        <v>2889</v>
      </c>
      <c r="E949" t="s">
        <v>2890</v>
      </c>
      <c r="F949" t="s">
        <v>2891</v>
      </c>
      <c r="G949" t="s">
        <v>22</v>
      </c>
      <c r="H949" t="s">
        <v>22</v>
      </c>
      <c r="I949" t="s">
        <v>929</v>
      </c>
    </row>
    <row r="950" spans="1:9" ht="11.25" customHeight="1">
      <c r="A950" t="s">
        <v>2385</v>
      </c>
      <c r="B950" t="s">
        <v>16</v>
      </c>
      <c r="C950" t="s">
        <v>2892</v>
      </c>
      <c r="D950" t="s">
        <v>2893</v>
      </c>
      <c r="E950" t="s">
        <v>2894</v>
      </c>
      <c r="F950" t="s">
        <v>2819</v>
      </c>
      <c r="G950" t="s">
        <v>22</v>
      </c>
      <c r="H950" t="s">
        <v>22</v>
      </c>
      <c r="I950" t="s">
        <v>929</v>
      </c>
    </row>
    <row r="951" spans="1:9" ht="11.25" customHeight="1">
      <c r="A951" t="s">
        <v>2385</v>
      </c>
      <c r="B951" t="s">
        <v>16</v>
      </c>
      <c r="C951" t="s">
        <v>2895</v>
      </c>
      <c r="D951" t="s">
        <v>2896</v>
      </c>
      <c r="E951" t="s">
        <v>2897</v>
      </c>
      <c r="F951" t="s">
        <v>2898</v>
      </c>
      <c r="G951" t="s">
        <v>22</v>
      </c>
      <c r="H951" t="s">
        <v>22</v>
      </c>
      <c r="I951" t="s">
        <v>929</v>
      </c>
    </row>
    <row r="952" spans="1:9" ht="11.25" customHeight="1">
      <c r="A952" t="s">
        <v>2385</v>
      </c>
      <c r="B952" t="s">
        <v>16</v>
      </c>
      <c r="C952" t="s">
        <v>2899</v>
      </c>
      <c r="D952" t="s">
        <v>2900</v>
      </c>
      <c r="E952" t="s">
        <v>2901</v>
      </c>
      <c r="F952" t="s">
        <v>2640</v>
      </c>
      <c r="G952" t="s">
        <v>22</v>
      </c>
      <c r="H952" t="s">
        <v>22</v>
      </c>
      <c r="I952" t="s">
        <v>929</v>
      </c>
    </row>
    <row r="953" spans="1:9" ht="11.25" customHeight="1">
      <c r="A953" t="s">
        <v>2385</v>
      </c>
      <c r="B953" t="s">
        <v>16</v>
      </c>
      <c r="C953" t="s">
        <v>2902</v>
      </c>
      <c r="D953" t="s">
        <v>2903</v>
      </c>
      <c r="E953" t="s">
        <v>2904</v>
      </c>
      <c r="F953" t="s">
        <v>2663</v>
      </c>
      <c r="G953" t="s">
        <v>22</v>
      </c>
      <c r="H953" t="s">
        <v>22</v>
      </c>
      <c r="I953" t="s">
        <v>929</v>
      </c>
    </row>
    <row r="954" spans="1:9" ht="11.25" customHeight="1">
      <c r="A954" t="s">
        <v>2385</v>
      </c>
      <c r="B954" t="s">
        <v>16</v>
      </c>
      <c r="C954" t="s">
        <v>2905</v>
      </c>
      <c r="D954" t="s">
        <v>2906</v>
      </c>
      <c r="E954" t="s">
        <v>2907</v>
      </c>
      <c r="F954" t="s">
        <v>2434</v>
      </c>
      <c r="G954" t="s">
        <v>22</v>
      </c>
      <c r="H954" t="s">
        <v>22</v>
      </c>
      <c r="I954" t="s">
        <v>929</v>
      </c>
    </row>
    <row r="955" spans="1:9" ht="11.25" customHeight="1">
      <c r="A955" t="s">
        <v>2385</v>
      </c>
      <c r="B955" t="s">
        <v>16</v>
      </c>
      <c r="C955" t="s">
        <v>3953</v>
      </c>
      <c r="D955" t="s">
        <v>3954</v>
      </c>
      <c r="E955" t="s">
        <v>3955</v>
      </c>
      <c r="F955" t="s">
        <v>2955</v>
      </c>
      <c r="G955" t="s">
        <v>22</v>
      </c>
      <c r="H955" t="s">
        <v>22</v>
      </c>
      <c r="I955" t="s">
        <v>929</v>
      </c>
    </row>
    <row r="956" spans="1:9" ht="11.25" customHeight="1">
      <c r="A956" t="s">
        <v>2385</v>
      </c>
      <c r="B956" t="s">
        <v>16</v>
      </c>
      <c r="C956" t="s">
        <v>2912</v>
      </c>
      <c r="D956" t="s">
        <v>2913</v>
      </c>
      <c r="E956" t="s">
        <v>2914</v>
      </c>
      <c r="F956" t="s">
        <v>2667</v>
      </c>
      <c r="G956" t="s">
        <v>22</v>
      </c>
      <c r="H956" t="s">
        <v>22</v>
      </c>
      <c r="I956" t="s">
        <v>929</v>
      </c>
    </row>
    <row r="957" spans="1:9" ht="11.25" customHeight="1">
      <c r="A957" t="s">
        <v>2385</v>
      </c>
      <c r="B957" t="s">
        <v>16</v>
      </c>
      <c r="C957" t="s">
        <v>2918</v>
      </c>
      <c r="D957" t="s">
        <v>2919</v>
      </c>
      <c r="E957" t="s">
        <v>2920</v>
      </c>
      <c r="F957" t="s">
        <v>2663</v>
      </c>
      <c r="G957" t="s">
        <v>22</v>
      </c>
      <c r="H957" t="s">
        <v>22</v>
      </c>
      <c r="I957" t="s">
        <v>929</v>
      </c>
    </row>
    <row r="958" spans="1:9" ht="11.25" customHeight="1">
      <c r="A958" t="s">
        <v>2385</v>
      </c>
      <c r="B958" t="s">
        <v>16</v>
      </c>
      <c r="C958" t="s">
        <v>3959</v>
      </c>
      <c r="D958" t="s">
        <v>3960</v>
      </c>
      <c r="E958" t="s">
        <v>3961</v>
      </c>
      <c r="F958" t="s">
        <v>2647</v>
      </c>
      <c r="G958" t="s">
        <v>22</v>
      </c>
      <c r="H958" t="s">
        <v>22</v>
      </c>
      <c r="I958" t="s">
        <v>929</v>
      </c>
    </row>
    <row r="959" spans="1:9" ht="11.25" customHeight="1">
      <c r="A959" t="s">
        <v>2385</v>
      </c>
      <c r="B959" t="s">
        <v>16</v>
      </c>
      <c r="C959" t="s">
        <v>3962</v>
      </c>
      <c r="D959" t="s">
        <v>3963</v>
      </c>
      <c r="E959" t="s">
        <v>3964</v>
      </c>
      <c r="F959" t="s">
        <v>2647</v>
      </c>
      <c r="G959" t="s">
        <v>22</v>
      </c>
      <c r="H959" t="s">
        <v>22</v>
      </c>
      <c r="I959" t="s">
        <v>929</v>
      </c>
    </row>
    <row r="960" spans="1:9" ht="11.25" customHeight="1">
      <c r="A960" t="s">
        <v>2385</v>
      </c>
      <c r="B960" t="s">
        <v>16</v>
      </c>
      <c r="C960" t="s">
        <v>2924</v>
      </c>
      <c r="D960" t="s">
        <v>2925</v>
      </c>
      <c r="E960" t="s">
        <v>2926</v>
      </c>
      <c r="F960" t="s">
        <v>2434</v>
      </c>
      <c r="G960" t="s">
        <v>22</v>
      </c>
      <c r="H960" t="s">
        <v>22</v>
      </c>
      <c r="I960" t="s">
        <v>929</v>
      </c>
    </row>
    <row r="961" spans="1:9" ht="11.25" customHeight="1">
      <c r="A961" t="s">
        <v>2385</v>
      </c>
      <c r="B961" t="s">
        <v>16</v>
      </c>
      <c r="C961" t="s">
        <v>2927</v>
      </c>
      <c r="D961" t="s">
        <v>2928</v>
      </c>
      <c r="E961" t="s">
        <v>2929</v>
      </c>
      <c r="F961" t="s">
        <v>2434</v>
      </c>
      <c r="G961" t="s">
        <v>22</v>
      </c>
      <c r="H961" t="s">
        <v>22</v>
      </c>
      <c r="I961" t="s">
        <v>929</v>
      </c>
    </row>
    <row r="962" spans="1:9" ht="11.25" customHeight="1">
      <c r="A962" t="s">
        <v>2385</v>
      </c>
      <c r="B962" t="s">
        <v>16</v>
      </c>
      <c r="C962" t="s">
        <v>3965</v>
      </c>
      <c r="D962" t="s">
        <v>3966</v>
      </c>
      <c r="E962" t="s">
        <v>3967</v>
      </c>
      <c r="F962" t="s">
        <v>2663</v>
      </c>
      <c r="G962" t="s">
        <v>22</v>
      </c>
      <c r="H962" t="s">
        <v>22</v>
      </c>
      <c r="I962" t="s">
        <v>929</v>
      </c>
    </row>
    <row r="963" spans="1:9" ht="11.25" customHeight="1">
      <c r="A963" t="s">
        <v>2385</v>
      </c>
      <c r="B963" t="s">
        <v>16</v>
      </c>
      <c r="C963" t="s">
        <v>3968</v>
      </c>
      <c r="D963" t="s">
        <v>3969</v>
      </c>
      <c r="E963" t="s">
        <v>3970</v>
      </c>
      <c r="F963" t="s">
        <v>2763</v>
      </c>
      <c r="G963" t="s">
        <v>3971</v>
      </c>
      <c r="H963" t="s">
        <v>22</v>
      </c>
      <c r="I963" t="s">
        <v>929</v>
      </c>
    </row>
    <row r="964" spans="1:9" ht="11.25" customHeight="1">
      <c r="A964" t="s">
        <v>2385</v>
      </c>
      <c r="B964" t="s">
        <v>16</v>
      </c>
      <c r="C964" t="s">
        <v>2936</v>
      </c>
      <c r="D964" t="s">
        <v>2937</v>
      </c>
      <c r="E964" t="s">
        <v>2938</v>
      </c>
      <c r="F964" t="s">
        <v>2659</v>
      </c>
      <c r="G964" t="s">
        <v>22</v>
      </c>
      <c r="H964" t="s">
        <v>22</v>
      </c>
      <c r="I964" t="s">
        <v>929</v>
      </c>
    </row>
    <row r="965" spans="1:9" ht="11.25" customHeight="1">
      <c r="A965" t="s">
        <v>2385</v>
      </c>
      <c r="B965" t="s">
        <v>16</v>
      </c>
      <c r="C965" t="s">
        <v>2939</v>
      </c>
      <c r="D965" t="s">
        <v>2940</v>
      </c>
      <c r="E965" t="s">
        <v>2941</v>
      </c>
      <c r="F965" t="s">
        <v>2655</v>
      </c>
      <c r="G965" t="s">
        <v>22</v>
      </c>
      <c r="H965" t="s">
        <v>22</v>
      </c>
      <c r="I965" t="s">
        <v>929</v>
      </c>
    </row>
    <row r="966" spans="1:9" ht="11.25" customHeight="1">
      <c r="A966" t="s">
        <v>2385</v>
      </c>
      <c r="B966" t="s">
        <v>16</v>
      </c>
      <c r="C966" t="s">
        <v>2942</v>
      </c>
      <c r="D966" t="s">
        <v>2943</v>
      </c>
      <c r="E966" t="s">
        <v>2944</v>
      </c>
      <c r="F966" t="s">
        <v>2819</v>
      </c>
      <c r="G966" t="s">
        <v>22</v>
      </c>
      <c r="H966" t="s">
        <v>22</v>
      </c>
      <c r="I966" t="s">
        <v>929</v>
      </c>
    </row>
    <row r="967" spans="1:9" ht="11.25" customHeight="1">
      <c r="A967" t="s">
        <v>2385</v>
      </c>
      <c r="B967" t="s">
        <v>16</v>
      </c>
      <c r="C967" t="s">
        <v>2945</v>
      </c>
      <c r="D967" t="s">
        <v>2946</v>
      </c>
      <c r="E967" t="s">
        <v>2947</v>
      </c>
      <c r="F967" t="s">
        <v>2948</v>
      </c>
      <c r="G967" t="s">
        <v>22</v>
      </c>
      <c r="H967" t="s">
        <v>22</v>
      </c>
      <c r="I967" t="s">
        <v>929</v>
      </c>
    </row>
    <row r="968" spans="1:9" ht="11.25" customHeight="1">
      <c r="A968" t="s">
        <v>2385</v>
      </c>
      <c r="B968" t="s">
        <v>16</v>
      </c>
      <c r="C968" t="s">
        <v>2949</v>
      </c>
      <c r="D968" t="s">
        <v>2950</v>
      </c>
      <c r="E968" t="s">
        <v>2951</v>
      </c>
      <c r="F968" t="s">
        <v>2442</v>
      </c>
      <c r="G968" t="s">
        <v>22</v>
      </c>
      <c r="H968" t="s">
        <v>22</v>
      </c>
      <c r="I968" t="s">
        <v>929</v>
      </c>
    </row>
    <row r="969" spans="1:9" ht="11.25" customHeight="1">
      <c r="A969" t="s">
        <v>2385</v>
      </c>
      <c r="B969" t="s">
        <v>16</v>
      </c>
      <c r="C969" t="s">
        <v>2952</v>
      </c>
      <c r="D969" t="s">
        <v>2953</v>
      </c>
      <c r="E969" t="s">
        <v>2954</v>
      </c>
      <c r="F969" t="s">
        <v>2955</v>
      </c>
      <c r="G969" t="s">
        <v>22</v>
      </c>
      <c r="H969" t="s">
        <v>22</v>
      </c>
      <c r="I969" t="s">
        <v>929</v>
      </c>
    </row>
    <row r="970" spans="1:9" ht="11.25" customHeight="1">
      <c r="A970" t="s">
        <v>2385</v>
      </c>
      <c r="B970" t="s">
        <v>16</v>
      </c>
      <c r="C970" t="s">
        <v>2956</v>
      </c>
      <c r="D970" t="s">
        <v>2957</v>
      </c>
      <c r="E970" t="s">
        <v>2958</v>
      </c>
      <c r="F970" t="s">
        <v>2819</v>
      </c>
      <c r="G970" t="s">
        <v>22</v>
      </c>
      <c r="H970" t="s">
        <v>22</v>
      </c>
      <c r="I970" t="s">
        <v>929</v>
      </c>
    </row>
    <row r="971" spans="1:9" ht="11.25" customHeight="1">
      <c r="A971" t="s">
        <v>2385</v>
      </c>
      <c r="B971" t="s">
        <v>16</v>
      </c>
      <c r="C971" t="s">
        <v>2962</v>
      </c>
      <c r="D971" t="s">
        <v>2963</v>
      </c>
      <c r="E971" t="s">
        <v>2964</v>
      </c>
      <c r="F971" t="s">
        <v>2837</v>
      </c>
      <c r="G971" t="s">
        <v>22</v>
      </c>
      <c r="H971" t="s">
        <v>22</v>
      </c>
      <c r="I971" t="s">
        <v>929</v>
      </c>
    </row>
    <row r="972" spans="1:9" ht="11.25" customHeight="1">
      <c r="A972" t="s">
        <v>2385</v>
      </c>
      <c r="B972" t="s">
        <v>16</v>
      </c>
      <c r="C972" t="s">
        <v>2965</v>
      </c>
      <c r="D972" t="s">
        <v>2966</v>
      </c>
      <c r="E972" t="s">
        <v>2967</v>
      </c>
      <c r="F972" t="s">
        <v>2968</v>
      </c>
      <c r="G972" t="s">
        <v>22</v>
      </c>
      <c r="H972" t="s">
        <v>22</v>
      </c>
      <c r="I972" t="s">
        <v>929</v>
      </c>
    </row>
    <row r="973" spans="1:9" ht="11.25" customHeight="1">
      <c r="A973" t="s">
        <v>2385</v>
      </c>
      <c r="B973" t="s">
        <v>16</v>
      </c>
      <c r="C973" t="s">
        <v>3975</v>
      </c>
      <c r="D973" t="s">
        <v>3976</v>
      </c>
      <c r="E973" t="s">
        <v>3977</v>
      </c>
      <c r="F973" t="s">
        <v>3027</v>
      </c>
      <c r="G973" t="s">
        <v>22</v>
      </c>
      <c r="H973" t="s">
        <v>22</v>
      </c>
      <c r="I973" t="s">
        <v>929</v>
      </c>
    </row>
    <row r="974" spans="1:9" ht="11.25" customHeight="1">
      <c r="A974" t="s">
        <v>2385</v>
      </c>
      <c r="B974" t="s">
        <v>16</v>
      </c>
      <c r="C974" t="s">
        <v>2969</v>
      </c>
      <c r="D974" t="s">
        <v>2970</v>
      </c>
      <c r="E974" t="s">
        <v>2971</v>
      </c>
      <c r="F974" t="s">
        <v>2674</v>
      </c>
      <c r="G974" t="s">
        <v>22</v>
      </c>
      <c r="H974" t="s">
        <v>22</v>
      </c>
      <c r="I974" t="s">
        <v>929</v>
      </c>
    </row>
    <row r="975" spans="1:9" ht="11.25" customHeight="1">
      <c r="A975" t="s">
        <v>2385</v>
      </c>
      <c r="B975" t="s">
        <v>16</v>
      </c>
      <c r="C975" t="s">
        <v>2972</v>
      </c>
      <c r="D975" t="s">
        <v>2973</v>
      </c>
      <c r="E975" t="s">
        <v>2974</v>
      </c>
      <c r="F975" t="s">
        <v>2975</v>
      </c>
      <c r="G975" t="s">
        <v>22</v>
      </c>
      <c r="H975" t="s">
        <v>22</v>
      </c>
      <c r="I975" t="s">
        <v>929</v>
      </c>
    </row>
    <row r="976" spans="1:9" ht="11.25" customHeight="1">
      <c r="A976" t="s">
        <v>2385</v>
      </c>
      <c r="B976" t="s">
        <v>16</v>
      </c>
      <c r="C976" t="s">
        <v>2976</v>
      </c>
      <c r="D976" t="s">
        <v>2977</v>
      </c>
      <c r="E976" t="s">
        <v>2978</v>
      </c>
      <c r="F976" t="s">
        <v>2453</v>
      </c>
      <c r="G976" t="s">
        <v>22</v>
      </c>
      <c r="H976" t="s">
        <v>22</v>
      </c>
      <c r="I976" t="s">
        <v>929</v>
      </c>
    </row>
    <row r="977" spans="1:9" ht="11.25" customHeight="1">
      <c r="A977" t="s">
        <v>2385</v>
      </c>
      <c r="B977" t="s">
        <v>16</v>
      </c>
      <c r="C977" t="s">
        <v>3985</v>
      </c>
      <c r="D977" t="s">
        <v>3986</v>
      </c>
      <c r="E977" t="s">
        <v>3987</v>
      </c>
      <c r="F977" t="s">
        <v>2667</v>
      </c>
      <c r="G977" t="s">
        <v>22</v>
      </c>
      <c r="H977" t="s">
        <v>22</v>
      </c>
      <c r="I977" t="s">
        <v>929</v>
      </c>
    </row>
    <row r="978" spans="1:9" ht="11.25" customHeight="1">
      <c r="A978" t="s">
        <v>2385</v>
      </c>
      <c r="B978" t="s">
        <v>16</v>
      </c>
      <c r="C978" t="s">
        <v>2979</v>
      </c>
      <c r="D978" t="s">
        <v>2980</v>
      </c>
      <c r="E978" t="s">
        <v>2981</v>
      </c>
      <c r="F978" t="s">
        <v>2651</v>
      </c>
      <c r="G978" t="s">
        <v>22</v>
      </c>
      <c r="H978" t="s">
        <v>22</v>
      </c>
      <c r="I978" t="s">
        <v>929</v>
      </c>
    </row>
    <row r="979" spans="1:9" ht="11.25" customHeight="1">
      <c r="A979" t="s">
        <v>2385</v>
      </c>
      <c r="B979" t="s">
        <v>16</v>
      </c>
      <c r="C979" t="s">
        <v>2982</v>
      </c>
      <c r="D979" t="s">
        <v>2983</v>
      </c>
      <c r="E979" t="s">
        <v>2984</v>
      </c>
      <c r="F979" t="s">
        <v>2771</v>
      </c>
      <c r="G979" t="s">
        <v>2985</v>
      </c>
      <c r="H979" t="s">
        <v>22</v>
      </c>
      <c r="I979" t="s">
        <v>929</v>
      </c>
    </row>
    <row r="980" spans="1:9" ht="11.25" customHeight="1">
      <c r="A980" t="s">
        <v>2385</v>
      </c>
      <c r="B980" t="s">
        <v>16</v>
      </c>
      <c r="C980" t="s">
        <v>2986</v>
      </c>
      <c r="D980" t="s">
        <v>2987</v>
      </c>
      <c r="E980" t="s">
        <v>2988</v>
      </c>
      <c r="F980" t="s">
        <v>2830</v>
      </c>
      <c r="G980" t="s">
        <v>22</v>
      </c>
      <c r="H980" t="s">
        <v>22</v>
      </c>
      <c r="I980" t="s">
        <v>929</v>
      </c>
    </row>
    <row r="981" spans="1:9" ht="11.25" customHeight="1">
      <c r="A981" t="s">
        <v>2385</v>
      </c>
      <c r="B981" t="s">
        <v>16</v>
      </c>
      <c r="C981" t="s">
        <v>2989</v>
      </c>
      <c r="D981" t="s">
        <v>2990</v>
      </c>
      <c r="E981" t="s">
        <v>2991</v>
      </c>
      <c r="F981" t="s">
        <v>2659</v>
      </c>
      <c r="G981" t="s">
        <v>22</v>
      </c>
      <c r="H981" t="s">
        <v>22</v>
      </c>
      <c r="I981" t="s">
        <v>929</v>
      </c>
    </row>
    <row r="982" spans="1:9" ht="11.25" customHeight="1">
      <c r="A982" t="s">
        <v>2385</v>
      </c>
      <c r="B982" t="s">
        <v>16</v>
      </c>
      <c r="C982" t="s">
        <v>2992</v>
      </c>
      <c r="D982" t="s">
        <v>2993</v>
      </c>
      <c r="E982" t="s">
        <v>2994</v>
      </c>
      <c r="F982" t="s">
        <v>2995</v>
      </c>
      <c r="G982" t="s">
        <v>22</v>
      </c>
      <c r="H982" t="s">
        <v>22</v>
      </c>
      <c r="I982" t="s">
        <v>929</v>
      </c>
    </row>
    <row r="983" spans="1:9" ht="11.25" customHeight="1">
      <c r="A983" t="s">
        <v>2385</v>
      </c>
      <c r="B983" t="s">
        <v>16</v>
      </c>
      <c r="C983" t="s">
        <v>2996</v>
      </c>
      <c r="D983" t="s">
        <v>2997</v>
      </c>
      <c r="E983" t="s">
        <v>2998</v>
      </c>
      <c r="F983" t="s">
        <v>2631</v>
      </c>
      <c r="G983" t="s">
        <v>22</v>
      </c>
      <c r="H983" t="s">
        <v>22</v>
      </c>
      <c r="I983" t="s">
        <v>929</v>
      </c>
    </row>
    <row r="984" spans="1:9" ht="11.25" customHeight="1">
      <c r="A984" t="s">
        <v>2385</v>
      </c>
      <c r="B984" t="s">
        <v>16</v>
      </c>
      <c r="C984" t="s">
        <v>2999</v>
      </c>
      <c r="D984" t="s">
        <v>3000</v>
      </c>
      <c r="E984" t="s">
        <v>3001</v>
      </c>
      <c r="F984" t="s">
        <v>3002</v>
      </c>
      <c r="G984" t="s">
        <v>22</v>
      </c>
      <c r="H984" t="s">
        <v>22</v>
      </c>
      <c r="I984" t="s">
        <v>929</v>
      </c>
    </row>
    <row r="985" spans="1:9" ht="11.25" customHeight="1">
      <c r="A985" t="s">
        <v>2385</v>
      </c>
      <c r="B985" t="s">
        <v>16</v>
      </c>
      <c r="C985" t="s">
        <v>3003</v>
      </c>
      <c r="D985" t="s">
        <v>3004</v>
      </c>
      <c r="E985" t="s">
        <v>3005</v>
      </c>
      <c r="F985" t="s">
        <v>2667</v>
      </c>
      <c r="G985" t="s">
        <v>3006</v>
      </c>
      <c r="H985" t="s">
        <v>22</v>
      </c>
      <c r="I985" t="s">
        <v>929</v>
      </c>
    </row>
    <row r="986" spans="1:9" ht="11.25" customHeight="1">
      <c r="A986" t="s">
        <v>2385</v>
      </c>
      <c r="B986" t="s">
        <v>16</v>
      </c>
      <c r="C986" t="s">
        <v>3007</v>
      </c>
      <c r="D986" t="s">
        <v>3008</v>
      </c>
      <c r="E986" t="s">
        <v>3009</v>
      </c>
      <c r="F986" t="s">
        <v>2667</v>
      </c>
      <c r="G986" t="s">
        <v>22</v>
      </c>
      <c r="H986" t="s">
        <v>22</v>
      </c>
      <c r="I986" t="s">
        <v>929</v>
      </c>
    </row>
    <row r="987" spans="1:9" ht="11.25" customHeight="1">
      <c r="A987" t="s">
        <v>2385</v>
      </c>
      <c r="B987" t="s">
        <v>16</v>
      </c>
      <c r="C987" t="s">
        <v>3010</v>
      </c>
      <c r="D987" t="s">
        <v>3011</v>
      </c>
      <c r="E987" t="s">
        <v>3012</v>
      </c>
      <c r="F987" t="s">
        <v>3013</v>
      </c>
      <c r="G987" t="s">
        <v>22</v>
      </c>
      <c r="H987" t="s">
        <v>22</v>
      </c>
      <c r="I987" t="s">
        <v>929</v>
      </c>
    </row>
    <row r="988" spans="1:9" ht="11.25" customHeight="1">
      <c r="A988" t="s">
        <v>2385</v>
      </c>
      <c r="B988" t="s">
        <v>16</v>
      </c>
      <c r="C988" t="s">
        <v>3014</v>
      </c>
      <c r="D988" t="s">
        <v>3015</v>
      </c>
      <c r="E988" t="s">
        <v>3016</v>
      </c>
      <c r="F988" t="s">
        <v>2819</v>
      </c>
      <c r="G988" t="s">
        <v>22</v>
      </c>
      <c r="H988" t="s">
        <v>22</v>
      </c>
      <c r="I988" t="s">
        <v>929</v>
      </c>
    </row>
    <row r="989" spans="1:9" ht="11.25" customHeight="1">
      <c r="A989" t="s">
        <v>2385</v>
      </c>
      <c r="B989" t="s">
        <v>16</v>
      </c>
      <c r="C989" t="s">
        <v>3017</v>
      </c>
      <c r="D989" t="s">
        <v>3018</v>
      </c>
      <c r="E989" t="s">
        <v>3019</v>
      </c>
      <c r="F989" t="s">
        <v>2631</v>
      </c>
      <c r="G989" t="s">
        <v>3020</v>
      </c>
      <c r="H989" t="s">
        <v>22</v>
      </c>
      <c r="I989" t="s">
        <v>929</v>
      </c>
    </row>
    <row r="990" spans="1:9" ht="11.25" customHeight="1">
      <c r="A990" t="s">
        <v>2385</v>
      </c>
      <c r="B990" t="s">
        <v>16</v>
      </c>
      <c r="C990" t="s">
        <v>3024</v>
      </c>
      <c r="D990" t="s">
        <v>3025</v>
      </c>
      <c r="E990" t="s">
        <v>3026</v>
      </c>
      <c r="F990" t="s">
        <v>3027</v>
      </c>
      <c r="G990" t="s">
        <v>22</v>
      </c>
      <c r="H990" t="s">
        <v>22</v>
      </c>
      <c r="I990" t="s">
        <v>929</v>
      </c>
    </row>
    <row r="991" spans="1:9" ht="11.25" customHeight="1">
      <c r="A991" t="s">
        <v>2385</v>
      </c>
      <c r="B991" t="s">
        <v>16</v>
      </c>
      <c r="C991" t="s">
        <v>3028</v>
      </c>
      <c r="D991" t="s">
        <v>3029</v>
      </c>
      <c r="E991" t="s">
        <v>3030</v>
      </c>
      <c r="F991" t="s">
        <v>2975</v>
      </c>
      <c r="G991" t="s">
        <v>22</v>
      </c>
      <c r="H991" t="s">
        <v>22</v>
      </c>
      <c r="I991" t="s">
        <v>929</v>
      </c>
    </row>
    <row r="992" spans="1:9" ht="11.25" customHeight="1">
      <c r="A992" t="s">
        <v>2385</v>
      </c>
      <c r="B992" t="s">
        <v>16</v>
      </c>
      <c r="C992" t="s">
        <v>3031</v>
      </c>
      <c r="D992" t="s">
        <v>3032</v>
      </c>
      <c r="E992" t="s">
        <v>3033</v>
      </c>
      <c r="F992" t="s">
        <v>2771</v>
      </c>
      <c r="G992" t="s">
        <v>3034</v>
      </c>
      <c r="H992" t="s">
        <v>3035</v>
      </c>
      <c r="I992" t="s">
        <v>929</v>
      </c>
    </row>
    <row r="993" spans="1:9" ht="11.25" customHeight="1">
      <c r="A993" t="s">
        <v>2385</v>
      </c>
      <c r="B993" t="s">
        <v>16</v>
      </c>
      <c r="C993" t="s">
        <v>3988</v>
      </c>
      <c r="D993" t="s">
        <v>3989</v>
      </c>
      <c r="E993" t="s">
        <v>3990</v>
      </c>
      <c r="F993" t="s">
        <v>3027</v>
      </c>
      <c r="G993" t="s">
        <v>22</v>
      </c>
      <c r="H993" t="s">
        <v>22</v>
      </c>
      <c r="I993" t="s">
        <v>929</v>
      </c>
    </row>
    <row r="994" spans="1:9" ht="11.25" customHeight="1">
      <c r="A994" t="s">
        <v>2385</v>
      </c>
      <c r="B994" t="s">
        <v>16</v>
      </c>
      <c r="C994" t="s">
        <v>3036</v>
      </c>
      <c r="D994" t="s">
        <v>3037</v>
      </c>
      <c r="E994" t="s">
        <v>3038</v>
      </c>
      <c r="F994" t="s">
        <v>2631</v>
      </c>
      <c r="G994" t="s">
        <v>3039</v>
      </c>
      <c r="H994" t="s">
        <v>22</v>
      </c>
      <c r="I994" t="s">
        <v>929</v>
      </c>
    </row>
    <row r="995" spans="1:9" ht="11.25" customHeight="1">
      <c r="A995" t="s">
        <v>2385</v>
      </c>
      <c r="B995" t="s">
        <v>16</v>
      </c>
      <c r="C995" t="s">
        <v>3055</v>
      </c>
      <c r="D995" t="s">
        <v>3056</v>
      </c>
      <c r="E995" t="s">
        <v>3057</v>
      </c>
      <c r="F995" t="s">
        <v>2631</v>
      </c>
      <c r="G995" t="s">
        <v>22</v>
      </c>
      <c r="H995" t="s">
        <v>22</v>
      </c>
      <c r="I995" t="s">
        <v>929</v>
      </c>
    </row>
    <row r="996" spans="1:9" ht="11.25" customHeight="1">
      <c r="A996" t="s">
        <v>2385</v>
      </c>
      <c r="B996" t="s">
        <v>16</v>
      </c>
      <c r="C996" t="s">
        <v>3067</v>
      </c>
      <c r="D996" t="s">
        <v>3068</v>
      </c>
      <c r="E996" t="s">
        <v>3069</v>
      </c>
      <c r="F996" t="s">
        <v>3070</v>
      </c>
      <c r="G996" t="s">
        <v>22</v>
      </c>
      <c r="H996" t="s">
        <v>22</v>
      </c>
      <c r="I996" t="s">
        <v>929</v>
      </c>
    </row>
    <row r="997" spans="1:9" ht="11.25" customHeight="1">
      <c r="A997" t="s">
        <v>2385</v>
      </c>
      <c r="B997" t="s">
        <v>16</v>
      </c>
      <c r="C997" t="s">
        <v>3994</v>
      </c>
      <c r="D997" t="s">
        <v>3995</v>
      </c>
      <c r="E997" t="s">
        <v>3996</v>
      </c>
      <c r="F997" t="s">
        <v>2667</v>
      </c>
      <c r="G997" t="s">
        <v>22</v>
      </c>
      <c r="H997" t="s">
        <v>22</v>
      </c>
      <c r="I997" t="s">
        <v>929</v>
      </c>
    </row>
    <row r="998" spans="1:9" ht="11.25" customHeight="1">
      <c r="A998" t="s">
        <v>2385</v>
      </c>
      <c r="B998" t="s">
        <v>16</v>
      </c>
      <c r="C998" t="s">
        <v>4169</v>
      </c>
      <c r="D998" t="s">
        <v>4170</v>
      </c>
      <c r="E998" t="s">
        <v>4171</v>
      </c>
      <c r="F998" t="s">
        <v>2416</v>
      </c>
      <c r="G998" t="s">
        <v>22</v>
      </c>
      <c r="H998" t="s">
        <v>22</v>
      </c>
      <c r="I998" t="s">
        <v>929</v>
      </c>
    </row>
    <row r="999" spans="1:9" ht="11.25" customHeight="1">
      <c r="A999" t="s">
        <v>2385</v>
      </c>
      <c r="B999" t="s">
        <v>16</v>
      </c>
      <c r="C999" t="s">
        <v>4172</v>
      </c>
      <c r="D999" t="s">
        <v>4173</v>
      </c>
      <c r="E999" t="s">
        <v>4174</v>
      </c>
      <c r="F999" t="s">
        <v>2416</v>
      </c>
      <c r="G999" t="s">
        <v>22</v>
      </c>
      <c r="H999" t="s">
        <v>22</v>
      </c>
      <c r="I999" t="s">
        <v>929</v>
      </c>
    </row>
    <row r="1000" spans="1:9" ht="11.25" customHeight="1">
      <c r="A1000" t="s">
        <v>2385</v>
      </c>
      <c r="B1000" t="s">
        <v>16</v>
      </c>
      <c r="C1000" t="s">
        <v>3086</v>
      </c>
      <c r="D1000" t="s">
        <v>3087</v>
      </c>
      <c r="E1000" t="s">
        <v>3088</v>
      </c>
      <c r="F1000" t="s">
        <v>2449</v>
      </c>
      <c r="G1000" t="s">
        <v>22</v>
      </c>
      <c r="H1000" t="s">
        <v>22</v>
      </c>
      <c r="I1000" t="s">
        <v>929</v>
      </c>
    </row>
    <row r="1001" spans="1:9" ht="11.25" customHeight="1">
      <c r="A1001" t="s">
        <v>2385</v>
      </c>
      <c r="B1001" t="s">
        <v>16</v>
      </c>
      <c r="C1001" t="s">
        <v>3089</v>
      </c>
      <c r="D1001" t="s">
        <v>3090</v>
      </c>
      <c r="E1001" t="s">
        <v>3091</v>
      </c>
      <c r="F1001" t="s">
        <v>2463</v>
      </c>
      <c r="G1001" t="s">
        <v>22</v>
      </c>
      <c r="H1001" t="s">
        <v>22</v>
      </c>
      <c r="I1001" t="s">
        <v>929</v>
      </c>
    </row>
    <row r="1002" spans="1:9" ht="11.25" customHeight="1">
      <c r="A1002" t="s">
        <v>2385</v>
      </c>
      <c r="B1002" t="s">
        <v>16</v>
      </c>
      <c r="C1002" t="s">
        <v>3095</v>
      </c>
      <c r="D1002" t="s">
        <v>3096</v>
      </c>
      <c r="E1002" t="s">
        <v>3097</v>
      </c>
      <c r="F1002" t="s">
        <v>2667</v>
      </c>
      <c r="G1002" t="s">
        <v>22</v>
      </c>
      <c r="H1002" t="s">
        <v>3098</v>
      </c>
      <c r="I1002" t="s">
        <v>929</v>
      </c>
    </row>
    <row r="1003" spans="1:9" ht="11.25" customHeight="1">
      <c r="A1003" t="s">
        <v>2385</v>
      </c>
      <c r="B1003" t="s">
        <v>16</v>
      </c>
      <c r="C1003" t="s">
        <v>3103</v>
      </c>
      <c r="D1003" t="s">
        <v>3104</v>
      </c>
      <c r="E1003" t="s">
        <v>3105</v>
      </c>
      <c r="F1003" t="s">
        <v>2841</v>
      </c>
      <c r="G1003" t="s">
        <v>22</v>
      </c>
      <c r="H1003" t="s">
        <v>22</v>
      </c>
      <c r="I1003" t="s">
        <v>929</v>
      </c>
    </row>
    <row r="1004" spans="1:9" ht="11.25" customHeight="1">
      <c r="A1004" t="s">
        <v>2385</v>
      </c>
      <c r="B1004" t="s">
        <v>16</v>
      </c>
      <c r="C1004" t="s">
        <v>3106</v>
      </c>
      <c r="D1004" t="s">
        <v>3107</v>
      </c>
      <c r="E1004" t="s">
        <v>3108</v>
      </c>
      <c r="F1004" t="s">
        <v>2484</v>
      </c>
      <c r="G1004" t="s">
        <v>22</v>
      </c>
      <c r="H1004" t="s">
        <v>22</v>
      </c>
      <c r="I1004" t="s">
        <v>929</v>
      </c>
    </row>
    <row r="1005" spans="1:9" ht="11.25" customHeight="1">
      <c r="A1005" t="s">
        <v>2385</v>
      </c>
      <c r="B1005" t="s">
        <v>16</v>
      </c>
      <c r="C1005" t="s">
        <v>3109</v>
      </c>
      <c r="D1005" t="s">
        <v>3110</v>
      </c>
      <c r="E1005" t="s">
        <v>3111</v>
      </c>
      <c r="F1005" t="s">
        <v>2442</v>
      </c>
      <c r="G1005" t="s">
        <v>22</v>
      </c>
      <c r="H1005" t="s">
        <v>22</v>
      </c>
      <c r="I1005" t="s">
        <v>929</v>
      </c>
    </row>
    <row r="1006" spans="1:9" ht="11.25" customHeight="1">
      <c r="A1006" t="s">
        <v>2385</v>
      </c>
      <c r="B1006" t="s">
        <v>16</v>
      </c>
      <c r="C1006" t="s">
        <v>3118</v>
      </c>
      <c r="D1006" t="s">
        <v>3119</v>
      </c>
      <c r="E1006" t="s">
        <v>3120</v>
      </c>
      <c r="F1006" t="s">
        <v>2819</v>
      </c>
      <c r="G1006" t="s">
        <v>22</v>
      </c>
      <c r="H1006" t="s">
        <v>22</v>
      </c>
      <c r="I1006" t="s">
        <v>929</v>
      </c>
    </row>
    <row r="1007" spans="1:9" ht="11.25" customHeight="1">
      <c r="A1007" t="s">
        <v>2385</v>
      </c>
      <c r="B1007" t="s">
        <v>16</v>
      </c>
      <c r="C1007" t="s">
        <v>4175</v>
      </c>
      <c r="D1007" t="s">
        <v>4176</v>
      </c>
      <c r="E1007" t="s">
        <v>4177</v>
      </c>
      <c r="F1007" t="s">
        <v>3027</v>
      </c>
      <c r="G1007" t="s">
        <v>22</v>
      </c>
      <c r="H1007" t="s">
        <v>22</v>
      </c>
      <c r="I1007" t="s">
        <v>929</v>
      </c>
    </row>
    <row r="1008" spans="1:9" ht="11.25" customHeight="1">
      <c r="A1008" t="s">
        <v>2385</v>
      </c>
      <c r="B1008" t="s">
        <v>16</v>
      </c>
      <c r="C1008" t="s">
        <v>3127</v>
      </c>
      <c r="D1008" t="s">
        <v>3128</v>
      </c>
      <c r="E1008" t="s">
        <v>2699</v>
      </c>
      <c r="F1008" t="s">
        <v>3129</v>
      </c>
      <c r="G1008" t="s">
        <v>22</v>
      </c>
      <c r="H1008" t="s">
        <v>22</v>
      </c>
      <c r="I1008" t="s">
        <v>929</v>
      </c>
    </row>
    <row r="1009" spans="1:9" ht="11.25" customHeight="1">
      <c r="A1009" t="s">
        <v>2385</v>
      </c>
      <c r="B1009" t="s">
        <v>16</v>
      </c>
      <c r="C1009" t="s">
        <v>3133</v>
      </c>
      <c r="D1009" t="s">
        <v>3134</v>
      </c>
      <c r="E1009" t="s">
        <v>3135</v>
      </c>
      <c r="F1009" t="s">
        <v>2406</v>
      </c>
      <c r="G1009" t="s">
        <v>22</v>
      </c>
      <c r="H1009" t="s">
        <v>22</v>
      </c>
      <c r="I1009" t="s">
        <v>929</v>
      </c>
    </row>
    <row r="1010" spans="1:9" ht="11.25" customHeight="1">
      <c r="A1010" t="s">
        <v>2385</v>
      </c>
      <c r="B1010" t="s">
        <v>16</v>
      </c>
      <c r="C1010" t="s">
        <v>4000</v>
      </c>
      <c r="D1010" t="s">
        <v>4001</v>
      </c>
      <c r="E1010" t="s">
        <v>4002</v>
      </c>
      <c r="F1010" t="s">
        <v>2449</v>
      </c>
      <c r="G1010" t="s">
        <v>22</v>
      </c>
      <c r="H1010" t="s">
        <v>22</v>
      </c>
      <c r="I1010" t="s">
        <v>929</v>
      </c>
    </row>
    <row r="1011" spans="1:9" ht="11.25" customHeight="1">
      <c r="A1011" t="s">
        <v>2385</v>
      </c>
      <c r="B1011" t="s">
        <v>16</v>
      </c>
      <c r="C1011" t="s">
        <v>3139</v>
      </c>
      <c r="D1011" t="s">
        <v>3140</v>
      </c>
      <c r="E1011" t="s">
        <v>3141</v>
      </c>
      <c r="F1011" t="s">
        <v>2393</v>
      </c>
      <c r="G1011" t="s">
        <v>22</v>
      </c>
      <c r="H1011" t="s">
        <v>22</v>
      </c>
      <c r="I1011" t="s">
        <v>929</v>
      </c>
    </row>
    <row r="1012" spans="1:9" ht="11.25" customHeight="1">
      <c r="A1012" t="s">
        <v>2385</v>
      </c>
      <c r="B1012" t="s">
        <v>16</v>
      </c>
      <c r="C1012" t="s">
        <v>3142</v>
      </c>
      <c r="D1012" t="s">
        <v>3143</v>
      </c>
      <c r="E1012" t="s">
        <v>3144</v>
      </c>
      <c r="F1012" t="s">
        <v>2651</v>
      </c>
      <c r="G1012" t="s">
        <v>22</v>
      </c>
      <c r="H1012" t="s">
        <v>22</v>
      </c>
      <c r="I1012" t="s">
        <v>929</v>
      </c>
    </row>
    <row r="1013" spans="1:9" ht="11.25" customHeight="1">
      <c r="A1013" t="s">
        <v>2385</v>
      </c>
      <c r="B1013" t="s">
        <v>16</v>
      </c>
      <c r="C1013" t="s">
        <v>3145</v>
      </c>
      <c r="D1013" t="s">
        <v>3146</v>
      </c>
      <c r="E1013" t="s">
        <v>3147</v>
      </c>
      <c r="F1013" t="s">
        <v>3148</v>
      </c>
      <c r="G1013" t="s">
        <v>22</v>
      </c>
      <c r="H1013" t="s">
        <v>22</v>
      </c>
      <c r="I1013" t="s">
        <v>929</v>
      </c>
    </row>
    <row r="1014" spans="1:9" ht="11.25" customHeight="1">
      <c r="A1014" t="s">
        <v>2385</v>
      </c>
      <c r="B1014" t="s">
        <v>16</v>
      </c>
      <c r="C1014" t="s">
        <v>4178</v>
      </c>
      <c r="D1014" t="s">
        <v>4179</v>
      </c>
      <c r="E1014" t="s">
        <v>4180</v>
      </c>
      <c r="F1014" t="s">
        <v>2393</v>
      </c>
      <c r="G1014" t="s">
        <v>22</v>
      </c>
      <c r="H1014" t="s">
        <v>22</v>
      </c>
      <c r="I1014" t="s">
        <v>929</v>
      </c>
    </row>
    <row r="1015" spans="1:9" ht="11.25" customHeight="1">
      <c r="A1015" t="s">
        <v>2385</v>
      </c>
      <c r="B1015" t="s">
        <v>16</v>
      </c>
      <c r="C1015" t="s">
        <v>4003</v>
      </c>
      <c r="D1015" t="s">
        <v>4004</v>
      </c>
      <c r="E1015" t="s">
        <v>4005</v>
      </c>
      <c r="F1015" t="s">
        <v>2406</v>
      </c>
      <c r="G1015" t="s">
        <v>4006</v>
      </c>
      <c r="H1015" t="s">
        <v>22</v>
      </c>
      <c r="I1015" t="s">
        <v>929</v>
      </c>
    </row>
    <row r="1016" spans="1:9" ht="11.25" customHeight="1">
      <c r="A1016" t="s">
        <v>2385</v>
      </c>
      <c r="B1016" t="s">
        <v>16</v>
      </c>
      <c r="C1016" t="s">
        <v>4007</v>
      </c>
      <c r="D1016" t="s">
        <v>4008</v>
      </c>
      <c r="E1016" t="s">
        <v>4009</v>
      </c>
      <c r="F1016" t="s">
        <v>2586</v>
      </c>
      <c r="G1016" t="s">
        <v>22</v>
      </c>
      <c r="H1016" t="s">
        <v>22</v>
      </c>
      <c r="I1016" t="s">
        <v>929</v>
      </c>
    </row>
    <row r="1017" spans="1:9" ht="11.25" customHeight="1">
      <c r="A1017" t="s">
        <v>2385</v>
      </c>
      <c r="B1017" t="s">
        <v>16</v>
      </c>
      <c r="C1017" t="s">
        <v>4181</v>
      </c>
      <c r="D1017" t="s">
        <v>4182</v>
      </c>
      <c r="E1017" t="s">
        <v>4183</v>
      </c>
      <c r="F1017" t="s">
        <v>2416</v>
      </c>
      <c r="G1017" t="s">
        <v>22</v>
      </c>
      <c r="H1017" t="s">
        <v>22</v>
      </c>
      <c r="I1017" t="s">
        <v>929</v>
      </c>
    </row>
    <row r="1018" spans="1:9" ht="11.25" customHeight="1">
      <c r="A1018" t="s">
        <v>2385</v>
      </c>
      <c r="B1018" t="s">
        <v>16</v>
      </c>
      <c r="C1018" t="s">
        <v>4184</v>
      </c>
      <c r="D1018" t="s">
        <v>4185</v>
      </c>
      <c r="E1018" t="s">
        <v>4186</v>
      </c>
      <c r="F1018" t="s">
        <v>2434</v>
      </c>
      <c r="G1018" t="s">
        <v>22</v>
      </c>
      <c r="H1018" t="s">
        <v>22</v>
      </c>
      <c r="I1018" t="s">
        <v>929</v>
      </c>
    </row>
    <row r="1019" spans="1:9" ht="11.25" customHeight="1">
      <c r="A1019" t="s">
        <v>2385</v>
      </c>
      <c r="B1019" t="s">
        <v>16</v>
      </c>
      <c r="C1019" t="s">
        <v>4010</v>
      </c>
      <c r="D1019" t="s">
        <v>4011</v>
      </c>
      <c r="E1019" t="s">
        <v>4012</v>
      </c>
      <c r="F1019" t="s">
        <v>3210</v>
      </c>
      <c r="G1019" t="s">
        <v>22</v>
      </c>
      <c r="H1019" t="s">
        <v>22</v>
      </c>
      <c r="I1019" t="s">
        <v>929</v>
      </c>
    </row>
    <row r="1020" spans="1:9" ht="11.25" customHeight="1">
      <c r="A1020" t="s">
        <v>2385</v>
      </c>
      <c r="B1020" t="s">
        <v>16</v>
      </c>
      <c r="C1020" t="s">
        <v>4013</v>
      </c>
      <c r="D1020" t="s">
        <v>4014</v>
      </c>
      <c r="E1020" t="s">
        <v>4015</v>
      </c>
      <c r="F1020" t="s">
        <v>2779</v>
      </c>
      <c r="G1020" t="s">
        <v>22</v>
      </c>
      <c r="H1020" t="s">
        <v>22</v>
      </c>
      <c r="I1020" t="s">
        <v>929</v>
      </c>
    </row>
    <row r="1021" spans="1:9" ht="11.25" customHeight="1">
      <c r="A1021" t="s">
        <v>2385</v>
      </c>
      <c r="B1021" t="s">
        <v>16</v>
      </c>
      <c r="C1021" t="s">
        <v>4187</v>
      </c>
      <c r="D1021" t="s">
        <v>4188</v>
      </c>
      <c r="E1021" t="s">
        <v>4189</v>
      </c>
      <c r="F1021" t="s">
        <v>2512</v>
      </c>
      <c r="G1021" t="s">
        <v>4190</v>
      </c>
      <c r="H1021" t="s">
        <v>22</v>
      </c>
      <c r="I1021" t="s">
        <v>929</v>
      </c>
    </row>
    <row r="1022" spans="1:9" ht="11.25" customHeight="1">
      <c r="A1022" t="s">
        <v>2385</v>
      </c>
      <c r="B1022" t="s">
        <v>16</v>
      </c>
      <c r="C1022" t="s">
        <v>4019</v>
      </c>
      <c r="D1022" t="s">
        <v>4020</v>
      </c>
      <c r="E1022" t="s">
        <v>4021</v>
      </c>
      <c r="F1022" t="s">
        <v>3027</v>
      </c>
      <c r="G1022" t="s">
        <v>22</v>
      </c>
      <c r="H1022" t="s">
        <v>22</v>
      </c>
      <c r="I1022" t="s">
        <v>929</v>
      </c>
    </row>
    <row r="1023" spans="1:9" ht="11.25" customHeight="1">
      <c r="A1023" t="s">
        <v>2385</v>
      </c>
      <c r="B1023" t="s">
        <v>16</v>
      </c>
      <c r="C1023" t="s">
        <v>4022</v>
      </c>
      <c r="D1023" t="s">
        <v>4023</v>
      </c>
      <c r="E1023" t="s">
        <v>4024</v>
      </c>
      <c r="F1023" t="s">
        <v>2767</v>
      </c>
      <c r="G1023" t="s">
        <v>22</v>
      </c>
      <c r="H1023" t="s">
        <v>22</v>
      </c>
      <c r="I1023" t="s">
        <v>929</v>
      </c>
    </row>
    <row r="1024" spans="1:9" ht="11.25" customHeight="1">
      <c r="A1024" t="s">
        <v>2385</v>
      </c>
      <c r="B1024" t="s">
        <v>16</v>
      </c>
      <c r="C1024" t="s">
        <v>4025</v>
      </c>
      <c r="D1024" t="s">
        <v>4026</v>
      </c>
      <c r="E1024" t="s">
        <v>4027</v>
      </c>
      <c r="F1024" t="s">
        <v>2631</v>
      </c>
      <c r="G1024" t="s">
        <v>22</v>
      </c>
      <c r="H1024" t="s">
        <v>22</v>
      </c>
      <c r="I1024" t="s">
        <v>929</v>
      </c>
    </row>
    <row r="1025" spans="1:9" ht="11.25" customHeight="1">
      <c r="A1025" t="s">
        <v>2385</v>
      </c>
      <c r="B1025" t="s">
        <v>16</v>
      </c>
      <c r="C1025" t="s">
        <v>4191</v>
      </c>
      <c r="D1025" t="s">
        <v>4192</v>
      </c>
      <c r="E1025" t="s">
        <v>4193</v>
      </c>
      <c r="F1025" t="s">
        <v>4194</v>
      </c>
      <c r="G1025" t="s">
        <v>4195</v>
      </c>
      <c r="H1025" t="s">
        <v>22</v>
      </c>
      <c r="I1025" t="s">
        <v>929</v>
      </c>
    </row>
    <row r="1026" spans="1:9" ht="11.25" customHeight="1">
      <c r="A1026" t="s">
        <v>2385</v>
      </c>
      <c r="B1026" t="s">
        <v>16</v>
      </c>
      <c r="C1026" t="s">
        <v>4030</v>
      </c>
      <c r="D1026" t="s">
        <v>4031</v>
      </c>
      <c r="E1026" t="s">
        <v>4032</v>
      </c>
      <c r="F1026" t="s">
        <v>2434</v>
      </c>
      <c r="G1026" t="s">
        <v>22</v>
      </c>
      <c r="H1026" t="s">
        <v>22</v>
      </c>
      <c r="I1026" t="s">
        <v>929</v>
      </c>
    </row>
    <row r="1027" spans="1:9" ht="11.25" customHeight="1">
      <c r="A1027" t="s">
        <v>2385</v>
      </c>
      <c r="B1027" t="s">
        <v>16</v>
      </c>
      <c r="C1027" t="s">
        <v>3235</v>
      </c>
      <c r="D1027" t="s">
        <v>3236</v>
      </c>
      <c r="E1027" t="s">
        <v>3237</v>
      </c>
      <c r="F1027" t="s">
        <v>2659</v>
      </c>
      <c r="G1027" t="s">
        <v>22</v>
      </c>
      <c r="H1027" t="s">
        <v>22</v>
      </c>
      <c r="I1027" t="s">
        <v>929</v>
      </c>
    </row>
    <row r="1028" spans="1:9" ht="11.25" customHeight="1">
      <c r="A1028" t="s">
        <v>2385</v>
      </c>
      <c r="B1028" t="s">
        <v>16</v>
      </c>
      <c r="C1028" t="s">
        <v>4033</v>
      </c>
      <c r="D1028" t="s">
        <v>4034</v>
      </c>
      <c r="E1028" t="s">
        <v>4035</v>
      </c>
      <c r="F1028" t="s">
        <v>4036</v>
      </c>
      <c r="G1028" t="s">
        <v>22</v>
      </c>
      <c r="H1028" t="s">
        <v>22</v>
      </c>
      <c r="I1028" t="s">
        <v>929</v>
      </c>
    </row>
    <row r="1029" spans="1:9" ht="11.25" customHeight="1">
      <c r="A1029" t="s">
        <v>2385</v>
      </c>
      <c r="B1029" t="s">
        <v>16</v>
      </c>
      <c r="C1029" t="s">
        <v>4196</v>
      </c>
      <c r="D1029" t="s">
        <v>4197</v>
      </c>
      <c r="E1029" t="s">
        <v>4198</v>
      </c>
      <c r="F1029" t="s">
        <v>2393</v>
      </c>
      <c r="G1029" t="s">
        <v>22</v>
      </c>
      <c r="H1029" t="s">
        <v>22</v>
      </c>
      <c r="I1029" t="s">
        <v>929</v>
      </c>
    </row>
    <row r="1030" spans="1:9" ht="11.25" customHeight="1">
      <c r="A1030" t="s">
        <v>2385</v>
      </c>
      <c r="B1030" t="s">
        <v>16</v>
      </c>
      <c r="C1030" t="s">
        <v>3269</v>
      </c>
      <c r="D1030" t="s">
        <v>3270</v>
      </c>
      <c r="E1030" t="s">
        <v>3271</v>
      </c>
      <c r="F1030" t="s">
        <v>2463</v>
      </c>
      <c r="G1030" t="s">
        <v>22</v>
      </c>
      <c r="H1030" t="s">
        <v>22</v>
      </c>
      <c r="I1030" t="s">
        <v>929</v>
      </c>
    </row>
    <row r="1031" spans="1:9" ht="11.25" customHeight="1">
      <c r="A1031" t="s">
        <v>2385</v>
      </c>
      <c r="B1031" t="s">
        <v>16</v>
      </c>
      <c r="C1031" t="s">
        <v>4037</v>
      </c>
      <c r="D1031" t="s">
        <v>4038</v>
      </c>
      <c r="E1031" t="s">
        <v>4039</v>
      </c>
      <c r="F1031" t="s">
        <v>2442</v>
      </c>
      <c r="G1031" t="s">
        <v>22</v>
      </c>
      <c r="H1031" t="s">
        <v>22</v>
      </c>
      <c r="I1031" t="s">
        <v>929</v>
      </c>
    </row>
    <row r="1032" spans="1:9" ht="11.25" customHeight="1">
      <c r="A1032" t="s">
        <v>2385</v>
      </c>
      <c r="B1032" t="s">
        <v>16</v>
      </c>
      <c r="C1032" t="s">
        <v>3272</v>
      </c>
      <c r="D1032" t="s">
        <v>3273</v>
      </c>
      <c r="E1032" t="s">
        <v>3274</v>
      </c>
      <c r="F1032" t="s">
        <v>2586</v>
      </c>
      <c r="G1032" t="s">
        <v>22</v>
      </c>
      <c r="H1032" t="s">
        <v>22</v>
      </c>
      <c r="I1032" t="s">
        <v>929</v>
      </c>
    </row>
    <row r="1033" spans="1:9" ht="11.25" customHeight="1">
      <c r="A1033" t="s">
        <v>2385</v>
      </c>
      <c r="B1033" t="s">
        <v>16</v>
      </c>
      <c r="C1033" t="s">
        <v>4040</v>
      </c>
      <c r="D1033" t="s">
        <v>4041</v>
      </c>
      <c r="E1033" t="s">
        <v>4042</v>
      </c>
      <c r="F1033" t="s">
        <v>3027</v>
      </c>
      <c r="G1033" t="s">
        <v>22</v>
      </c>
      <c r="H1033" t="s">
        <v>22</v>
      </c>
      <c r="I1033" t="s">
        <v>929</v>
      </c>
    </row>
    <row r="1034" spans="1:9" ht="11.25" customHeight="1">
      <c r="A1034" t="s">
        <v>2385</v>
      </c>
      <c r="B1034" t="s">
        <v>16</v>
      </c>
      <c r="C1034" t="s">
        <v>3282</v>
      </c>
      <c r="D1034" t="s">
        <v>3283</v>
      </c>
      <c r="E1034" t="s">
        <v>3284</v>
      </c>
      <c r="F1034" t="s">
        <v>2401</v>
      </c>
      <c r="G1034" t="s">
        <v>22</v>
      </c>
      <c r="H1034" t="s">
        <v>22</v>
      </c>
      <c r="I1034" t="s">
        <v>929</v>
      </c>
    </row>
    <row r="1035" spans="1:9" ht="11.25" customHeight="1">
      <c r="A1035" t="s">
        <v>2385</v>
      </c>
      <c r="B1035" t="s">
        <v>16</v>
      </c>
      <c r="C1035" t="s">
        <v>3285</v>
      </c>
      <c r="D1035" t="s">
        <v>3286</v>
      </c>
      <c r="E1035" t="s">
        <v>3287</v>
      </c>
      <c r="F1035" t="s">
        <v>2613</v>
      </c>
      <c r="G1035" t="s">
        <v>22</v>
      </c>
      <c r="H1035" t="s">
        <v>22</v>
      </c>
      <c r="I1035" t="s">
        <v>929</v>
      </c>
    </row>
    <row r="1036" spans="1:9" ht="11.25" customHeight="1">
      <c r="A1036" t="s">
        <v>2385</v>
      </c>
      <c r="B1036" t="s">
        <v>16</v>
      </c>
      <c r="C1036" t="s">
        <v>4043</v>
      </c>
      <c r="D1036" t="s">
        <v>4044</v>
      </c>
      <c r="E1036" t="s">
        <v>4045</v>
      </c>
      <c r="F1036" t="s">
        <v>2449</v>
      </c>
      <c r="G1036" t="s">
        <v>22</v>
      </c>
      <c r="H1036" t="s">
        <v>22</v>
      </c>
      <c r="I1036" t="s">
        <v>929</v>
      </c>
    </row>
    <row r="1037" spans="1:9" ht="11.25" customHeight="1">
      <c r="A1037" t="s">
        <v>2385</v>
      </c>
      <c r="B1037" t="s">
        <v>16</v>
      </c>
      <c r="C1037" t="s">
        <v>4046</v>
      </c>
      <c r="D1037" t="s">
        <v>4047</v>
      </c>
      <c r="E1037" t="s">
        <v>4048</v>
      </c>
      <c r="F1037" t="s">
        <v>2449</v>
      </c>
      <c r="G1037" t="s">
        <v>22</v>
      </c>
      <c r="H1037" t="s">
        <v>22</v>
      </c>
      <c r="I1037" t="s">
        <v>929</v>
      </c>
    </row>
    <row r="1038" spans="1:9" ht="11.25" customHeight="1">
      <c r="A1038" t="s">
        <v>2385</v>
      </c>
      <c r="B1038" t="s">
        <v>16</v>
      </c>
      <c r="C1038" t="s">
        <v>4049</v>
      </c>
      <c r="D1038" t="s">
        <v>4050</v>
      </c>
      <c r="E1038" t="s">
        <v>4051</v>
      </c>
      <c r="F1038" t="s">
        <v>2463</v>
      </c>
      <c r="G1038" t="s">
        <v>22</v>
      </c>
      <c r="H1038" t="s">
        <v>22</v>
      </c>
      <c r="I1038" t="s">
        <v>929</v>
      </c>
    </row>
    <row r="1039" spans="1:9" ht="11.25" customHeight="1">
      <c r="A1039" t="s">
        <v>2385</v>
      </c>
      <c r="B1039" t="s">
        <v>16</v>
      </c>
      <c r="C1039" t="s">
        <v>3307</v>
      </c>
      <c r="D1039" t="s">
        <v>3308</v>
      </c>
      <c r="E1039" t="s">
        <v>3309</v>
      </c>
      <c r="F1039" t="s">
        <v>2522</v>
      </c>
      <c r="G1039" t="s">
        <v>3310</v>
      </c>
      <c r="H1039" t="s">
        <v>22</v>
      </c>
      <c r="I1039" t="s">
        <v>929</v>
      </c>
    </row>
    <row r="1040" spans="1:9" ht="11.25" customHeight="1">
      <c r="A1040" t="s">
        <v>2385</v>
      </c>
      <c r="B1040" t="s">
        <v>16</v>
      </c>
      <c r="C1040" t="s">
        <v>4052</v>
      </c>
      <c r="D1040" t="s">
        <v>4053</v>
      </c>
      <c r="E1040" t="s">
        <v>4054</v>
      </c>
      <c r="F1040" t="s">
        <v>2898</v>
      </c>
      <c r="G1040" t="s">
        <v>22</v>
      </c>
      <c r="H1040" t="s">
        <v>22</v>
      </c>
      <c r="I1040" t="s">
        <v>929</v>
      </c>
    </row>
    <row r="1041" spans="1:9" ht="11.25" customHeight="1">
      <c r="A1041" t="s">
        <v>2385</v>
      </c>
      <c r="B1041" t="s">
        <v>16</v>
      </c>
      <c r="C1041" t="s">
        <v>3311</v>
      </c>
      <c r="D1041" t="s">
        <v>3312</v>
      </c>
      <c r="E1041" t="s">
        <v>3313</v>
      </c>
      <c r="F1041" t="s">
        <v>2427</v>
      </c>
      <c r="G1041" t="s">
        <v>22</v>
      </c>
      <c r="H1041" t="s">
        <v>22</v>
      </c>
      <c r="I1041" t="s">
        <v>929</v>
      </c>
    </row>
    <row r="1042" spans="1:9" ht="11.25" customHeight="1">
      <c r="A1042" t="s">
        <v>2385</v>
      </c>
      <c r="B1042" t="s">
        <v>16</v>
      </c>
      <c r="C1042" t="s">
        <v>3331</v>
      </c>
      <c r="D1042" t="s">
        <v>3332</v>
      </c>
      <c r="E1042" t="s">
        <v>3333</v>
      </c>
      <c r="F1042" t="s">
        <v>2522</v>
      </c>
      <c r="G1042" t="s">
        <v>22</v>
      </c>
      <c r="H1042" t="s">
        <v>22</v>
      </c>
      <c r="I1042" t="s">
        <v>929</v>
      </c>
    </row>
    <row r="1043" spans="1:9" ht="11.25" customHeight="1">
      <c r="A1043" t="s">
        <v>2385</v>
      </c>
      <c r="B1043" t="s">
        <v>16</v>
      </c>
      <c r="C1043" t="s">
        <v>4055</v>
      </c>
      <c r="D1043" t="s">
        <v>3332</v>
      </c>
      <c r="E1043" t="s">
        <v>4056</v>
      </c>
      <c r="F1043" t="s">
        <v>2393</v>
      </c>
      <c r="G1043" t="s">
        <v>22</v>
      </c>
      <c r="H1043" t="s">
        <v>22</v>
      </c>
      <c r="I1043" t="s">
        <v>929</v>
      </c>
    </row>
    <row r="1044" spans="1:9" ht="11.25" customHeight="1">
      <c r="A1044" t="s">
        <v>2385</v>
      </c>
      <c r="B1044" t="s">
        <v>16</v>
      </c>
      <c r="C1044" t="s">
        <v>3334</v>
      </c>
      <c r="D1044" t="s">
        <v>3335</v>
      </c>
      <c r="E1044" t="s">
        <v>3336</v>
      </c>
      <c r="F1044" t="s">
        <v>2674</v>
      </c>
      <c r="G1044" t="s">
        <v>22</v>
      </c>
      <c r="H1044" t="s">
        <v>22</v>
      </c>
      <c r="I1044" t="s">
        <v>929</v>
      </c>
    </row>
    <row r="1045" spans="1:9" ht="11.25" customHeight="1">
      <c r="A1045" t="s">
        <v>2385</v>
      </c>
      <c r="B1045" t="s">
        <v>16</v>
      </c>
      <c r="C1045" t="s">
        <v>4057</v>
      </c>
      <c r="D1045" t="s">
        <v>4058</v>
      </c>
      <c r="E1045" t="s">
        <v>4059</v>
      </c>
      <c r="F1045" t="s">
        <v>2845</v>
      </c>
      <c r="G1045" t="s">
        <v>22</v>
      </c>
      <c r="H1045" t="s">
        <v>22</v>
      </c>
      <c r="I1045" t="s">
        <v>929</v>
      </c>
    </row>
    <row r="1046" spans="1:9" ht="11.25" customHeight="1">
      <c r="A1046" t="s">
        <v>2385</v>
      </c>
      <c r="B1046" t="s">
        <v>16</v>
      </c>
      <c r="C1046" t="s">
        <v>4060</v>
      </c>
      <c r="D1046" t="s">
        <v>4061</v>
      </c>
      <c r="E1046" t="s">
        <v>4062</v>
      </c>
      <c r="F1046" t="s">
        <v>2819</v>
      </c>
      <c r="G1046" t="s">
        <v>22</v>
      </c>
      <c r="H1046" t="s">
        <v>22</v>
      </c>
      <c r="I1046" t="s">
        <v>929</v>
      </c>
    </row>
    <row r="1047" spans="1:9" ht="11.25" customHeight="1">
      <c r="A1047" t="s">
        <v>2385</v>
      </c>
      <c r="B1047" t="s">
        <v>16</v>
      </c>
      <c r="C1047" t="s">
        <v>3350</v>
      </c>
      <c r="D1047" t="s">
        <v>3351</v>
      </c>
      <c r="E1047" t="s">
        <v>3352</v>
      </c>
      <c r="F1047" t="s">
        <v>2948</v>
      </c>
      <c r="G1047" t="s">
        <v>3353</v>
      </c>
      <c r="H1047" t="s">
        <v>22</v>
      </c>
      <c r="I1047" t="s">
        <v>929</v>
      </c>
    </row>
    <row r="1048" spans="1:9" ht="11.25" customHeight="1">
      <c r="A1048" t="s">
        <v>2385</v>
      </c>
      <c r="B1048" t="s">
        <v>16</v>
      </c>
      <c r="C1048" t="s">
        <v>4199</v>
      </c>
      <c r="D1048" t="s">
        <v>4200</v>
      </c>
      <c r="E1048" t="s">
        <v>4201</v>
      </c>
      <c r="F1048" t="s">
        <v>2690</v>
      </c>
      <c r="G1048" t="s">
        <v>22</v>
      </c>
      <c r="H1048" t="s">
        <v>22</v>
      </c>
      <c r="I1048" t="s">
        <v>929</v>
      </c>
    </row>
    <row r="1049" spans="1:9" ht="11.25" customHeight="1">
      <c r="A1049" t="s">
        <v>2385</v>
      </c>
      <c r="B1049" t="s">
        <v>16</v>
      </c>
      <c r="C1049" t="s">
        <v>4066</v>
      </c>
      <c r="D1049" t="s">
        <v>4067</v>
      </c>
      <c r="E1049" t="s">
        <v>4068</v>
      </c>
      <c r="F1049" t="s">
        <v>3102</v>
      </c>
      <c r="G1049" t="s">
        <v>22</v>
      </c>
      <c r="H1049" t="s">
        <v>22</v>
      </c>
      <c r="I1049" t="s">
        <v>929</v>
      </c>
    </row>
    <row r="1050" spans="1:9" ht="11.25" customHeight="1">
      <c r="A1050" t="s">
        <v>2385</v>
      </c>
      <c r="B1050" t="s">
        <v>16</v>
      </c>
      <c r="C1050" t="s">
        <v>3373</v>
      </c>
      <c r="D1050" t="s">
        <v>3374</v>
      </c>
      <c r="E1050" t="s">
        <v>3375</v>
      </c>
      <c r="F1050" t="s">
        <v>50</v>
      </c>
      <c r="G1050" t="s">
        <v>22</v>
      </c>
      <c r="H1050" t="s">
        <v>22</v>
      </c>
      <c r="I1050" t="s">
        <v>929</v>
      </c>
    </row>
    <row r="1051" spans="1:9" ht="11.25" customHeight="1">
      <c r="A1051" t="s">
        <v>2385</v>
      </c>
      <c r="B1051" t="s">
        <v>16</v>
      </c>
      <c r="C1051" t="s">
        <v>4202</v>
      </c>
      <c r="D1051" t="s">
        <v>4203</v>
      </c>
      <c r="E1051" t="s">
        <v>4204</v>
      </c>
      <c r="F1051" t="s">
        <v>4205</v>
      </c>
      <c r="G1051" t="s">
        <v>22</v>
      </c>
      <c r="H1051" t="s">
        <v>22</v>
      </c>
      <c r="I1051" t="s">
        <v>929</v>
      </c>
    </row>
    <row r="1052" spans="1:9" ht="11.25" customHeight="1">
      <c r="A1052" t="s">
        <v>2385</v>
      </c>
      <c r="B1052" t="s">
        <v>16</v>
      </c>
      <c r="C1052" t="s">
        <v>4206</v>
      </c>
      <c r="D1052" t="s">
        <v>4207</v>
      </c>
      <c r="E1052" t="s">
        <v>4208</v>
      </c>
      <c r="F1052" t="s">
        <v>2830</v>
      </c>
      <c r="G1052" t="s">
        <v>22</v>
      </c>
      <c r="H1052" t="s">
        <v>22</v>
      </c>
      <c r="I1052" t="s">
        <v>929</v>
      </c>
    </row>
    <row r="1053" spans="1:9" ht="11.25" customHeight="1">
      <c r="A1053" t="s">
        <v>2385</v>
      </c>
      <c r="B1053" t="s">
        <v>16</v>
      </c>
      <c r="C1053" t="s">
        <v>3445</v>
      </c>
      <c r="D1053" t="s">
        <v>3446</v>
      </c>
      <c r="E1053" t="s">
        <v>3447</v>
      </c>
      <c r="F1053" t="s">
        <v>3448</v>
      </c>
      <c r="G1053" t="s">
        <v>22</v>
      </c>
      <c r="H1053" t="s">
        <v>22</v>
      </c>
      <c r="I1053" t="s">
        <v>929</v>
      </c>
    </row>
    <row r="1054" spans="1:9" ht="11.25" customHeight="1">
      <c r="A1054" t="s">
        <v>2385</v>
      </c>
      <c r="B1054" t="s">
        <v>16</v>
      </c>
      <c r="C1054" t="s">
        <v>4079</v>
      </c>
      <c r="D1054" t="s">
        <v>4080</v>
      </c>
      <c r="E1054" t="s">
        <v>4081</v>
      </c>
      <c r="F1054" t="s">
        <v>2406</v>
      </c>
      <c r="G1054" t="s">
        <v>22</v>
      </c>
      <c r="H1054" t="s">
        <v>22</v>
      </c>
      <c r="I1054" t="s">
        <v>929</v>
      </c>
    </row>
    <row r="1055" spans="1:9" ht="11.25" customHeight="1">
      <c r="A1055" t="s">
        <v>2385</v>
      </c>
      <c r="B1055" t="s">
        <v>16</v>
      </c>
      <c r="C1055" t="s">
        <v>4082</v>
      </c>
      <c r="D1055" t="s">
        <v>4083</v>
      </c>
      <c r="E1055" t="s">
        <v>4084</v>
      </c>
      <c r="F1055" t="s">
        <v>3440</v>
      </c>
      <c r="G1055" t="s">
        <v>22</v>
      </c>
      <c r="H1055" t="s">
        <v>22</v>
      </c>
      <c r="I1055" t="s">
        <v>929</v>
      </c>
    </row>
    <row r="1056" spans="1:9" ht="11.25" customHeight="1">
      <c r="A1056" t="s">
        <v>2385</v>
      </c>
      <c r="B1056" t="s">
        <v>16</v>
      </c>
      <c r="C1056" t="s">
        <v>4085</v>
      </c>
      <c r="D1056" t="s">
        <v>4086</v>
      </c>
      <c r="E1056" t="s">
        <v>4087</v>
      </c>
      <c r="F1056" t="s">
        <v>2449</v>
      </c>
      <c r="G1056" t="s">
        <v>4088</v>
      </c>
      <c r="H1056" t="s">
        <v>22</v>
      </c>
      <c r="I1056" t="s">
        <v>929</v>
      </c>
    </row>
    <row r="1057" spans="1:9" ht="11.25" customHeight="1">
      <c r="A1057" t="s">
        <v>2385</v>
      </c>
      <c r="B1057" t="s">
        <v>16</v>
      </c>
      <c r="C1057" t="s">
        <v>4092</v>
      </c>
      <c r="D1057" t="s">
        <v>4093</v>
      </c>
      <c r="E1057" t="s">
        <v>4094</v>
      </c>
      <c r="F1057" t="s">
        <v>2948</v>
      </c>
      <c r="G1057" t="s">
        <v>4095</v>
      </c>
      <c r="H1057" t="s">
        <v>22</v>
      </c>
      <c r="I1057" t="s">
        <v>929</v>
      </c>
    </row>
    <row r="1058" spans="1:9" ht="11.25" customHeight="1">
      <c r="A1058" t="s">
        <v>2385</v>
      </c>
      <c r="B1058" t="s">
        <v>16</v>
      </c>
      <c r="C1058" t="s">
        <v>3466</v>
      </c>
      <c r="D1058" t="s">
        <v>3467</v>
      </c>
      <c r="E1058" t="s">
        <v>3468</v>
      </c>
      <c r="F1058" t="s">
        <v>2442</v>
      </c>
      <c r="G1058" t="s">
        <v>22</v>
      </c>
      <c r="H1058" t="s">
        <v>22</v>
      </c>
      <c r="I1058" t="s">
        <v>929</v>
      </c>
    </row>
    <row r="1059" spans="1:9" ht="11.25" customHeight="1">
      <c r="A1059" t="s">
        <v>2385</v>
      </c>
      <c r="B1059" t="s">
        <v>16</v>
      </c>
      <c r="C1059" t="s">
        <v>3469</v>
      </c>
      <c r="D1059" t="s">
        <v>3470</v>
      </c>
      <c r="E1059" t="s">
        <v>3471</v>
      </c>
      <c r="F1059" t="s">
        <v>2640</v>
      </c>
      <c r="G1059" t="s">
        <v>22</v>
      </c>
      <c r="H1059" t="s">
        <v>22</v>
      </c>
      <c r="I1059" t="s">
        <v>929</v>
      </c>
    </row>
    <row r="1060" spans="1:9" ht="11.25" customHeight="1">
      <c r="A1060" t="s">
        <v>2385</v>
      </c>
      <c r="B1060" t="s">
        <v>16</v>
      </c>
      <c r="C1060" t="s">
        <v>4209</v>
      </c>
      <c r="D1060" t="s">
        <v>4210</v>
      </c>
      <c r="E1060" t="s">
        <v>4211</v>
      </c>
      <c r="F1060" t="s">
        <v>2449</v>
      </c>
      <c r="G1060" t="s">
        <v>22</v>
      </c>
      <c r="H1060" t="s">
        <v>22</v>
      </c>
      <c r="I1060" t="s">
        <v>929</v>
      </c>
    </row>
    <row r="1061" spans="1:9" ht="11.25" customHeight="1">
      <c r="A1061" t="s">
        <v>2385</v>
      </c>
      <c r="B1061" t="s">
        <v>16</v>
      </c>
      <c r="C1061" t="s">
        <v>4212</v>
      </c>
      <c r="D1061" t="s">
        <v>4213</v>
      </c>
      <c r="E1061" t="s">
        <v>4214</v>
      </c>
      <c r="F1061" t="s">
        <v>50</v>
      </c>
      <c r="G1061" t="s">
        <v>22</v>
      </c>
      <c r="H1061" t="s">
        <v>22</v>
      </c>
      <c r="I1061" t="s">
        <v>929</v>
      </c>
    </row>
    <row r="1062" spans="1:9" ht="11.25" customHeight="1">
      <c r="A1062" t="s">
        <v>2385</v>
      </c>
      <c r="B1062" t="s">
        <v>16</v>
      </c>
      <c r="C1062" t="s">
        <v>4215</v>
      </c>
      <c r="D1062" t="s">
        <v>4216</v>
      </c>
      <c r="E1062" t="s">
        <v>4217</v>
      </c>
      <c r="F1062" t="s">
        <v>2512</v>
      </c>
      <c r="G1062" t="s">
        <v>22</v>
      </c>
      <c r="H1062" t="s">
        <v>22</v>
      </c>
      <c r="I1062" t="s">
        <v>929</v>
      </c>
    </row>
    <row r="1063" spans="1:9" ht="11.25" customHeight="1">
      <c r="A1063" t="s">
        <v>2385</v>
      </c>
      <c r="B1063" t="s">
        <v>16</v>
      </c>
      <c r="C1063" t="s">
        <v>3492</v>
      </c>
      <c r="D1063" t="s">
        <v>3493</v>
      </c>
      <c r="E1063" t="s">
        <v>3494</v>
      </c>
      <c r="F1063" t="s">
        <v>2819</v>
      </c>
      <c r="G1063" t="s">
        <v>3495</v>
      </c>
      <c r="H1063" t="s">
        <v>22</v>
      </c>
      <c r="I1063" t="s">
        <v>929</v>
      </c>
    </row>
    <row r="1064" spans="1:9" ht="11.25" customHeight="1">
      <c r="A1064" t="s">
        <v>2385</v>
      </c>
      <c r="B1064" t="s">
        <v>16</v>
      </c>
      <c r="C1064" t="s">
        <v>4096</v>
      </c>
      <c r="D1064" t="s">
        <v>4097</v>
      </c>
      <c r="E1064" t="s">
        <v>4098</v>
      </c>
      <c r="F1064" t="s">
        <v>2837</v>
      </c>
      <c r="G1064" t="s">
        <v>22</v>
      </c>
      <c r="H1064" t="s">
        <v>22</v>
      </c>
      <c r="I1064" t="s">
        <v>929</v>
      </c>
    </row>
    <row r="1065" spans="1:9" ht="11.25" customHeight="1">
      <c r="A1065" t="s">
        <v>2385</v>
      </c>
      <c r="B1065" t="s">
        <v>16</v>
      </c>
      <c r="C1065" t="s">
        <v>3508</v>
      </c>
      <c r="D1065" t="s">
        <v>3509</v>
      </c>
      <c r="E1065" t="s">
        <v>3510</v>
      </c>
      <c r="F1065" t="s">
        <v>2586</v>
      </c>
      <c r="G1065" t="s">
        <v>22</v>
      </c>
      <c r="H1065" t="s">
        <v>22</v>
      </c>
      <c r="I1065" t="s">
        <v>929</v>
      </c>
    </row>
    <row r="1066" spans="1:9" ht="11.25" customHeight="1">
      <c r="A1066" t="s">
        <v>2385</v>
      </c>
      <c r="B1066" t="s">
        <v>16</v>
      </c>
      <c r="C1066" t="s">
        <v>3511</v>
      </c>
      <c r="D1066" t="s">
        <v>3512</v>
      </c>
      <c r="E1066" t="s">
        <v>3513</v>
      </c>
      <c r="F1066" t="s">
        <v>2453</v>
      </c>
      <c r="G1066" t="s">
        <v>22</v>
      </c>
      <c r="H1066" t="s">
        <v>22</v>
      </c>
      <c r="I1066" t="s">
        <v>929</v>
      </c>
    </row>
    <row r="1067" spans="1:9" ht="11.25" customHeight="1">
      <c r="A1067" t="s">
        <v>2385</v>
      </c>
      <c r="B1067" t="s">
        <v>16</v>
      </c>
      <c r="C1067" t="s">
        <v>3532</v>
      </c>
      <c r="D1067" t="s">
        <v>3533</v>
      </c>
      <c r="E1067" t="s">
        <v>3534</v>
      </c>
      <c r="F1067" t="s">
        <v>2434</v>
      </c>
      <c r="G1067" t="s">
        <v>22</v>
      </c>
      <c r="H1067" t="s">
        <v>22</v>
      </c>
      <c r="I1067" t="s">
        <v>929</v>
      </c>
    </row>
    <row r="1068" spans="1:9" ht="11.25" customHeight="1">
      <c r="A1068" t="s">
        <v>2385</v>
      </c>
      <c r="B1068" t="s">
        <v>16</v>
      </c>
      <c r="C1068" t="s">
        <v>3544</v>
      </c>
      <c r="D1068" t="s">
        <v>3545</v>
      </c>
      <c r="E1068" t="s">
        <v>3546</v>
      </c>
      <c r="F1068" t="s">
        <v>2453</v>
      </c>
      <c r="G1068" t="s">
        <v>22</v>
      </c>
      <c r="H1068" t="s">
        <v>22</v>
      </c>
      <c r="I1068" t="s">
        <v>929</v>
      </c>
    </row>
    <row r="1069" spans="1:9" ht="11.25" customHeight="1">
      <c r="A1069" t="s">
        <v>2385</v>
      </c>
      <c r="B1069" t="s">
        <v>16</v>
      </c>
      <c r="C1069" t="s">
        <v>4218</v>
      </c>
      <c r="D1069" t="s">
        <v>4219</v>
      </c>
      <c r="E1069" t="s">
        <v>4220</v>
      </c>
      <c r="F1069" t="s">
        <v>3027</v>
      </c>
      <c r="G1069" t="s">
        <v>22</v>
      </c>
      <c r="H1069" t="s">
        <v>22</v>
      </c>
      <c r="I1069" t="s">
        <v>929</v>
      </c>
    </row>
    <row r="1070" spans="1:9" ht="11.25" customHeight="1">
      <c r="A1070" t="s">
        <v>2385</v>
      </c>
      <c r="B1070" t="s">
        <v>16</v>
      </c>
      <c r="C1070" t="s">
        <v>4102</v>
      </c>
      <c r="D1070" t="s">
        <v>4103</v>
      </c>
      <c r="E1070" t="s">
        <v>4104</v>
      </c>
      <c r="F1070" t="s">
        <v>2667</v>
      </c>
      <c r="G1070" t="s">
        <v>22</v>
      </c>
      <c r="H1070" t="s">
        <v>22</v>
      </c>
      <c r="I1070" t="s">
        <v>929</v>
      </c>
    </row>
    <row r="1071" spans="1:9" ht="11.25" customHeight="1">
      <c r="A1071" t="s">
        <v>2385</v>
      </c>
      <c r="B1071" t="s">
        <v>16</v>
      </c>
      <c r="C1071" t="s">
        <v>4221</v>
      </c>
      <c r="D1071" t="s">
        <v>4222</v>
      </c>
      <c r="E1071" t="s">
        <v>4223</v>
      </c>
      <c r="F1071" t="s">
        <v>2449</v>
      </c>
      <c r="G1071" t="s">
        <v>22</v>
      </c>
      <c r="H1071" t="s">
        <v>22</v>
      </c>
      <c r="I1071" t="s">
        <v>929</v>
      </c>
    </row>
    <row r="1072" spans="1:9" ht="11.25" customHeight="1">
      <c r="A1072" t="s">
        <v>2385</v>
      </c>
      <c r="B1072" t="s">
        <v>16</v>
      </c>
      <c r="C1072" t="s">
        <v>4108</v>
      </c>
      <c r="D1072" t="s">
        <v>4109</v>
      </c>
      <c r="E1072" t="s">
        <v>4110</v>
      </c>
      <c r="F1072" t="s">
        <v>2674</v>
      </c>
      <c r="G1072" t="s">
        <v>22</v>
      </c>
      <c r="H1072" t="s">
        <v>22</v>
      </c>
      <c r="I1072" t="s">
        <v>929</v>
      </c>
    </row>
    <row r="1073" spans="1:9" ht="11.25" customHeight="1">
      <c r="A1073" t="s">
        <v>2385</v>
      </c>
      <c r="B1073" t="s">
        <v>16</v>
      </c>
      <c r="C1073" t="s">
        <v>4224</v>
      </c>
      <c r="D1073" t="s">
        <v>4225</v>
      </c>
      <c r="E1073" t="s">
        <v>4226</v>
      </c>
      <c r="F1073" t="s">
        <v>2613</v>
      </c>
      <c r="G1073" t="s">
        <v>22</v>
      </c>
      <c r="H1073" t="s">
        <v>22</v>
      </c>
      <c r="I1073" t="s">
        <v>929</v>
      </c>
    </row>
    <row r="1074" spans="1:9" ht="11.25" customHeight="1">
      <c r="A1074" t="s">
        <v>2385</v>
      </c>
      <c r="B1074" t="s">
        <v>16</v>
      </c>
      <c r="C1074" t="s">
        <v>4111</v>
      </c>
      <c r="D1074" t="s">
        <v>4112</v>
      </c>
      <c r="E1074" t="s">
        <v>4113</v>
      </c>
      <c r="F1074" t="s">
        <v>2449</v>
      </c>
      <c r="G1074" t="s">
        <v>22</v>
      </c>
      <c r="H1074" t="s">
        <v>22</v>
      </c>
      <c r="I1074" t="s">
        <v>929</v>
      </c>
    </row>
    <row r="1075" spans="1:9" ht="11.25" customHeight="1">
      <c r="A1075" t="s">
        <v>2385</v>
      </c>
      <c r="B1075" t="s">
        <v>16</v>
      </c>
      <c r="C1075" t="s">
        <v>3614</v>
      </c>
      <c r="D1075" t="s">
        <v>3615</v>
      </c>
      <c r="E1075" t="s">
        <v>3616</v>
      </c>
      <c r="F1075" t="s">
        <v>50</v>
      </c>
      <c r="G1075" t="s">
        <v>22</v>
      </c>
      <c r="H1075" t="s">
        <v>22</v>
      </c>
      <c r="I1075" t="s">
        <v>929</v>
      </c>
    </row>
    <row r="1076" spans="1:9" ht="11.25" customHeight="1">
      <c r="A1076" t="s">
        <v>2385</v>
      </c>
      <c r="B1076" t="s">
        <v>16</v>
      </c>
      <c r="C1076" t="s">
        <v>4114</v>
      </c>
      <c r="D1076" t="s">
        <v>4115</v>
      </c>
      <c r="E1076" t="s">
        <v>4116</v>
      </c>
      <c r="F1076" t="s">
        <v>2690</v>
      </c>
      <c r="G1076" t="s">
        <v>22</v>
      </c>
      <c r="H1076" t="s">
        <v>22</v>
      </c>
      <c r="I1076" t="s">
        <v>929</v>
      </c>
    </row>
    <row r="1077" spans="1:9" ht="11.25" customHeight="1">
      <c r="A1077" t="s">
        <v>2385</v>
      </c>
      <c r="B1077" t="s">
        <v>16</v>
      </c>
      <c r="C1077" t="s">
        <v>4117</v>
      </c>
      <c r="D1077" t="s">
        <v>4118</v>
      </c>
      <c r="E1077" t="s">
        <v>4119</v>
      </c>
      <c r="F1077" t="s">
        <v>3102</v>
      </c>
      <c r="G1077" t="s">
        <v>22</v>
      </c>
      <c r="H1077" t="s">
        <v>22</v>
      </c>
      <c r="I1077" t="s">
        <v>929</v>
      </c>
    </row>
    <row r="1078" spans="1:9" ht="11.25" customHeight="1">
      <c r="A1078" t="s">
        <v>2385</v>
      </c>
      <c r="B1078" t="s">
        <v>16</v>
      </c>
      <c r="C1078" t="s">
        <v>4120</v>
      </c>
      <c r="D1078" t="s">
        <v>4121</v>
      </c>
      <c r="E1078" t="s">
        <v>4122</v>
      </c>
      <c r="F1078" t="s">
        <v>2667</v>
      </c>
      <c r="G1078" t="s">
        <v>22</v>
      </c>
      <c r="H1078" t="s">
        <v>22</v>
      </c>
      <c r="I1078" t="s">
        <v>929</v>
      </c>
    </row>
    <row r="1079" spans="1:9" ht="11.25" customHeight="1">
      <c r="A1079" t="s">
        <v>2385</v>
      </c>
      <c r="B1079" t="s">
        <v>16</v>
      </c>
      <c r="C1079" t="s">
        <v>4123</v>
      </c>
      <c r="D1079" t="s">
        <v>4124</v>
      </c>
      <c r="E1079" t="s">
        <v>4125</v>
      </c>
      <c r="F1079" t="s">
        <v>2779</v>
      </c>
      <c r="G1079" t="s">
        <v>22</v>
      </c>
      <c r="H1079" t="s">
        <v>22</v>
      </c>
      <c r="I1079" t="s">
        <v>929</v>
      </c>
    </row>
    <row r="1080" spans="1:9" ht="11.25" customHeight="1">
      <c r="A1080" t="s">
        <v>2385</v>
      </c>
      <c r="B1080" t="s">
        <v>16</v>
      </c>
      <c r="C1080" t="s">
        <v>3686</v>
      </c>
      <c r="D1080" t="s">
        <v>3687</v>
      </c>
      <c r="E1080" t="s">
        <v>2437</v>
      </c>
      <c r="F1080" t="s">
        <v>3688</v>
      </c>
      <c r="G1080" t="s">
        <v>22</v>
      </c>
      <c r="H1080" t="s">
        <v>22</v>
      </c>
      <c r="I1080" t="s">
        <v>929</v>
      </c>
    </row>
    <row r="1081" spans="1:9" ht="11.25" customHeight="1">
      <c r="A1081" t="s">
        <v>2385</v>
      </c>
      <c r="B1081" t="s">
        <v>16</v>
      </c>
      <c r="C1081" t="s">
        <v>3693</v>
      </c>
      <c r="D1081" t="s">
        <v>3694</v>
      </c>
      <c r="E1081" t="s">
        <v>3695</v>
      </c>
      <c r="F1081" t="s">
        <v>2819</v>
      </c>
      <c r="G1081" t="s">
        <v>22</v>
      </c>
      <c r="H1081" t="s">
        <v>22</v>
      </c>
      <c r="I1081" t="s">
        <v>929</v>
      </c>
    </row>
    <row r="1082" spans="1:9" ht="11.25" customHeight="1">
      <c r="A1082" t="s">
        <v>2385</v>
      </c>
      <c r="B1082" t="s">
        <v>16</v>
      </c>
      <c r="C1082" t="s">
        <v>3696</v>
      </c>
      <c r="D1082" t="s">
        <v>3697</v>
      </c>
      <c r="E1082" t="s">
        <v>3698</v>
      </c>
      <c r="F1082" t="s">
        <v>2463</v>
      </c>
      <c r="G1082" t="s">
        <v>22</v>
      </c>
      <c r="H1082" t="s">
        <v>22</v>
      </c>
      <c r="I1082" t="s">
        <v>929</v>
      </c>
    </row>
    <row r="1083" spans="1:9" ht="11.25" customHeight="1">
      <c r="A1083" t="s">
        <v>2385</v>
      </c>
      <c r="B1083" t="s">
        <v>16</v>
      </c>
      <c r="C1083" t="s">
        <v>4227</v>
      </c>
      <c r="D1083" t="s">
        <v>4228</v>
      </c>
      <c r="E1083" t="s">
        <v>4229</v>
      </c>
      <c r="F1083" t="s">
        <v>2442</v>
      </c>
      <c r="G1083" t="s">
        <v>22</v>
      </c>
      <c r="H1083" t="s">
        <v>22</v>
      </c>
      <c r="I1083" t="s">
        <v>929</v>
      </c>
    </row>
    <row r="1084" spans="1:9" ht="11.25" customHeight="1">
      <c r="A1084" t="s">
        <v>2385</v>
      </c>
      <c r="B1084" t="s">
        <v>16</v>
      </c>
      <c r="C1084" t="s">
        <v>3706</v>
      </c>
      <c r="D1084" t="s">
        <v>3707</v>
      </c>
      <c r="E1084" t="s">
        <v>3708</v>
      </c>
      <c r="F1084" t="s">
        <v>2572</v>
      </c>
      <c r="G1084" t="s">
        <v>22</v>
      </c>
      <c r="H1084" t="s">
        <v>22</v>
      </c>
      <c r="I1084" t="s">
        <v>929</v>
      </c>
    </row>
    <row r="1085" spans="1:9" ht="11.25" customHeight="1">
      <c r="A1085" t="s">
        <v>2385</v>
      </c>
      <c r="B1085" t="s">
        <v>16</v>
      </c>
      <c r="C1085" t="s">
        <v>3709</v>
      </c>
      <c r="D1085" t="s">
        <v>3710</v>
      </c>
      <c r="E1085" t="s">
        <v>3711</v>
      </c>
      <c r="F1085" t="s">
        <v>2442</v>
      </c>
      <c r="G1085" t="s">
        <v>22</v>
      </c>
      <c r="H1085" t="s">
        <v>22</v>
      </c>
      <c r="I1085" t="s">
        <v>929</v>
      </c>
    </row>
    <row r="1086" spans="1:9" ht="11.25" customHeight="1">
      <c r="A1086" t="s">
        <v>2385</v>
      </c>
      <c r="B1086" t="s">
        <v>16</v>
      </c>
      <c r="C1086" t="s">
        <v>3715</v>
      </c>
      <c r="D1086" t="s">
        <v>3716</v>
      </c>
      <c r="E1086" t="s">
        <v>3717</v>
      </c>
      <c r="F1086" t="s">
        <v>2763</v>
      </c>
      <c r="G1086" t="s">
        <v>22</v>
      </c>
      <c r="H1086" t="s">
        <v>22</v>
      </c>
      <c r="I1086" t="s">
        <v>929</v>
      </c>
    </row>
    <row r="1087" spans="1:9" ht="11.25" customHeight="1">
      <c r="A1087" t="s">
        <v>2385</v>
      </c>
      <c r="B1087" t="s">
        <v>16</v>
      </c>
      <c r="C1087" t="s">
        <v>3727</v>
      </c>
      <c r="D1087" t="s">
        <v>3728</v>
      </c>
      <c r="E1087" t="s">
        <v>3729</v>
      </c>
      <c r="F1087" t="s">
        <v>2586</v>
      </c>
      <c r="G1087" t="s">
        <v>22</v>
      </c>
      <c r="H1087" t="s">
        <v>22</v>
      </c>
      <c r="I1087" t="s">
        <v>929</v>
      </c>
    </row>
    <row r="1088" spans="1:9" ht="11.25" customHeight="1">
      <c r="A1088" t="s">
        <v>2385</v>
      </c>
      <c r="B1088" t="s">
        <v>16</v>
      </c>
      <c r="C1088" t="s">
        <v>3730</v>
      </c>
      <c r="D1088" t="s">
        <v>3731</v>
      </c>
      <c r="E1088" t="s">
        <v>3732</v>
      </c>
      <c r="F1088" t="s">
        <v>2830</v>
      </c>
      <c r="G1088" t="s">
        <v>22</v>
      </c>
      <c r="H1088" t="s">
        <v>22</v>
      </c>
      <c r="I1088" t="s">
        <v>929</v>
      </c>
    </row>
    <row r="1089" spans="1:9" ht="11.25" customHeight="1">
      <c r="A1089" t="s">
        <v>2385</v>
      </c>
      <c r="B1089" t="s">
        <v>16</v>
      </c>
      <c r="C1089" t="s">
        <v>22</v>
      </c>
      <c r="D1089" t="s">
        <v>3733</v>
      </c>
      <c r="E1089" t="s">
        <v>3734</v>
      </c>
      <c r="F1089" t="s">
        <v>2393</v>
      </c>
      <c r="G1089" t="s">
        <v>22</v>
      </c>
      <c r="H1089" t="s">
        <v>22</v>
      </c>
      <c r="I1089" t="s">
        <v>929</v>
      </c>
    </row>
    <row r="1090" spans="1:9" ht="11.25" customHeight="1">
      <c r="A1090" t="s">
        <v>2385</v>
      </c>
      <c r="B1090" t="s">
        <v>16</v>
      </c>
      <c r="C1090" t="s">
        <v>4129</v>
      </c>
      <c r="D1090" t="s">
        <v>4130</v>
      </c>
      <c r="E1090" t="s">
        <v>4131</v>
      </c>
      <c r="F1090" t="s">
        <v>3027</v>
      </c>
      <c r="G1090" t="s">
        <v>22</v>
      </c>
      <c r="H1090" t="s">
        <v>22</v>
      </c>
      <c r="I1090" t="s">
        <v>929</v>
      </c>
    </row>
    <row r="1091" spans="1:9" ht="11.25" customHeight="1">
      <c r="A1091" t="s">
        <v>2385</v>
      </c>
      <c r="B1091" t="s">
        <v>16</v>
      </c>
      <c r="C1091" t="s">
        <v>3738</v>
      </c>
      <c r="D1091" t="s">
        <v>3739</v>
      </c>
      <c r="E1091" t="s">
        <v>3740</v>
      </c>
      <c r="F1091" t="s">
        <v>2631</v>
      </c>
      <c r="G1091" t="s">
        <v>3741</v>
      </c>
      <c r="H1091" t="s">
        <v>22</v>
      </c>
      <c r="I1091" t="s">
        <v>929</v>
      </c>
    </row>
    <row r="1092" spans="1:9" ht="11.25" customHeight="1">
      <c r="A1092" t="s">
        <v>2385</v>
      </c>
      <c r="B1092" t="s">
        <v>16</v>
      </c>
      <c r="C1092" t="s">
        <v>3742</v>
      </c>
      <c r="D1092" t="s">
        <v>3743</v>
      </c>
      <c r="E1092" t="s">
        <v>3744</v>
      </c>
      <c r="F1092" t="s">
        <v>2631</v>
      </c>
      <c r="G1092" t="s">
        <v>22</v>
      </c>
      <c r="H1092" t="s">
        <v>22</v>
      </c>
      <c r="I1092" t="s">
        <v>929</v>
      </c>
    </row>
    <row r="1093" spans="1:9" ht="11.25" customHeight="1">
      <c r="A1093" t="s">
        <v>2385</v>
      </c>
      <c r="B1093" t="s">
        <v>16</v>
      </c>
      <c r="C1093" t="s">
        <v>3754</v>
      </c>
      <c r="D1093" t="s">
        <v>3755</v>
      </c>
      <c r="E1093" t="s">
        <v>3756</v>
      </c>
      <c r="F1093" t="s">
        <v>3688</v>
      </c>
      <c r="G1093" t="s">
        <v>22</v>
      </c>
      <c r="H1093" t="s">
        <v>22</v>
      </c>
      <c r="I1093" t="s">
        <v>929</v>
      </c>
    </row>
    <row r="1094" spans="1:9" ht="11.25" customHeight="1">
      <c r="A1094" t="s">
        <v>2385</v>
      </c>
      <c r="B1094" t="s">
        <v>16</v>
      </c>
      <c r="C1094" t="s">
        <v>3757</v>
      </c>
      <c r="D1094" t="s">
        <v>3755</v>
      </c>
      <c r="E1094" t="s">
        <v>3756</v>
      </c>
      <c r="F1094" t="s">
        <v>2568</v>
      </c>
      <c r="G1094" t="s">
        <v>22</v>
      </c>
      <c r="H1094" t="s">
        <v>22</v>
      </c>
      <c r="I1094" t="s">
        <v>929</v>
      </c>
    </row>
    <row r="1095" spans="1:9" ht="11.25" customHeight="1">
      <c r="A1095" t="s">
        <v>2385</v>
      </c>
      <c r="B1095" t="s">
        <v>16</v>
      </c>
      <c r="C1095" t="s">
        <v>4141</v>
      </c>
      <c r="D1095" t="s">
        <v>4142</v>
      </c>
      <c r="E1095" t="s">
        <v>4143</v>
      </c>
      <c r="F1095" t="s">
        <v>3102</v>
      </c>
      <c r="G1095" t="s">
        <v>22</v>
      </c>
      <c r="H1095" t="s">
        <v>22</v>
      </c>
      <c r="I1095" t="s">
        <v>929</v>
      </c>
    </row>
    <row r="1096" spans="1:9" ht="11.25" customHeight="1">
      <c r="A1096" t="s">
        <v>2385</v>
      </c>
      <c r="B1096" t="s">
        <v>16</v>
      </c>
      <c r="C1096" t="s">
        <v>3758</v>
      </c>
      <c r="D1096" t="s">
        <v>3759</v>
      </c>
      <c r="E1096" t="s">
        <v>3760</v>
      </c>
      <c r="F1096" t="s">
        <v>2576</v>
      </c>
      <c r="G1096" t="s">
        <v>22</v>
      </c>
      <c r="H1096" t="s">
        <v>22</v>
      </c>
      <c r="I1096" t="s">
        <v>929</v>
      </c>
    </row>
    <row r="1097" spans="1:9" ht="11.25" customHeight="1">
      <c r="A1097" t="s">
        <v>2385</v>
      </c>
      <c r="B1097" t="s">
        <v>16</v>
      </c>
      <c r="C1097" t="s">
        <v>3765</v>
      </c>
      <c r="D1097" t="s">
        <v>3766</v>
      </c>
      <c r="E1097" t="s">
        <v>3767</v>
      </c>
      <c r="F1097" t="s">
        <v>2449</v>
      </c>
      <c r="G1097" t="s">
        <v>22</v>
      </c>
      <c r="H1097" t="s">
        <v>22</v>
      </c>
      <c r="I1097" t="s">
        <v>929</v>
      </c>
    </row>
    <row r="1098" spans="1:9" ht="11.25" customHeight="1">
      <c r="A1098" t="s">
        <v>2385</v>
      </c>
      <c r="B1098" t="s">
        <v>16</v>
      </c>
      <c r="C1098" t="s">
        <v>4230</v>
      </c>
      <c r="D1098" t="s">
        <v>4231</v>
      </c>
      <c r="E1098" t="s">
        <v>4232</v>
      </c>
      <c r="F1098" t="s">
        <v>2586</v>
      </c>
      <c r="G1098" t="s">
        <v>22</v>
      </c>
      <c r="H1098" t="s">
        <v>22</v>
      </c>
      <c r="I1098" t="s">
        <v>929</v>
      </c>
    </row>
    <row r="1099" spans="1:9" ht="11.25" customHeight="1">
      <c r="A1099" t="s">
        <v>2385</v>
      </c>
      <c r="B1099" t="s">
        <v>16</v>
      </c>
      <c r="C1099" t="s">
        <v>3788</v>
      </c>
      <c r="D1099" t="s">
        <v>3789</v>
      </c>
      <c r="E1099" t="s">
        <v>3790</v>
      </c>
      <c r="F1099" t="s">
        <v>2786</v>
      </c>
      <c r="G1099" t="s">
        <v>22</v>
      </c>
      <c r="H1099" t="s">
        <v>22</v>
      </c>
      <c r="I1099" t="s">
        <v>929</v>
      </c>
    </row>
    <row r="1100" spans="1:9" ht="11.25" customHeight="1">
      <c r="A1100" t="s">
        <v>2385</v>
      </c>
      <c r="B1100" t="s">
        <v>16</v>
      </c>
      <c r="C1100" t="s">
        <v>3791</v>
      </c>
      <c r="D1100" t="s">
        <v>3792</v>
      </c>
      <c r="E1100" t="s">
        <v>3793</v>
      </c>
      <c r="F1100" t="s">
        <v>2771</v>
      </c>
      <c r="G1100" t="s">
        <v>3794</v>
      </c>
      <c r="H1100" t="s">
        <v>22</v>
      </c>
      <c r="I1100" t="s">
        <v>929</v>
      </c>
    </row>
    <row r="1101" spans="1:9" ht="11.25" customHeight="1">
      <c r="A1101" t="s">
        <v>2385</v>
      </c>
      <c r="B1101" t="s">
        <v>16</v>
      </c>
      <c r="C1101" t="s">
        <v>3795</v>
      </c>
      <c r="D1101" t="s">
        <v>3796</v>
      </c>
      <c r="E1101" t="s">
        <v>3797</v>
      </c>
      <c r="F1101" t="s">
        <v>2442</v>
      </c>
      <c r="G1101" t="s">
        <v>22</v>
      </c>
      <c r="H1101" t="s">
        <v>22</v>
      </c>
      <c r="I1101" t="s">
        <v>929</v>
      </c>
    </row>
    <row r="1102" spans="1:9" ht="11.25" customHeight="1">
      <c r="A1102" t="s">
        <v>2385</v>
      </c>
      <c r="B1102" t="s">
        <v>16</v>
      </c>
      <c r="C1102" t="s">
        <v>4233</v>
      </c>
      <c r="D1102" t="s">
        <v>4234</v>
      </c>
      <c r="E1102" t="s">
        <v>4235</v>
      </c>
      <c r="F1102" t="s">
        <v>2393</v>
      </c>
      <c r="G1102" t="s">
        <v>22</v>
      </c>
      <c r="H1102" t="s">
        <v>22</v>
      </c>
      <c r="I1102" t="s">
        <v>1769</v>
      </c>
    </row>
    <row r="1103" spans="1:9" ht="11.25" customHeight="1">
      <c r="A1103" t="s">
        <v>2385</v>
      </c>
      <c r="B1103" t="s">
        <v>16</v>
      </c>
      <c r="C1103" t="s">
        <v>4236</v>
      </c>
      <c r="D1103" t="s">
        <v>4237</v>
      </c>
      <c r="E1103" t="s">
        <v>4238</v>
      </c>
      <c r="F1103" t="s">
        <v>2586</v>
      </c>
      <c r="G1103" t="s">
        <v>22</v>
      </c>
      <c r="H1103" t="s">
        <v>22</v>
      </c>
      <c r="I1103" t="s">
        <v>1769</v>
      </c>
    </row>
    <row r="1104" spans="1:9" ht="11.25" customHeight="1">
      <c r="A1104" t="s">
        <v>2385</v>
      </c>
      <c r="B1104" t="s">
        <v>16</v>
      </c>
      <c r="C1104" t="s">
        <v>3896</v>
      </c>
      <c r="D1104" t="s">
        <v>3897</v>
      </c>
      <c r="E1104" t="s">
        <v>3898</v>
      </c>
      <c r="F1104" t="s">
        <v>2799</v>
      </c>
      <c r="G1104" t="s">
        <v>22</v>
      </c>
      <c r="H1104" t="s">
        <v>22</v>
      </c>
      <c r="I1104" t="s">
        <v>1769</v>
      </c>
    </row>
    <row r="1105" spans="1:9" ht="11.25" customHeight="1">
      <c r="A1105" t="s">
        <v>2385</v>
      </c>
      <c r="B1105" t="s">
        <v>16</v>
      </c>
      <c r="C1105" t="s">
        <v>4239</v>
      </c>
      <c r="D1105" t="s">
        <v>4240</v>
      </c>
      <c r="E1105" t="s">
        <v>4241</v>
      </c>
      <c r="F1105" t="s">
        <v>2576</v>
      </c>
      <c r="G1105" t="s">
        <v>22</v>
      </c>
      <c r="H1105" t="s">
        <v>22</v>
      </c>
      <c r="I1105" t="s">
        <v>1769</v>
      </c>
    </row>
    <row r="1106" spans="1:9" ht="11.25" customHeight="1">
      <c r="A1106" t="s">
        <v>2385</v>
      </c>
      <c r="B1106" t="s">
        <v>16</v>
      </c>
      <c r="C1106" t="s">
        <v>2899</v>
      </c>
      <c r="D1106" t="s">
        <v>2900</v>
      </c>
      <c r="E1106" t="s">
        <v>2901</v>
      </c>
      <c r="F1106" t="s">
        <v>2640</v>
      </c>
      <c r="G1106" t="s">
        <v>22</v>
      </c>
      <c r="H1106" t="s">
        <v>22</v>
      </c>
      <c r="I1106" t="s">
        <v>1769</v>
      </c>
    </row>
    <row r="1107" spans="1:9" ht="11.25" customHeight="1">
      <c r="A1107" t="s">
        <v>2385</v>
      </c>
      <c r="B1107" t="s">
        <v>16</v>
      </c>
      <c r="C1107" t="s">
        <v>2902</v>
      </c>
      <c r="D1107" t="s">
        <v>2903</v>
      </c>
      <c r="E1107" t="s">
        <v>2904</v>
      </c>
      <c r="F1107" t="s">
        <v>2663</v>
      </c>
      <c r="G1107" t="s">
        <v>22</v>
      </c>
      <c r="H1107" t="s">
        <v>22</v>
      </c>
      <c r="I1107" t="s">
        <v>1769</v>
      </c>
    </row>
    <row r="1108" spans="1:9" ht="11.25" customHeight="1">
      <c r="A1108" t="s">
        <v>2385</v>
      </c>
      <c r="B1108" t="s">
        <v>16</v>
      </c>
      <c r="C1108" t="s">
        <v>2908</v>
      </c>
      <c r="D1108" t="s">
        <v>2909</v>
      </c>
      <c r="E1108" t="s">
        <v>2910</v>
      </c>
      <c r="F1108" t="s">
        <v>2911</v>
      </c>
      <c r="G1108" t="s">
        <v>22</v>
      </c>
      <c r="H1108" t="s">
        <v>22</v>
      </c>
      <c r="I1108" t="s">
        <v>1769</v>
      </c>
    </row>
    <row r="1109" spans="1:9" ht="11.25" customHeight="1">
      <c r="A1109" t="s">
        <v>2385</v>
      </c>
      <c r="B1109" t="s">
        <v>16</v>
      </c>
      <c r="C1109" t="s">
        <v>2939</v>
      </c>
      <c r="D1109" t="s">
        <v>2940</v>
      </c>
      <c r="E1109" t="s">
        <v>2941</v>
      </c>
      <c r="F1109" t="s">
        <v>2655</v>
      </c>
      <c r="G1109" t="s">
        <v>22</v>
      </c>
      <c r="H1109" t="s">
        <v>22</v>
      </c>
      <c r="I1109" t="s">
        <v>1769</v>
      </c>
    </row>
    <row r="1110" spans="1:9" ht="11.25" customHeight="1">
      <c r="A1110" t="s">
        <v>2385</v>
      </c>
      <c r="B1110" t="s">
        <v>16</v>
      </c>
      <c r="C1110" t="s">
        <v>2972</v>
      </c>
      <c r="D1110" t="s">
        <v>2973</v>
      </c>
      <c r="E1110" t="s">
        <v>2974</v>
      </c>
      <c r="F1110" t="s">
        <v>2975</v>
      </c>
      <c r="G1110" t="s">
        <v>22</v>
      </c>
      <c r="H1110" t="s">
        <v>22</v>
      </c>
      <c r="I1110" t="s">
        <v>1769</v>
      </c>
    </row>
    <row r="1111" spans="1:9" ht="11.25" customHeight="1">
      <c r="A1111" t="s">
        <v>2385</v>
      </c>
      <c r="B1111" t="s">
        <v>16</v>
      </c>
      <c r="C1111" t="s">
        <v>3142</v>
      </c>
      <c r="D1111" t="s">
        <v>3143</v>
      </c>
      <c r="E1111" t="s">
        <v>3144</v>
      </c>
      <c r="F1111" t="s">
        <v>2651</v>
      </c>
      <c r="G1111" t="s">
        <v>22</v>
      </c>
      <c r="H1111" t="s">
        <v>22</v>
      </c>
      <c r="I1111" t="s">
        <v>1769</v>
      </c>
    </row>
    <row r="1112" spans="1:9" ht="11.25" customHeight="1">
      <c r="A1112" t="s">
        <v>2385</v>
      </c>
      <c r="B1112" t="s">
        <v>16</v>
      </c>
      <c r="C1112" t="s">
        <v>4242</v>
      </c>
      <c r="D1112" t="s">
        <v>4243</v>
      </c>
      <c r="E1112" t="s">
        <v>4244</v>
      </c>
      <c r="F1112" t="s">
        <v>2427</v>
      </c>
      <c r="G1112" t="s">
        <v>22</v>
      </c>
      <c r="H1112" t="s">
        <v>22</v>
      </c>
      <c r="I1112" t="s">
        <v>1769</v>
      </c>
    </row>
    <row r="1113" spans="1:9" ht="11.25" customHeight="1">
      <c r="A1113" t="s">
        <v>2385</v>
      </c>
      <c r="B1113" t="s">
        <v>16</v>
      </c>
      <c r="C1113" t="s">
        <v>4245</v>
      </c>
      <c r="D1113" t="s">
        <v>4246</v>
      </c>
      <c r="E1113" t="s">
        <v>4247</v>
      </c>
      <c r="F1113" t="s">
        <v>2463</v>
      </c>
      <c r="G1113" t="s">
        <v>22</v>
      </c>
      <c r="H1113" t="s">
        <v>22</v>
      </c>
      <c r="I1113" t="s">
        <v>1769</v>
      </c>
    </row>
    <row r="1114" spans="1:9" ht="11.25" customHeight="1">
      <c r="A1114" t="s">
        <v>2385</v>
      </c>
      <c r="B1114" t="s">
        <v>16</v>
      </c>
      <c r="C1114" t="s">
        <v>4248</v>
      </c>
      <c r="D1114" t="s">
        <v>4249</v>
      </c>
      <c r="E1114" t="s">
        <v>4250</v>
      </c>
      <c r="F1114" t="s">
        <v>3148</v>
      </c>
      <c r="G1114" t="s">
        <v>22</v>
      </c>
      <c r="H1114" t="s">
        <v>22</v>
      </c>
      <c r="I1114" t="s">
        <v>1769</v>
      </c>
    </row>
    <row r="1115" spans="1:9" ht="11.25" customHeight="1">
      <c r="A1115" t="s">
        <v>2385</v>
      </c>
      <c r="B1115" t="s">
        <v>16</v>
      </c>
      <c r="C1115" t="s">
        <v>4251</v>
      </c>
      <c r="D1115" t="s">
        <v>4252</v>
      </c>
      <c r="E1115" t="s">
        <v>4253</v>
      </c>
      <c r="F1115" t="s">
        <v>2420</v>
      </c>
      <c r="G1115" t="s">
        <v>22</v>
      </c>
      <c r="H1115" t="s">
        <v>22</v>
      </c>
      <c r="I1115" t="s">
        <v>1769</v>
      </c>
    </row>
    <row r="1116" spans="1:9" ht="11.25" customHeight="1">
      <c r="A1116" t="s">
        <v>2385</v>
      </c>
      <c r="B1116" t="s">
        <v>16</v>
      </c>
      <c r="C1116" t="s">
        <v>4254</v>
      </c>
      <c r="D1116" t="s">
        <v>4255</v>
      </c>
      <c r="E1116" t="s">
        <v>4256</v>
      </c>
      <c r="F1116" t="s">
        <v>4257</v>
      </c>
      <c r="G1116" t="s">
        <v>22</v>
      </c>
      <c r="H1116" t="s">
        <v>22</v>
      </c>
      <c r="I1116" t="s">
        <v>1769</v>
      </c>
    </row>
    <row r="1117" spans="1:9" ht="11.25" customHeight="1">
      <c r="A1117" t="s">
        <v>2385</v>
      </c>
      <c r="B1117" t="s">
        <v>16</v>
      </c>
      <c r="C1117" t="s">
        <v>4025</v>
      </c>
      <c r="D1117" t="s">
        <v>4026</v>
      </c>
      <c r="E1117" t="s">
        <v>4027</v>
      </c>
      <c r="F1117" t="s">
        <v>2631</v>
      </c>
      <c r="G1117" t="s">
        <v>22</v>
      </c>
      <c r="H1117" t="s">
        <v>22</v>
      </c>
      <c r="I1117" t="s">
        <v>1769</v>
      </c>
    </row>
    <row r="1118" spans="1:9" ht="11.25" customHeight="1">
      <c r="A1118" t="s">
        <v>2385</v>
      </c>
      <c r="B1118" t="s">
        <v>16</v>
      </c>
      <c r="C1118" t="s">
        <v>4258</v>
      </c>
      <c r="D1118" t="s">
        <v>4259</v>
      </c>
      <c r="E1118" t="s">
        <v>4260</v>
      </c>
      <c r="F1118" t="s">
        <v>2508</v>
      </c>
      <c r="G1118" t="s">
        <v>22</v>
      </c>
      <c r="H1118" t="s">
        <v>22</v>
      </c>
      <c r="I1118" t="s">
        <v>1769</v>
      </c>
    </row>
    <row r="1119" spans="1:9" ht="11.25" customHeight="1">
      <c r="A1119" t="s">
        <v>2385</v>
      </c>
      <c r="B1119" t="s">
        <v>16</v>
      </c>
      <c r="C1119" t="s">
        <v>4261</v>
      </c>
      <c r="D1119" t="s">
        <v>4262</v>
      </c>
      <c r="E1119" t="s">
        <v>4263</v>
      </c>
      <c r="F1119" t="s">
        <v>2690</v>
      </c>
      <c r="G1119" t="s">
        <v>22</v>
      </c>
      <c r="H1119" t="s">
        <v>22</v>
      </c>
      <c r="I1119" t="s">
        <v>1769</v>
      </c>
    </row>
    <row r="1120" spans="1:9" ht="11.25" customHeight="1">
      <c r="A1120" t="s">
        <v>2385</v>
      </c>
      <c r="B1120" t="s">
        <v>16</v>
      </c>
      <c r="C1120" t="s">
        <v>4264</v>
      </c>
      <c r="D1120" t="s">
        <v>4265</v>
      </c>
      <c r="E1120" t="s">
        <v>4266</v>
      </c>
      <c r="F1120" t="s">
        <v>4267</v>
      </c>
      <c r="G1120" t="s">
        <v>4268</v>
      </c>
      <c r="H1120" t="s">
        <v>22</v>
      </c>
      <c r="I1120" t="s">
        <v>1769</v>
      </c>
    </row>
    <row r="1121" spans="1:9" ht="11.25" customHeight="1">
      <c r="A1121" t="s">
        <v>2385</v>
      </c>
      <c r="B1121" t="s">
        <v>16</v>
      </c>
      <c r="C1121" t="s">
        <v>4269</v>
      </c>
      <c r="D1121" t="s">
        <v>4270</v>
      </c>
      <c r="E1121" t="s">
        <v>4271</v>
      </c>
      <c r="F1121" t="s">
        <v>50</v>
      </c>
      <c r="G1121" t="s">
        <v>22</v>
      </c>
      <c r="H1121" t="s">
        <v>22</v>
      </c>
      <c r="I1121" t="s">
        <v>1769</v>
      </c>
    </row>
    <row r="1122" spans="1:9" ht="11.25" customHeight="1">
      <c r="A1122" t="s">
        <v>2385</v>
      </c>
      <c r="B1122" t="s">
        <v>16</v>
      </c>
      <c r="C1122" t="s">
        <v>4272</v>
      </c>
      <c r="D1122" t="s">
        <v>4273</v>
      </c>
      <c r="E1122" t="s">
        <v>4274</v>
      </c>
      <c r="F1122" t="s">
        <v>2690</v>
      </c>
      <c r="G1122" t="s">
        <v>22</v>
      </c>
      <c r="H1122" t="s">
        <v>22</v>
      </c>
      <c r="I1122" t="s">
        <v>1769</v>
      </c>
    </row>
    <row r="1123" spans="1:9" ht="11.25" customHeight="1">
      <c r="A1123" t="s">
        <v>2385</v>
      </c>
      <c r="B1123" t="s">
        <v>16</v>
      </c>
      <c r="C1123" t="s">
        <v>4275</v>
      </c>
      <c r="D1123" t="s">
        <v>4276</v>
      </c>
      <c r="E1123" t="s">
        <v>4277</v>
      </c>
      <c r="F1123" t="s">
        <v>2393</v>
      </c>
      <c r="G1123" t="s">
        <v>22</v>
      </c>
      <c r="H1123" t="s">
        <v>22</v>
      </c>
      <c r="I1123" t="s">
        <v>1769</v>
      </c>
    </row>
    <row r="1124" spans="1:9" ht="11.25" customHeight="1">
      <c r="A1124" t="s">
        <v>2385</v>
      </c>
      <c r="B1124" t="s">
        <v>16</v>
      </c>
      <c r="C1124" t="s">
        <v>4278</v>
      </c>
      <c r="D1124" t="s">
        <v>4279</v>
      </c>
      <c r="E1124" t="s">
        <v>4277</v>
      </c>
      <c r="F1124" t="s">
        <v>4280</v>
      </c>
      <c r="G1124" t="s">
        <v>22</v>
      </c>
      <c r="H1124" t="s">
        <v>22</v>
      </c>
      <c r="I1124" t="s">
        <v>1769</v>
      </c>
    </row>
    <row r="1125" spans="1:9" ht="11.25" customHeight="1">
      <c r="A1125" t="s">
        <v>2385</v>
      </c>
      <c r="B1125" t="s">
        <v>16</v>
      </c>
      <c r="C1125" t="s">
        <v>4281</v>
      </c>
      <c r="D1125" t="s">
        <v>4282</v>
      </c>
      <c r="E1125" t="s">
        <v>4283</v>
      </c>
      <c r="F1125" t="s">
        <v>3102</v>
      </c>
      <c r="G1125" t="s">
        <v>22</v>
      </c>
      <c r="H1125" t="s">
        <v>22</v>
      </c>
      <c r="I1125" t="s">
        <v>1769</v>
      </c>
    </row>
    <row r="1126" spans="1:9" ht="11.25" customHeight="1">
      <c r="A1126" t="s">
        <v>2385</v>
      </c>
      <c r="B1126" t="s">
        <v>16</v>
      </c>
      <c r="C1126" t="s">
        <v>4284</v>
      </c>
      <c r="D1126" t="s">
        <v>4285</v>
      </c>
      <c r="E1126" t="s">
        <v>4286</v>
      </c>
      <c r="F1126" t="s">
        <v>2690</v>
      </c>
      <c r="G1126" t="s">
        <v>22</v>
      </c>
      <c r="H1126" t="s">
        <v>22</v>
      </c>
      <c r="I1126" t="s">
        <v>1769</v>
      </c>
    </row>
    <row r="1127" spans="1:9" ht="11.25" customHeight="1">
      <c r="A1127" t="s">
        <v>2385</v>
      </c>
      <c r="B1127" t="s">
        <v>16</v>
      </c>
      <c r="C1127" t="s">
        <v>4287</v>
      </c>
      <c r="D1127" t="s">
        <v>4288</v>
      </c>
      <c r="E1127" t="s">
        <v>4289</v>
      </c>
      <c r="F1127" t="s">
        <v>2690</v>
      </c>
      <c r="G1127" t="s">
        <v>22</v>
      </c>
      <c r="H1127" t="s">
        <v>22</v>
      </c>
      <c r="I1127" t="s">
        <v>1769</v>
      </c>
    </row>
    <row r="1128" spans="1:9" ht="11.25" customHeight="1">
      <c r="A1128" t="s">
        <v>2385</v>
      </c>
      <c r="B1128" t="s">
        <v>16</v>
      </c>
      <c r="C1128" t="s">
        <v>4290</v>
      </c>
      <c r="D1128" t="s">
        <v>4291</v>
      </c>
      <c r="E1128" t="s">
        <v>4292</v>
      </c>
      <c r="F1128" t="s">
        <v>2508</v>
      </c>
      <c r="G1128" t="s">
        <v>22</v>
      </c>
      <c r="H1128" t="s">
        <v>22</v>
      </c>
      <c r="I1128" t="s">
        <v>1769</v>
      </c>
    </row>
    <row r="1129" spans="1:9" ht="11.25" customHeight="1">
      <c r="A1129" t="s">
        <v>2385</v>
      </c>
      <c r="B1129" t="s">
        <v>16</v>
      </c>
      <c r="C1129" t="s">
        <v>4293</v>
      </c>
      <c r="D1129" t="s">
        <v>4294</v>
      </c>
      <c r="E1129" t="s">
        <v>4295</v>
      </c>
      <c r="F1129" t="s">
        <v>2508</v>
      </c>
      <c r="G1129" t="s">
        <v>22</v>
      </c>
      <c r="H1129" t="s">
        <v>22</v>
      </c>
      <c r="I1129" t="s">
        <v>1769</v>
      </c>
    </row>
    <row r="1130" spans="1:9" ht="11.25" customHeight="1">
      <c r="A1130" t="s">
        <v>2385</v>
      </c>
      <c r="B1130" t="s">
        <v>16</v>
      </c>
      <c r="C1130" t="s">
        <v>4296</v>
      </c>
      <c r="D1130" t="s">
        <v>4297</v>
      </c>
      <c r="E1130" t="s">
        <v>4298</v>
      </c>
      <c r="F1130" t="s">
        <v>2393</v>
      </c>
      <c r="G1130" t="s">
        <v>22</v>
      </c>
      <c r="H1130" t="s">
        <v>22</v>
      </c>
      <c r="I1130" t="s">
        <v>1769</v>
      </c>
    </row>
    <row r="1131" spans="1:9" ht="11.25" customHeight="1">
      <c r="A1131" t="s">
        <v>2385</v>
      </c>
      <c r="B1131" t="s">
        <v>16</v>
      </c>
      <c r="C1131" t="s">
        <v>4299</v>
      </c>
      <c r="D1131" t="s">
        <v>4300</v>
      </c>
      <c r="E1131" t="s">
        <v>4301</v>
      </c>
      <c r="F1131" t="s">
        <v>4302</v>
      </c>
      <c r="G1131" t="s">
        <v>22</v>
      </c>
      <c r="H1131" t="s">
        <v>22</v>
      </c>
      <c r="I1131" t="s">
        <v>1769</v>
      </c>
    </row>
    <row r="1132" spans="1:9" ht="11.25" customHeight="1">
      <c r="A1132" t="s">
        <v>2385</v>
      </c>
      <c r="B1132" t="s">
        <v>16</v>
      </c>
      <c r="C1132" t="s">
        <v>4303</v>
      </c>
      <c r="D1132" t="s">
        <v>4304</v>
      </c>
      <c r="E1132" t="s">
        <v>4305</v>
      </c>
      <c r="F1132" t="s">
        <v>4306</v>
      </c>
      <c r="G1132" t="s">
        <v>22</v>
      </c>
      <c r="H1132" t="s">
        <v>22</v>
      </c>
      <c r="I1132" t="s">
        <v>1769</v>
      </c>
    </row>
    <row r="1133" spans="1:9" ht="11.25" customHeight="1">
      <c r="A1133" t="s">
        <v>2385</v>
      </c>
      <c r="B1133" t="s">
        <v>16</v>
      </c>
      <c r="C1133" t="s">
        <v>4307</v>
      </c>
      <c r="D1133" t="s">
        <v>4308</v>
      </c>
      <c r="E1133" t="s">
        <v>4309</v>
      </c>
      <c r="F1133" t="s">
        <v>2463</v>
      </c>
      <c r="G1133" t="s">
        <v>4310</v>
      </c>
      <c r="H1133" t="s">
        <v>22</v>
      </c>
      <c r="I1133" t="s">
        <v>1769</v>
      </c>
    </row>
    <row r="1134" spans="1:9" ht="11.25" customHeight="1">
      <c r="A1134" t="s">
        <v>2385</v>
      </c>
      <c r="B1134" t="s">
        <v>16</v>
      </c>
      <c r="C1134" t="s">
        <v>4311</v>
      </c>
      <c r="D1134" t="s">
        <v>4312</v>
      </c>
      <c r="E1134" t="s">
        <v>4313</v>
      </c>
      <c r="F1134" t="s">
        <v>2393</v>
      </c>
      <c r="G1134" t="s">
        <v>22</v>
      </c>
      <c r="H1134" t="s">
        <v>22</v>
      </c>
      <c r="I1134" t="s">
        <v>1769</v>
      </c>
    </row>
    <row r="1135" spans="1:9" ht="11.25" customHeight="1">
      <c r="A1135" t="s">
        <v>2385</v>
      </c>
      <c r="B1135" t="s">
        <v>16</v>
      </c>
      <c r="C1135" t="s">
        <v>22</v>
      </c>
      <c r="D1135" t="s">
        <v>3733</v>
      </c>
      <c r="E1135" t="s">
        <v>3734</v>
      </c>
      <c r="F1135" t="s">
        <v>2393</v>
      </c>
      <c r="G1135" t="s">
        <v>22</v>
      </c>
      <c r="H1135" t="s">
        <v>22</v>
      </c>
      <c r="I1135" t="s">
        <v>1769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41" t="s">
        <v>4314</v>
      </c>
      <c r="B1" s="41" t="s">
        <v>4315</v>
      </c>
      <c r="C1" s="41" t="s">
        <v>4316</v>
      </c>
      <c r="D1" s="41" t="s">
        <v>4317</v>
      </c>
      <c r="E1" t="s">
        <v>4318</v>
      </c>
      <c r="F1" t="s">
        <v>4319</v>
      </c>
      <c r="G1" t="s">
        <v>4320</v>
      </c>
    </row>
    <row r="2" spans="1:7" ht="11.25" customHeight="1">
      <c r="A2" s="41" t="s">
        <v>16</v>
      </c>
      <c r="B2" t="s">
        <v>4321</v>
      </c>
      <c r="C2" t="s">
        <v>4322</v>
      </c>
      <c r="D2" t="s">
        <v>4321</v>
      </c>
      <c r="E2" t="s">
        <v>4322</v>
      </c>
      <c r="F2" t="s">
        <v>4323</v>
      </c>
      <c r="G2" t="s">
        <v>114</v>
      </c>
    </row>
    <row r="3" spans="1:7" ht="11.25" customHeight="1">
      <c r="A3" s="41" t="s">
        <v>16</v>
      </c>
      <c r="B3" t="s">
        <v>4324</v>
      </c>
      <c r="C3" t="s">
        <v>4325</v>
      </c>
      <c r="D3" t="s">
        <v>4324</v>
      </c>
      <c r="E3" t="s">
        <v>4325</v>
      </c>
      <c r="F3" t="s">
        <v>4323</v>
      </c>
      <c r="G3" t="s">
        <v>102</v>
      </c>
    </row>
    <row r="4" spans="1:7" ht="11.25" customHeight="1">
      <c r="A4" s="41" t="s">
        <v>16</v>
      </c>
      <c r="B4" t="s">
        <v>4326</v>
      </c>
      <c r="C4" t="s">
        <v>4327</v>
      </c>
      <c r="D4" t="s">
        <v>4326</v>
      </c>
      <c r="E4" t="s">
        <v>4327</v>
      </c>
      <c r="F4" t="s">
        <v>4323</v>
      </c>
      <c r="G4" t="s">
        <v>89</v>
      </c>
    </row>
    <row r="5" spans="1:7" ht="11.25" customHeight="1">
      <c r="A5" s="41" t="s">
        <v>16</v>
      </c>
      <c r="B5" t="s">
        <v>4328</v>
      </c>
      <c r="C5" t="s">
        <v>4329</v>
      </c>
      <c r="D5" t="s">
        <v>4328</v>
      </c>
      <c r="E5" t="s">
        <v>4329</v>
      </c>
      <c r="F5" t="s">
        <v>4323</v>
      </c>
      <c r="G5" t="s">
        <v>90</v>
      </c>
    </row>
    <row r="6" spans="1:7" ht="11.25" customHeight="1">
      <c r="A6" s="41" t="s">
        <v>16</v>
      </c>
      <c r="B6" t="s">
        <v>4330</v>
      </c>
      <c r="C6" t="s">
        <v>4331</v>
      </c>
      <c r="D6" t="s">
        <v>4330</v>
      </c>
      <c r="E6" t="s">
        <v>4331</v>
      </c>
      <c r="F6" t="s">
        <v>4323</v>
      </c>
      <c r="G6" t="s">
        <v>115</v>
      </c>
    </row>
    <row r="7" spans="1:7" ht="11.25" customHeight="1">
      <c r="A7" s="41" t="s">
        <v>16</v>
      </c>
      <c r="B7" t="s">
        <v>4332</v>
      </c>
      <c r="C7" t="s">
        <v>4333</v>
      </c>
      <c r="D7" t="s">
        <v>4332</v>
      </c>
      <c r="E7" t="s">
        <v>4333</v>
      </c>
      <c r="F7" t="s">
        <v>4323</v>
      </c>
      <c r="G7" t="s">
        <v>91</v>
      </c>
    </row>
    <row r="8" spans="1:7" ht="11.25" customHeight="1">
      <c r="A8" s="41" t="s">
        <v>16</v>
      </c>
      <c r="B8" t="s">
        <v>4334</v>
      </c>
      <c r="C8" t="s">
        <v>4335</v>
      </c>
      <c r="D8" t="s">
        <v>4334</v>
      </c>
      <c r="E8" t="s">
        <v>4335</v>
      </c>
      <c r="F8" t="s">
        <v>4323</v>
      </c>
      <c r="G8" t="s">
        <v>92</v>
      </c>
    </row>
    <row r="9" spans="1:7" ht="11.25" customHeight="1">
      <c r="A9" s="41" t="s">
        <v>16</v>
      </c>
      <c r="B9" t="s">
        <v>4336</v>
      </c>
      <c r="C9" t="s">
        <v>4337</v>
      </c>
      <c r="D9" t="s">
        <v>4336</v>
      </c>
      <c r="E9" t="s">
        <v>4337</v>
      </c>
      <c r="F9" t="s">
        <v>4323</v>
      </c>
      <c r="G9" t="s">
        <v>116</v>
      </c>
    </row>
    <row r="10" spans="1:7" ht="11.25" customHeight="1">
      <c r="A10" s="41" t="s">
        <v>16</v>
      </c>
      <c r="B10" t="s">
        <v>4338</v>
      </c>
      <c r="C10" t="s">
        <v>4339</v>
      </c>
      <c r="D10" t="s">
        <v>4338</v>
      </c>
      <c r="E10" t="s">
        <v>4339</v>
      </c>
      <c r="F10" t="s">
        <v>4323</v>
      </c>
      <c r="G10" t="s">
        <v>161</v>
      </c>
    </row>
    <row r="11" spans="1:7" ht="11.25" customHeight="1">
      <c r="A11" s="41" t="s">
        <v>16</v>
      </c>
      <c r="B11" t="s">
        <v>4340</v>
      </c>
      <c r="C11" t="s">
        <v>4341</v>
      </c>
      <c r="D11" t="s">
        <v>4340</v>
      </c>
      <c r="E11" t="s">
        <v>4341</v>
      </c>
      <c r="F11" t="s">
        <v>4323</v>
      </c>
      <c r="G11" t="s">
        <v>162</v>
      </c>
    </row>
    <row r="12" spans="1:7" ht="11.25" customHeight="1">
      <c r="A12" s="41" t="s">
        <v>16</v>
      </c>
      <c r="B12" t="s">
        <v>4342</v>
      </c>
      <c r="C12" t="s">
        <v>4343</v>
      </c>
      <c r="D12" t="s">
        <v>4342</v>
      </c>
      <c r="E12" t="s">
        <v>4343</v>
      </c>
      <c r="F12" t="s">
        <v>4323</v>
      </c>
      <c r="G12" t="s">
        <v>163</v>
      </c>
    </row>
    <row r="13" spans="1:7" ht="11.25" customHeight="1">
      <c r="A13" s="41" t="s">
        <v>16</v>
      </c>
      <c r="B13" t="s">
        <v>4344</v>
      </c>
      <c r="C13" t="s">
        <v>4345</v>
      </c>
      <c r="D13" t="s">
        <v>4344</v>
      </c>
      <c r="E13" t="s">
        <v>4345</v>
      </c>
      <c r="F13" t="s">
        <v>4323</v>
      </c>
      <c r="G13" t="s">
        <v>164</v>
      </c>
    </row>
    <row r="14" spans="1:7" ht="11.25" customHeight="1">
      <c r="A14" s="41" t="s">
        <v>16</v>
      </c>
      <c r="B14" t="s">
        <v>4346</v>
      </c>
      <c r="C14" t="s">
        <v>4347</v>
      </c>
      <c r="D14" t="s">
        <v>4346</v>
      </c>
      <c r="E14" t="s">
        <v>4347</v>
      </c>
      <c r="F14" t="s">
        <v>4348</v>
      </c>
      <c r="G14" t="s">
        <v>165</v>
      </c>
    </row>
    <row r="15" spans="1:7" ht="11.25" customHeight="1">
      <c r="A15" s="41" t="s">
        <v>16</v>
      </c>
      <c r="B15" t="s">
        <v>4349</v>
      </c>
      <c r="C15" t="s">
        <v>4350</v>
      </c>
      <c r="D15" t="s">
        <v>4349</v>
      </c>
      <c r="E15" t="s">
        <v>4350</v>
      </c>
      <c r="F15" t="s">
        <v>4323</v>
      </c>
      <c r="G15" t="s">
        <v>166</v>
      </c>
    </row>
    <row r="16" spans="1:7" ht="11.25" customHeight="1">
      <c r="A16" s="41" t="s">
        <v>16</v>
      </c>
      <c r="B16" t="s">
        <v>4351</v>
      </c>
      <c r="C16" t="s">
        <v>4352</v>
      </c>
      <c r="D16" t="s">
        <v>4351</v>
      </c>
      <c r="E16" t="s">
        <v>4352</v>
      </c>
      <c r="F16" t="s">
        <v>4323</v>
      </c>
      <c r="G16" t="s">
        <v>1112</v>
      </c>
    </row>
    <row r="17" spans="1:7" ht="11.25" customHeight="1">
      <c r="A17" s="41" t="s">
        <v>16</v>
      </c>
      <c r="B17" t="s">
        <v>4353</v>
      </c>
      <c r="C17" t="s">
        <v>4354</v>
      </c>
      <c r="D17" t="s">
        <v>4353</v>
      </c>
      <c r="E17" t="s">
        <v>4354</v>
      </c>
      <c r="F17" t="s">
        <v>4323</v>
      </c>
      <c r="G17" t="s">
        <v>1118</v>
      </c>
    </row>
    <row r="18" spans="1:7" ht="11.25" customHeight="1">
      <c r="A18" s="41" t="s">
        <v>16</v>
      </c>
      <c r="B18" t="s">
        <v>4355</v>
      </c>
      <c r="C18" t="s">
        <v>4356</v>
      </c>
      <c r="D18" t="s">
        <v>4355</v>
      </c>
      <c r="E18" t="s">
        <v>4356</v>
      </c>
      <c r="F18" t="s">
        <v>4323</v>
      </c>
      <c r="G18" t="s">
        <v>1120</v>
      </c>
    </row>
    <row r="19" spans="1:7" ht="11.25" customHeight="1">
      <c r="A19" s="41" t="s">
        <v>16</v>
      </c>
      <c r="B19" t="s">
        <v>4357</v>
      </c>
      <c r="C19" t="s">
        <v>4358</v>
      </c>
      <c r="D19" t="s">
        <v>4357</v>
      </c>
      <c r="E19" t="s">
        <v>4358</v>
      </c>
      <c r="F19" t="s">
        <v>4323</v>
      </c>
      <c r="G19" t="s">
        <v>1153</v>
      </c>
    </row>
    <row r="20" spans="1:7" ht="11.25" customHeight="1">
      <c r="A20" s="41" t="s">
        <v>16</v>
      </c>
      <c r="B20" t="s">
        <v>4359</v>
      </c>
      <c r="C20" t="s">
        <v>4360</v>
      </c>
      <c r="D20" t="s">
        <v>4359</v>
      </c>
      <c r="E20" t="s">
        <v>4360</v>
      </c>
      <c r="F20" t="s">
        <v>4348</v>
      </c>
      <c r="G20" t="s">
        <v>1155</v>
      </c>
    </row>
    <row r="21" spans="1:7" ht="11.25" customHeight="1">
      <c r="A21" s="41" t="s">
        <v>16</v>
      </c>
      <c r="B21" t="s">
        <v>4361</v>
      </c>
      <c r="C21" t="s">
        <v>4362</v>
      </c>
      <c r="D21" t="s">
        <v>4361</v>
      </c>
      <c r="E21" t="s">
        <v>4362</v>
      </c>
      <c r="F21" t="s">
        <v>4323</v>
      </c>
      <c r="G21" t="s">
        <v>1157</v>
      </c>
    </row>
    <row r="22" spans="1:7" ht="11.25" customHeight="1">
      <c r="A22" s="41" t="s">
        <v>16</v>
      </c>
      <c r="B22" t="s">
        <v>4363</v>
      </c>
      <c r="C22" t="s">
        <v>4364</v>
      </c>
      <c r="D22" t="s">
        <v>4363</v>
      </c>
      <c r="E22" t="s">
        <v>4364</v>
      </c>
      <c r="F22" t="s">
        <v>4323</v>
      </c>
      <c r="G22" t="s">
        <v>1159</v>
      </c>
    </row>
    <row r="23" spans="1:7" ht="11.25" customHeight="1">
      <c r="A23" s="41" t="s">
        <v>16</v>
      </c>
      <c r="B23" t="s">
        <v>4365</v>
      </c>
      <c r="C23" t="s">
        <v>4366</v>
      </c>
      <c r="D23" t="s">
        <v>4365</v>
      </c>
      <c r="E23" t="s">
        <v>4366</v>
      </c>
      <c r="F23" t="s">
        <v>4323</v>
      </c>
      <c r="G23" t="s">
        <v>1161</v>
      </c>
    </row>
    <row r="24" spans="1:7" ht="11.25" customHeight="1">
      <c r="A24" s="41" t="s">
        <v>16</v>
      </c>
      <c r="B24" t="s">
        <v>4367</v>
      </c>
      <c r="C24" t="s">
        <v>4368</v>
      </c>
      <c r="D24" t="s">
        <v>4367</v>
      </c>
      <c r="E24" t="s">
        <v>4368</v>
      </c>
      <c r="F24" t="s">
        <v>4323</v>
      </c>
      <c r="G24" t="s">
        <v>1163</v>
      </c>
    </row>
    <row r="25" spans="1:7" ht="11.25" customHeight="1">
      <c r="A25" s="41" t="s">
        <v>16</v>
      </c>
      <c r="B25" t="s">
        <v>106</v>
      </c>
      <c r="C25" t="s">
        <v>107</v>
      </c>
      <c r="D25" t="s">
        <v>106</v>
      </c>
      <c r="E25" t="s">
        <v>107</v>
      </c>
      <c r="F25" t="s">
        <v>4323</v>
      </c>
      <c r="G25" t="s">
        <v>105</v>
      </c>
    </row>
    <row r="26" spans="1:7" ht="11.25" customHeight="1">
      <c r="A26" s="41" t="s">
        <v>16</v>
      </c>
      <c r="B26" t="s">
        <v>4369</v>
      </c>
      <c r="C26" t="s">
        <v>4370</v>
      </c>
      <c r="D26" t="s">
        <v>4369</v>
      </c>
      <c r="E26" t="s">
        <v>4370</v>
      </c>
      <c r="F26" t="s">
        <v>4323</v>
      </c>
      <c r="G26" t="s">
        <v>1166</v>
      </c>
    </row>
    <row r="27" spans="1:7" ht="11.25" customHeight="1">
      <c r="A27" s="41" t="s">
        <v>16</v>
      </c>
      <c r="B27" t="s">
        <v>4371</v>
      </c>
      <c r="C27" t="s">
        <v>4372</v>
      </c>
      <c r="D27" t="s">
        <v>4371</v>
      </c>
      <c r="E27" t="s">
        <v>4372</v>
      </c>
      <c r="F27" t="s">
        <v>4323</v>
      </c>
      <c r="G27" t="s">
        <v>1168</v>
      </c>
    </row>
    <row r="28" spans="1:7" ht="11.25" customHeight="1">
      <c r="A28" s="41" t="s">
        <v>16</v>
      </c>
      <c r="B28" t="s">
        <v>4373</v>
      </c>
      <c r="C28" t="s">
        <v>4374</v>
      </c>
      <c r="D28" t="s">
        <v>4373</v>
      </c>
      <c r="E28" t="s">
        <v>4374</v>
      </c>
      <c r="F28" t="s">
        <v>4348</v>
      </c>
      <c r="G28" t="s">
        <v>1169</v>
      </c>
    </row>
    <row r="29" spans="1:7" ht="11.25" customHeight="1">
      <c r="A29" s="41" t="s">
        <v>16</v>
      </c>
      <c r="B29" t="s">
        <v>4375</v>
      </c>
      <c r="C29" t="s">
        <v>4376</v>
      </c>
      <c r="D29" t="s">
        <v>4375</v>
      </c>
      <c r="E29" t="s">
        <v>4376</v>
      </c>
      <c r="F29" t="s">
        <v>4323</v>
      </c>
      <c r="G29" t="s">
        <v>1170</v>
      </c>
    </row>
    <row r="30" spans="1:7" ht="11.25" customHeight="1">
      <c r="A30" s="41" t="s">
        <v>16</v>
      </c>
      <c r="B30" t="s">
        <v>4377</v>
      </c>
      <c r="C30" t="s">
        <v>4378</v>
      </c>
      <c r="D30" t="s">
        <v>4377</v>
      </c>
      <c r="E30" t="s">
        <v>4378</v>
      </c>
      <c r="F30" t="s">
        <v>4348</v>
      </c>
      <c r="G30" t="s">
        <v>1171</v>
      </c>
    </row>
    <row r="31" spans="1:7" ht="11.25" customHeight="1">
      <c r="A31" s="41" t="s">
        <v>16</v>
      </c>
      <c r="B31" t="s">
        <v>4379</v>
      </c>
      <c r="C31" t="s">
        <v>4380</v>
      </c>
      <c r="D31" t="s">
        <v>4379</v>
      </c>
      <c r="E31" t="s">
        <v>4380</v>
      </c>
      <c r="F31" t="s">
        <v>4323</v>
      </c>
      <c r="G31" t="s">
        <v>1173</v>
      </c>
    </row>
    <row r="32" spans="1:7" ht="11.25" customHeight="1">
      <c r="A32" s="41" t="s">
        <v>16</v>
      </c>
      <c r="B32" t="s">
        <v>4381</v>
      </c>
      <c r="C32" t="s">
        <v>4382</v>
      </c>
      <c r="D32" t="s">
        <v>4381</v>
      </c>
      <c r="E32" t="s">
        <v>4382</v>
      </c>
      <c r="F32" t="s">
        <v>4323</v>
      </c>
      <c r="G32" t="s">
        <v>1075</v>
      </c>
    </row>
    <row r="33" spans="1:7" ht="11.25" customHeight="1">
      <c r="A33" s="41" t="s">
        <v>16</v>
      </c>
      <c r="B33" t="s">
        <v>4383</v>
      </c>
      <c r="C33" t="s">
        <v>4384</v>
      </c>
      <c r="D33" t="s">
        <v>4383</v>
      </c>
      <c r="E33" t="s">
        <v>4384</v>
      </c>
      <c r="F33" t="s">
        <v>4348</v>
      </c>
      <c r="G33" t="s">
        <v>1736</v>
      </c>
    </row>
    <row r="34" spans="1:7" ht="11.25" customHeight="1">
      <c r="A34" s="41" t="s">
        <v>16</v>
      </c>
      <c r="B34" t="s">
        <v>4385</v>
      </c>
      <c r="C34" t="s">
        <v>4386</v>
      </c>
      <c r="D34" t="s">
        <v>4385</v>
      </c>
      <c r="E34" t="s">
        <v>4386</v>
      </c>
      <c r="F34" t="s">
        <v>4323</v>
      </c>
      <c r="G34" t="s">
        <v>1738</v>
      </c>
    </row>
    <row r="35" spans="1:7" ht="11.25" customHeight="1">
      <c r="A35" s="41" t="s">
        <v>16</v>
      </c>
      <c r="B35" t="s">
        <v>4387</v>
      </c>
      <c r="C35" t="s">
        <v>4388</v>
      </c>
      <c r="D35" t="s">
        <v>4387</v>
      </c>
      <c r="E35" t="s">
        <v>4388</v>
      </c>
      <c r="F35" t="s">
        <v>4323</v>
      </c>
      <c r="G35" t="s">
        <v>1743</v>
      </c>
    </row>
    <row r="36" spans="1:7" ht="11.25" customHeight="1">
      <c r="A36" s="41" t="s">
        <v>16</v>
      </c>
      <c r="B36" t="s">
        <v>4389</v>
      </c>
      <c r="C36" t="s">
        <v>4390</v>
      </c>
      <c r="D36" t="s">
        <v>4389</v>
      </c>
      <c r="E36" t="s">
        <v>4390</v>
      </c>
      <c r="F36" t="s">
        <v>4348</v>
      </c>
      <c r="G36" t="s">
        <v>1748</v>
      </c>
    </row>
    <row r="37" spans="1:7" ht="11.25" customHeight="1">
      <c r="A37" s="41" t="s">
        <v>16</v>
      </c>
      <c r="B37" t="s">
        <v>4391</v>
      </c>
      <c r="C37" t="s">
        <v>4392</v>
      </c>
      <c r="D37" t="s">
        <v>4391</v>
      </c>
      <c r="E37" t="s">
        <v>4392</v>
      </c>
      <c r="F37" t="s">
        <v>4323</v>
      </c>
      <c r="G37" t="s">
        <v>1752</v>
      </c>
    </row>
    <row r="38" spans="1:7" ht="11.25" customHeight="1">
      <c r="A38" s="41" t="s">
        <v>16</v>
      </c>
      <c r="B38" t="s">
        <v>4393</v>
      </c>
      <c r="C38" t="s">
        <v>4394</v>
      </c>
      <c r="D38" t="s">
        <v>4393</v>
      </c>
      <c r="E38" t="s">
        <v>4394</v>
      </c>
      <c r="F38" t="s">
        <v>4323</v>
      </c>
      <c r="G38" t="s">
        <v>1760</v>
      </c>
    </row>
    <row r="39" spans="1:7" ht="11.25" customHeight="1">
      <c r="A39" s="41" t="s">
        <v>16</v>
      </c>
      <c r="B39" t="s">
        <v>4395</v>
      </c>
      <c r="C39" t="s">
        <v>4396</v>
      </c>
      <c r="D39" t="s">
        <v>4395</v>
      </c>
      <c r="E39" t="s">
        <v>4396</v>
      </c>
      <c r="F39" t="s">
        <v>4323</v>
      </c>
      <c r="G39" t="s">
        <v>1766</v>
      </c>
    </row>
    <row r="40" spans="1:7" ht="11.25" customHeight="1">
      <c r="A40" s="41" t="s">
        <v>16</v>
      </c>
      <c r="B40" t="s">
        <v>4397</v>
      </c>
      <c r="C40" t="s">
        <v>4398</v>
      </c>
      <c r="D40" t="s">
        <v>4397</v>
      </c>
      <c r="E40" t="s">
        <v>4398</v>
      </c>
      <c r="F40" t="s">
        <v>4323</v>
      </c>
      <c r="G40" t="s">
        <v>1770</v>
      </c>
    </row>
    <row r="41" spans="1:7" ht="11.25" customHeight="1">
      <c r="A41" s="41" t="s">
        <v>16</v>
      </c>
      <c r="B41" t="s">
        <v>4399</v>
      </c>
      <c r="C41" t="s">
        <v>4400</v>
      </c>
      <c r="D41" t="s">
        <v>4399</v>
      </c>
      <c r="E41" t="s">
        <v>4400</v>
      </c>
      <c r="F41" t="s">
        <v>4323</v>
      </c>
      <c r="G41" t="s">
        <v>1774</v>
      </c>
    </row>
    <row r="42" spans="1:7" ht="11.25" customHeight="1">
      <c r="A42" s="41" t="s">
        <v>16</v>
      </c>
      <c r="B42" t="s">
        <v>4401</v>
      </c>
      <c r="C42" t="s">
        <v>4402</v>
      </c>
      <c r="D42" t="s">
        <v>4401</v>
      </c>
      <c r="E42" t="s">
        <v>4402</v>
      </c>
      <c r="F42" t="s">
        <v>4323</v>
      </c>
      <c r="G42" t="s">
        <v>1777</v>
      </c>
    </row>
    <row r="43" spans="1:7" ht="11.25" customHeight="1">
      <c r="A43" s="41" t="s">
        <v>16</v>
      </c>
      <c r="B43" t="s">
        <v>4403</v>
      </c>
      <c r="C43" t="s">
        <v>4404</v>
      </c>
      <c r="D43" t="s">
        <v>4403</v>
      </c>
      <c r="E43" t="s">
        <v>4404</v>
      </c>
      <c r="F43" t="s">
        <v>4323</v>
      </c>
      <c r="G43" t="s">
        <v>1784</v>
      </c>
    </row>
    <row r="44" spans="1:7" ht="11.25" customHeight="1">
      <c r="A44" s="41" t="s">
        <v>16</v>
      </c>
      <c r="B44" t="s">
        <v>4405</v>
      </c>
      <c r="C44" t="s">
        <v>4406</v>
      </c>
      <c r="D44" t="s">
        <v>4405</v>
      </c>
      <c r="E44" t="s">
        <v>4406</v>
      </c>
      <c r="F44" t="s">
        <v>4348</v>
      </c>
      <c r="G44" t="s">
        <v>1793</v>
      </c>
    </row>
    <row r="45" spans="1:7" ht="11.25" customHeight="1">
      <c r="A45" s="41" t="s">
        <v>16</v>
      </c>
      <c r="B45" t="s">
        <v>4407</v>
      </c>
      <c r="C45" t="s">
        <v>4408</v>
      </c>
      <c r="D45" t="s">
        <v>4407</v>
      </c>
      <c r="E45" t="s">
        <v>4408</v>
      </c>
      <c r="F45" t="s">
        <v>4348</v>
      </c>
      <c r="G45" t="s">
        <v>1798</v>
      </c>
    </row>
    <row r="46" spans="1:7" ht="11.25" customHeight="1">
      <c r="A46" s="41" t="s">
        <v>16</v>
      </c>
      <c r="B46" t="s">
        <v>4409</v>
      </c>
      <c r="C46" t="s">
        <v>4410</v>
      </c>
      <c r="D46" t="s">
        <v>4409</v>
      </c>
      <c r="E46" t="s">
        <v>4410</v>
      </c>
      <c r="F46" t="s">
        <v>4348</v>
      </c>
      <c r="G46" t="s">
        <v>1802</v>
      </c>
    </row>
    <row r="47" spans="1:7" ht="11.25" customHeight="1">
      <c r="A47" s="41" t="s">
        <v>16</v>
      </c>
      <c r="B47" t="s">
        <v>4411</v>
      </c>
      <c r="C47" t="s">
        <v>4412</v>
      </c>
      <c r="D47" t="s">
        <v>4411</v>
      </c>
      <c r="E47" t="s">
        <v>4412</v>
      </c>
      <c r="F47" t="s">
        <v>4348</v>
      </c>
      <c r="G47" t="s">
        <v>1807</v>
      </c>
    </row>
    <row r="48" spans="1:7" ht="11.25" customHeight="1">
      <c r="A48" s="41" t="s">
        <v>16</v>
      </c>
      <c r="B48" t="s">
        <v>4413</v>
      </c>
      <c r="C48" t="s">
        <v>4414</v>
      </c>
      <c r="D48" t="s">
        <v>4413</v>
      </c>
      <c r="E48" t="s">
        <v>4414</v>
      </c>
      <c r="F48" t="s">
        <v>4348</v>
      </c>
      <c r="G48" t="s">
        <v>1812</v>
      </c>
    </row>
    <row r="49" spans="1:7" ht="11.25" customHeight="1">
      <c r="A49" s="41" t="s">
        <v>16</v>
      </c>
      <c r="B49" t="s">
        <v>99</v>
      </c>
      <c r="C49" t="s">
        <v>100</v>
      </c>
      <c r="D49" t="s">
        <v>99</v>
      </c>
      <c r="E49" t="s">
        <v>100</v>
      </c>
      <c r="F49" t="s">
        <v>4348</v>
      </c>
      <c r="G49" t="s">
        <v>98</v>
      </c>
    </row>
    <row r="50" spans="1:7" ht="11.25" customHeight="1">
      <c r="A50" s="41" t="s">
        <v>16</v>
      </c>
      <c r="B50" t="s">
        <v>4415</v>
      </c>
      <c r="C50" t="s">
        <v>4416</v>
      </c>
      <c r="D50" t="s">
        <v>4415</v>
      </c>
      <c r="E50" t="s">
        <v>4416</v>
      </c>
      <c r="F50" t="s">
        <v>4348</v>
      </c>
      <c r="G50" t="s">
        <v>1818</v>
      </c>
    </row>
    <row r="51" spans="1:7" ht="11.25" customHeight="1">
      <c r="A51" s="41" t="s">
        <v>16</v>
      </c>
      <c r="B51" t="s">
        <v>4417</v>
      </c>
      <c r="C51" t="s">
        <v>4418</v>
      </c>
      <c r="D51" t="s">
        <v>4417</v>
      </c>
      <c r="E51" t="s">
        <v>4418</v>
      </c>
      <c r="F51" t="s">
        <v>4348</v>
      </c>
      <c r="G51" t="s">
        <v>1823</v>
      </c>
    </row>
    <row r="52" spans="1:7" ht="11.25" customHeight="1">
      <c r="A52" s="41" t="s">
        <v>16</v>
      </c>
      <c r="B52" t="s">
        <v>4419</v>
      </c>
      <c r="C52" t="s">
        <v>4420</v>
      </c>
      <c r="D52" t="s">
        <v>4419</v>
      </c>
      <c r="E52" t="s">
        <v>4420</v>
      </c>
      <c r="F52" t="s">
        <v>4348</v>
      </c>
      <c r="G52" t="s">
        <v>1827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
  <sheetViews>
    <sheetView showGridLines="0" workbookViewId="0"/>
  </sheetViews>
  <sheetFormatPr defaultColWidth="9.140625" defaultRowHeight="11.25" customHeight="1"/>
  <cols>
    <col min="1" max="1" width="13.85546875" style="1029" customWidth="1"/>
    <col min="2" max="2" width="10.42578125" style="1029" customWidth="1"/>
    <col min="3" max="3" width="7.5703125" style="1029" customWidth="1"/>
    <col min="4" max="4" width="13.85546875" style="1029" customWidth="1"/>
    <col min="5" max="5" width="11.5703125" style="1029" customWidth="1"/>
    <col min="6" max="6" width="16.28515625" style="1029" customWidth="1"/>
    <col min="7" max="7" width="16" style="1029" customWidth="1"/>
    <col min="8" max="9" width="16.140625" style="1029" customWidth="1"/>
  </cols>
  <sheetData>
    <row r="1" spans="1:9" ht="11.25" customHeight="1">
      <c r="A1" s="719" t="s">
        <v>4421</v>
      </c>
      <c r="B1" s="719" t="s">
        <v>4422</v>
      </c>
      <c r="C1" s="719" t="s">
        <v>4423</v>
      </c>
      <c r="D1" s="719" t="s">
        <v>4424</v>
      </c>
      <c r="E1" s="719" t="s">
        <v>4425</v>
      </c>
      <c r="F1" s="719" t="s">
        <v>4426</v>
      </c>
      <c r="G1" s="719" t="s">
        <v>4427</v>
      </c>
      <c r="H1" s="719" t="s">
        <v>4428</v>
      </c>
      <c r="I1" s="719" t="s">
        <v>4429</v>
      </c>
    </row>
    <row r="2" spans="1:9" ht="11.25" customHeight="1">
      <c r="A2" t="s">
        <v>114</v>
      </c>
      <c r="B2" t="s">
        <v>1007</v>
      </c>
      <c r="C2" t="s">
        <v>4430</v>
      </c>
      <c r="D2" t="s">
        <v>1011</v>
      </c>
      <c r="E2" t="s">
        <v>1012</v>
      </c>
      <c r="F2" t="s">
        <v>4431</v>
      </c>
      <c r="G2" t="s">
        <v>1014</v>
      </c>
      <c r="H2" t="s">
        <v>1015</v>
      </c>
      <c r="I2" t="s">
        <v>1016</v>
      </c>
    </row>
    <row r="3" spans="1:9" ht="11.25" customHeight="1">
      <c r="A3" t="s">
        <v>102</v>
      </c>
      <c r="B3" t="s">
        <v>1007</v>
      </c>
      <c r="C3" t="s">
        <v>4430</v>
      </c>
      <c r="D3" t="s">
        <v>1011</v>
      </c>
      <c r="E3" t="s">
        <v>1012</v>
      </c>
      <c r="F3" t="s">
        <v>4431</v>
      </c>
      <c r="G3" t="s">
        <v>1014</v>
      </c>
      <c r="H3" t="s">
        <v>1015</v>
      </c>
      <c r="I3" t="s">
        <v>1016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K519"/>
  <sheetViews>
    <sheetView workbookViewId="0"/>
  </sheetViews>
  <sheetFormatPr defaultRowHeight="11.25" customHeight="1"/>
  <sheetData>
    <row r="1" spans="1:37" ht="11.25" customHeight="1">
      <c r="A1" t="s">
        <v>2379</v>
      </c>
      <c r="B1" t="s">
        <v>2380</v>
      </c>
      <c r="C1" t="s">
        <v>2381</v>
      </c>
      <c r="D1" t="s">
        <v>4432</v>
      </c>
      <c r="E1" t="s">
        <v>4433</v>
      </c>
      <c r="F1" t="s">
        <v>4434</v>
      </c>
      <c r="G1" t="s">
        <v>4435</v>
      </c>
      <c r="H1" t="s">
        <v>4436</v>
      </c>
      <c r="I1" t="s">
        <v>4437</v>
      </c>
      <c r="J1" t="s">
        <v>4438</v>
      </c>
      <c r="K1" t="s">
        <v>4439</v>
      </c>
      <c r="L1" t="s">
        <v>4440</v>
      </c>
      <c r="M1" t="s">
        <v>4441</v>
      </c>
      <c r="N1" t="s">
        <v>4442</v>
      </c>
      <c r="O1" t="s">
        <v>4315</v>
      </c>
      <c r="P1" t="s">
        <v>4317</v>
      </c>
      <c r="Q1" t="s">
        <v>4318</v>
      </c>
      <c r="R1" t="s">
        <v>4443</v>
      </c>
      <c r="S1" t="s">
        <v>4444</v>
      </c>
      <c r="T1" t="s">
        <v>4445</v>
      </c>
      <c r="U1" t="s">
        <v>4446</v>
      </c>
      <c r="V1" t="s">
        <v>4447</v>
      </c>
      <c r="W1" t="s">
        <v>4448</v>
      </c>
      <c r="X1" t="s">
        <v>4449</v>
      </c>
      <c r="Y1" t="s">
        <v>4450</v>
      </c>
      <c r="Z1" t="s">
        <v>4451</v>
      </c>
      <c r="AA1" t="s">
        <v>4452</v>
      </c>
      <c r="AB1" t="s">
        <v>4453</v>
      </c>
      <c r="AC1" t="s">
        <v>4454</v>
      </c>
      <c r="AD1" t="s">
        <v>4455</v>
      </c>
      <c r="AE1" t="s">
        <v>4456</v>
      </c>
      <c r="AF1" t="s">
        <v>4457</v>
      </c>
      <c r="AG1" t="s">
        <v>4458</v>
      </c>
      <c r="AH1" t="s">
        <v>4459</v>
      </c>
      <c r="AI1" t="s">
        <v>4460</v>
      </c>
      <c r="AJ1" t="s">
        <v>4461</v>
      </c>
      <c r="AK1" t="s">
        <v>4462</v>
      </c>
    </row>
    <row r="2" spans="1:37" ht="11.25" customHeight="1">
      <c r="A2" t="s">
        <v>22</v>
      </c>
      <c r="B2" t="s">
        <v>48</v>
      </c>
      <c r="C2" t="s">
        <v>50</v>
      </c>
      <c r="D2" t="s">
        <v>22</v>
      </c>
      <c r="E2" t="s">
        <v>4463</v>
      </c>
      <c r="F2" t="s">
        <v>1104</v>
      </c>
      <c r="G2" t="s">
        <v>106</v>
      </c>
      <c r="H2" t="s">
        <v>106</v>
      </c>
      <c r="I2" t="s">
        <v>107</v>
      </c>
      <c r="J2" t="s">
        <v>4464</v>
      </c>
      <c r="K2" t="s">
        <v>4465</v>
      </c>
      <c r="L2" t="s">
        <v>4466</v>
      </c>
      <c r="M2" t="s">
        <v>786</v>
      </c>
      <c r="N2" t="s">
        <v>114</v>
      </c>
      <c r="O2" t="s">
        <v>106</v>
      </c>
      <c r="P2" t="s">
        <v>106</v>
      </c>
      <c r="Q2" t="s">
        <v>107</v>
      </c>
      <c r="R2" t="s">
        <v>4464</v>
      </c>
      <c r="S2" t="s">
        <v>4465</v>
      </c>
      <c r="T2" t="s">
        <v>4467</v>
      </c>
      <c r="U2" t="s">
        <v>4468</v>
      </c>
      <c r="V2" t="s">
        <v>4469</v>
      </c>
      <c r="W2" t="s">
        <v>4470</v>
      </c>
      <c r="X2" t="s">
        <v>4471</v>
      </c>
      <c r="Y2" t="s">
        <v>4468</v>
      </c>
      <c r="Z2" t="s">
        <v>1015</v>
      </c>
      <c r="AA2" t="s">
        <v>4472</v>
      </c>
      <c r="AB2" t="s">
        <v>4469</v>
      </c>
      <c r="AC2" t="s">
        <v>61</v>
      </c>
      <c r="AD2" t="s">
        <v>19</v>
      </c>
      <c r="AE2" t="s">
        <v>19</v>
      </c>
      <c r="AF2" t="s">
        <v>1118</v>
      </c>
      <c r="AG2" t="s">
        <v>162</v>
      </c>
      <c r="AH2" t="s">
        <v>22</v>
      </c>
      <c r="AI2" t="s">
        <v>22</v>
      </c>
      <c r="AJ2" t="s">
        <v>22</v>
      </c>
      <c r="AK2" t="s">
        <v>22</v>
      </c>
    </row>
    <row r="3" spans="1:37" ht="11.25" customHeight="1">
      <c r="A3" t="s">
        <v>22</v>
      </c>
      <c r="B3" t="s">
        <v>48</v>
      </c>
      <c r="C3" t="s">
        <v>50</v>
      </c>
      <c r="D3" t="s">
        <v>22</v>
      </c>
      <c r="E3" t="s">
        <v>4473</v>
      </c>
      <c r="F3" t="s">
        <v>1104</v>
      </c>
      <c r="G3" t="s">
        <v>106</v>
      </c>
      <c r="H3" t="s">
        <v>106</v>
      </c>
      <c r="I3" t="s">
        <v>107</v>
      </c>
      <c r="J3" t="s">
        <v>4474</v>
      </c>
      <c r="K3" t="s">
        <v>4475</v>
      </c>
      <c r="L3" t="s">
        <v>4476</v>
      </c>
      <c r="M3" t="s">
        <v>786</v>
      </c>
      <c r="N3" t="s">
        <v>114</v>
      </c>
      <c r="O3" t="s">
        <v>106</v>
      </c>
      <c r="P3" t="s">
        <v>106</v>
      </c>
      <c r="Q3" t="s">
        <v>107</v>
      </c>
      <c r="R3" t="s">
        <v>4474</v>
      </c>
      <c r="S3" t="s">
        <v>4475</v>
      </c>
      <c r="T3" t="s">
        <v>4467</v>
      </c>
      <c r="U3" t="s">
        <v>4468</v>
      </c>
      <c r="V3" t="s">
        <v>4469</v>
      </c>
      <c r="W3" t="s">
        <v>4470</v>
      </c>
      <c r="X3" t="s">
        <v>4471</v>
      </c>
      <c r="Y3" t="s">
        <v>4468</v>
      </c>
      <c r="Z3" t="s">
        <v>1015</v>
      </c>
      <c r="AA3" t="s">
        <v>4472</v>
      </c>
      <c r="AB3" t="s">
        <v>4469</v>
      </c>
      <c r="AC3" t="s">
        <v>61</v>
      </c>
      <c r="AD3" t="s">
        <v>19</v>
      </c>
      <c r="AE3" t="s">
        <v>19</v>
      </c>
      <c r="AF3" t="s">
        <v>162</v>
      </c>
      <c r="AG3" t="s">
        <v>1200</v>
      </c>
      <c r="AH3" t="s">
        <v>22</v>
      </c>
      <c r="AI3" t="s">
        <v>22</v>
      </c>
      <c r="AJ3" t="s">
        <v>22</v>
      </c>
      <c r="AK3" t="s">
        <v>22</v>
      </c>
    </row>
    <row r="4" spans="1:37" ht="11.25" customHeight="1">
      <c r="A4" t="s">
        <v>22</v>
      </c>
      <c r="B4" t="s">
        <v>48</v>
      </c>
      <c r="C4" t="s">
        <v>50</v>
      </c>
      <c r="D4" t="s">
        <v>22</v>
      </c>
      <c r="E4" t="s">
        <v>4477</v>
      </c>
      <c r="F4" t="s">
        <v>1104</v>
      </c>
      <c r="G4" t="s">
        <v>106</v>
      </c>
      <c r="H4" t="s">
        <v>106</v>
      </c>
      <c r="I4" t="s">
        <v>107</v>
      </c>
      <c r="J4" t="s">
        <v>4478</v>
      </c>
      <c r="K4" t="s">
        <v>4479</v>
      </c>
      <c r="L4" t="s">
        <v>4480</v>
      </c>
      <c r="M4" t="s">
        <v>786</v>
      </c>
      <c r="N4" t="s">
        <v>114</v>
      </c>
      <c r="O4" t="s">
        <v>106</v>
      </c>
      <c r="P4" t="s">
        <v>106</v>
      </c>
      <c r="Q4" t="s">
        <v>107</v>
      </c>
      <c r="R4" t="s">
        <v>4478</v>
      </c>
      <c r="S4" t="s">
        <v>4479</v>
      </c>
      <c r="T4" t="s">
        <v>4467</v>
      </c>
      <c r="U4" t="s">
        <v>4468</v>
      </c>
      <c r="V4" t="s">
        <v>4469</v>
      </c>
      <c r="W4" t="s">
        <v>4470</v>
      </c>
      <c r="X4" t="s">
        <v>4471</v>
      </c>
      <c r="Y4" t="s">
        <v>4468</v>
      </c>
      <c r="Z4" t="s">
        <v>1015</v>
      </c>
      <c r="AA4" t="s">
        <v>4472</v>
      </c>
      <c r="AB4" t="s">
        <v>4469</v>
      </c>
      <c r="AC4" t="s">
        <v>61</v>
      </c>
      <c r="AD4" t="s">
        <v>19</v>
      </c>
      <c r="AE4" t="s">
        <v>19</v>
      </c>
      <c r="AF4" t="s">
        <v>4481</v>
      </c>
      <c r="AG4" t="s">
        <v>4482</v>
      </c>
      <c r="AH4" t="s">
        <v>22</v>
      </c>
      <c r="AI4" t="s">
        <v>22</v>
      </c>
      <c r="AJ4" t="s">
        <v>22</v>
      </c>
      <c r="AK4" t="s">
        <v>22</v>
      </c>
    </row>
    <row r="5" spans="1:37" ht="11.25" customHeight="1">
      <c r="A5" t="s">
        <v>22</v>
      </c>
      <c r="B5" t="s">
        <v>48</v>
      </c>
      <c r="C5" t="s">
        <v>50</v>
      </c>
      <c r="D5" t="s">
        <v>22</v>
      </c>
      <c r="E5" t="s">
        <v>4483</v>
      </c>
      <c r="F5" t="s">
        <v>1104</v>
      </c>
      <c r="G5" t="s">
        <v>106</v>
      </c>
      <c r="H5" t="s">
        <v>106</v>
      </c>
      <c r="I5" t="s">
        <v>107</v>
      </c>
      <c r="J5" t="s">
        <v>4484</v>
      </c>
      <c r="K5" t="s">
        <v>4485</v>
      </c>
      <c r="L5" t="s">
        <v>4486</v>
      </c>
      <c r="M5" t="s">
        <v>786</v>
      </c>
      <c r="N5" t="s">
        <v>114</v>
      </c>
      <c r="O5" t="s">
        <v>106</v>
      </c>
      <c r="P5" t="s">
        <v>106</v>
      </c>
      <c r="Q5" t="s">
        <v>107</v>
      </c>
      <c r="R5" t="s">
        <v>4484</v>
      </c>
      <c r="S5" t="s">
        <v>4485</v>
      </c>
      <c r="T5" t="s">
        <v>4467</v>
      </c>
      <c r="U5" t="s">
        <v>4468</v>
      </c>
      <c r="V5" t="s">
        <v>4469</v>
      </c>
      <c r="W5" t="s">
        <v>4487</v>
      </c>
      <c r="X5" t="s">
        <v>4471</v>
      </c>
      <c r="Y5" t="s">
        <v>4468</v>
      </c>
      <c r="Z5" t="s">
        <v>1015</v>
      </c>
      <c r="AA5" t="s">
        <v>4472</v>
      </c>
      <c r="AB5" t="s">
        <v>4469</v>
      </c>
      <c r="AC5" t="s">
        <v>61</v>
      </c>
      <c r="AD5" t="s">
        <v>19</v>
      </c>
      <c r="AE5" t="s">
        <v>19</v>
      </c>
      <c r="AF5" t="s">
        <v>162</v>
      </c>
      <c r="AG5" t="s">
        <v>387</v>
      </c>
      <c r="AH5" t="s">
        <v>22</v>
      </c>
      <c r="AI5" t="s">
        <v>22</v>
      </c>
      <c r="AJ5" t="s">
        <v>22</v>
      </c>
      <c r="AK5" t="s">
        <v>22</v>
      </c>
    </row>
    <row r="6" spans="1:37" ht="11.25" customHeight="1">
      <c r="A6" t="s">
        <v>22</v>
      </c>
      <c r="B6" t="s">
        <v>48</v>
      </c>
      <c r="C6" t="s">
        <v>50</v>
      </c>
      <c r="D6" t="s">
        <v>22</v>
      </c>
      <c r="E6" t="s">
        <v>4488</v>
      </c>
      <c r="F6" t="s">
        <v>1104</v>
      </c>
      <c r="G6" t="s">
        <v>106</v>
      </c>
      <c r="H6" t="s">
        <v>106</v>
      </c>
      <c r="I6" t="s">
        <v>107</v>
      </c>
      <c r="J6" t="s">
        <v>4464</v>
      </c>
      <c r="K6" t="s">
        <v>4465</v>
      </c>
      <c r="L6" t="s">
        <v>4466</v>
      </c>
      <c r="M6" t="s">
        <v>786</v>
      </c>
      <c r="N6" t="s">
        <v>114</v>
      </c>
      <c r="O6" t="s">
        <v>106</v>
      </c>
      <c r="P6" t="s">
        <v>106</v>
      </c>
      <c r="Q6" t="s">
        <v>107</v>
      </c>
      <c r="R6" t="s">
        <v>4464</v>
      </c>
      <c r="S6" t="s">
        <v>4465</v>
      </c>
      <c r="T6" t="s">
        <v>4467</v>
      </c>
      <c r="U6" t="s">
        <v>4468</v>
      </c>
      <c r="V6" t="s">
        <v>4469</v>
      </c>
      <c r="W6" t="s">
        <v>4470</v>
      </c>
      <c r="X6" t="s">
        <v>4471</v>
      </c>
      <c r="Y6" t="s">
        <v>4468</v>
      </c>
      <c r="Z6" t="s">
        <v>1015</v>
      </c>
      <c r="AA6" t="s">
        <v>4472</v>
      </c>
      <c r="AB6" t="s">
        <v>4469</v>
      </c>
      <c r="AC6" t="s">
        <v>61</v>
      </c>
      <c r="AD6" t="s">
        <v>19</v>
      </c>
      <c r="AE6" t="s">
        <v>19</v>
      </c>
      <c r="AF6" t="s">
        <v>162</v>
      </c>
      <c r="AG6" t="s">
        <v>162</v>
      </c>
      <c r="AH6" t="s">
        <v>22</v>
      </c>
      <c r="AI6" t="s">
        <v>22</v>
      </c>
      <c r="AJ6" t="s">
        <v>22</v>
      </c>
      <c r="AK6" t="s">
        <v>22</v>
      </c>
    </row>
    <row r="7" spans="1:37" ht="11.25" customHeight="1">
      <c r="A7" t="s">
        <v>22</v>
      </c>
      <c r="B7" t="s">
        <v>48</v>
      </c>
      <c r="C7" t="s">
        <v>50</v>
      </c>
      <c r="D7" t="s">
        <v>22</v>
      </c>
      <c r="E7" t="s">
        <v>4489</v>
      </c>
      <c r="F7" t="s">
        <v>1104</v>
      </c>
      <c r="G7" t="s">
        <v>106</v>
      </c>
      <c r="H7" t="s">
        <v>106</v>
      </c>
      <c r="I7" t="s">
        <v>107</v>
      </c>
      <c r="J7" t="s">
        <v>4464</v>
      </c>
      <c r="K7" t="s">
        <v>4465</v>
      </c>
      <c r="L7" t="s">
        <v>4466</v>
      </c>
      <c r="M7" t="s">
        <v>786</v>
      </c>
      <c r="N7" t="s">
        <v>114</v>
      </c>
      <c r="O7" t="s">
        <v>106</v>
      </c>
      <c r="P7" t="s">
        <v>106</v>
      </c>
      <c r="Q7" t="s">
        <v>107</v>
      </c>
      <c r="R7" t="s">
        <v>4464</v>
      </c>
      <c r="S7" t="s">
        <v>4465</v>
      </c>
      <c r="T7" t="s">
        <v>4467</v>
      </c>
      <c r="U7" t="s">
        <v>4468</v>
      </c>
      <c r="V7" t="s">
        <v>4469</v>
      </c>
      <c r="W7" t="s">
        <v>4470</v>
      </c>
      <c r="X7" t="s">
        <v>4471</v>
      </c>
      <c r="Y7" t="s">
        <v>4468</v>
      </c>
      <c r="Z7" t="s">
        <v>1015</v>
      </c>
      <c r="AA7" t="s">
        <v>4472</v>
      </c>
      <c r="AB7" t="s">
        <v>4469</v>
      </c>
      <c r="AC7" t="s">
        <v>61</v>
      </c>
      <c r="AD7" t="s">
        <v>19</v>
      </c>
      <c r="AE7" t="s">
        <v>19</v>
      </c>
      <c r="AF7" t="s">
        <v>1118</v>
      </c>
      <c r="AG7" t="s">
        <v>162</v>
      </c>
      <c r="AH7" t="s">
        <v>22</v>
      </c>
      <c r="AI7" t="s">
        <v>22</v>
      </c>
      <c r="AJ7" t="s">
        <v>22</v>
      </c>
      <c r="AK7" t="s">
        <v>22</v>
      </c>
    </row>
    <row r="8" spans="1:37" ht="11.25" customHeight="1">
      <c r="A8" t="s">
        <v>22</v>
      </c>
      <c r="B8" t="s">
        <v>48</v>
      </c>
      <c r="C8" t="s">
        <v>50</v>
      </c>
      <c r="D8" t="s">
        <v>22</v>
      </c>
      <c r="E8" t="s">
        <v>4490</v>
      </c>
      <c r="F8" t="s">
        <v>1104</v>
      </c>
      <c r="G8" t="s">
        <v>106</v>
      </c>
      <c r="H8" t="s">
        <v>106</v>
      </c>
      <c r="I8" t="s">
        <v>107</v>
      </c>
      <c r="J8" t="s">
        <v>4484</v>
      </c>
      <c r="K8" t="s">
        <v>4485</v>
      </c>
      <c r="L8" t="s">
        <v>4486</v>
      </c>
      <c r="M8" t="s">
        <v>1015</v>
      </c>
      <c r="N8" t="s">
        <v>114</v>
      </c>
      <c r="O8" t="s">
        <v>106</v>
      </c>
      <c r="P8" t="s">
        <v>106</v>
      </c>
      <c r="Q8" t="s">
        <v>107</v>
      </c>
      <c r="R8" t="s">
        <v>4484</v>
      </c>
      <c r="S8" t="s">
        <v>4485</v>
      </c>
      <c r="T8" t="s">
        <v>4467</v>
      </c>
      <c r="U8" t="s">
        <v>4468</v>
      </c>
      <c r="V8" t="s">
        <v>4469</v>
      </c>
      <c r="W8" t="s">
        <v>4487</v>
      </c>
      <c r="X8" t="s">
        <v>4471</v>
      </c>
      <c r="Y8" t="s">
        <v>4468</v>
      </c>
      <c r="Z8" t="s">
        <v>1015</v>
      </c>
      <c r="AA8" t="s">
        <v>4472</v>
      </c>
      <c r="AB8" t="s">
        <v>4469</v>
      </c>
      <c r="AC8" t="s">
        <v>61</v>
      </c>
      <c r="AD8" t="s">
        <v>19</v>
      </c>
      <c r="AE8" t="s">
        <v>19</v>
      </c>
      <c r="AF8" t="s">
        <v>162</v>
      </c>
      <c r="AG8" t="s">
        <v>387</v>
      </c>
      <c r="AH8" t="s">
        <v>22</v>
      </c>
      <c r="AI8" t="s">
        <v>22</v>
      </c>
      <c r="AJ8" t="s">
        <v>22</v>
      </c>
      <c r="AK8" t="s">
        <v>22</v>
      </c>
    </row>
    <row r="9" spans="1:37" ht="11.25" customHeight="1">
      <c r="A9" t="s">
        <v>22</v>
      </c>
      <c r="B9" t="s">
        <v>48</v>
      </c>
      <c r="C9" t="s">
        <v>50</v>
      </c>
      <c r="D9" t="s">
        <v>22</v>
      </c>
      <c r="E9" t="s">
        <v>4491</v>
      </c>
      <c r="F9" t="s">
        <v>1104</v>
      </c>
      <c r="G9" t="s">
        <v>106</v>
      </c>
      <c r="H9" t="s">
        <v>106</v>
      </c>
      <c r="I9" t="s">
        <v>107</v>
      </c>
      <c r="J9" t="s">
        <v>4492</v>
      </c>
      <c r="K9" t="s">
        <v>4493</v>
      </c>
      <c r="L9" t="s">
        <v>4494</v>
      </c>
      <c r="M9" t="s">
        <v>1015</v>
      </c>
      <c r="N9" t="s">
        <v>114</v>
      </c>
      <c r="O9" t="s">
        <v>106</v>
      </c>
      <c r="P9" t="s">
        <v>106</v>
      </c>
      <c r="Q9" t="s">
        <v>107</v>
      </c>
      <c r="R9" t="s">
        <v>4492</v>
      </c>
      <c r="S9" t="s">
        <v>4493</v>
      </c>
      <c r="T9" t="s">
        <v>4467</v>
      </c>
      <c r="U9" t="s">
        <v>4468</v>
      </c>
      <c r="V9" t="s">
        <v>4469</v>
      </c>
      <c r="W9" t="s">
        <v>4487</v>
      </c>
      <c r="X9" t="s">
        <v>4471</v>
      </c>
      <c r="Y9" t="s">
        <v>4468</v>
      </c>
      <c r="Z9" t="s">
        <v>1015</v>
      </c>
      <c r="AA9" t="s">
        <v>4472</v>
      </c>
      <c r="AB9" t="s">
        <v>4469</v>
      </c>
      <c r="AC9" t="s">
        <v>61</v>
      </c>
      <c r="AD9" t="s">
        <v>19</v>
      </c>
      <c r="AE9" t="s">
        <v>19</v>
      </c>
      <c r="AF9" t="s">
        <v>4495</v>
      </c>
      <c r="AG9" t="s">
        <v>387</v>
      </c>
      <c r="AH9" t="s">
        <v>22</v>
      </c>
      <c r="AI9" t="s">
        <v>22</v>
      </c>
      <c r="AJ9" t="s">
        <v>22</v>
      </c>
      <c r="AK9" t="s">
        <v>22</v>
      </c>
    </row>
    <row r="10" spans="1:37" ht="11.25" customHeight="1">
      <c r="A10" t="s">
        <v>22</v>
      </c>
      <c r="B10" t="s">
        <v>48</v>
      </c>
      <c r="C10" t="s">
        <v>50</v>
      </c>
      <c r="D10" t="s">
        <v>22</v>
      </c>
      <c r="E10" t="s">
        <v>4496</v>
      </c>
      <c r="F10" t="s">
        <v>1104</v>
      </c>
      <c r="G10" t="s">
        <v>106</v>
      </c>
      <c r="H10" t="s">
        <v>106</v>
      </c>
      <c r="I10" t="s">
        <v>107</v>
      </c>
      <c r="J10" t="s">
        <v>4497</v>
      </c>
      <c r="K10" t="s">
        <v>4498</v>
      </c>
      <c r="L10" t="s">
        <v>4499</v>
      </c>
      <c r="M10" t="s">
        <v>786</v>
      </c>
      <c r="N10" t="s">
        <v>114</v>
      </c>
      <c r="O10" t="s">
        <v>106</v>
      </c>
      <c r="P10" t="s">
        <v>106</v>
      </c>
      <c r="Q10" t="s">
        <v>107</v>
      </c>
      <c r="R10" t="s">
        <v>4497</v>
      </c>
      <c r="S10" t="s">
        <v>4498</v>
      </c>
      <c r="T10" t="s">
        <v>4467</v>
      </c>
      <c r="U10" t="s">
        <v>4468</v>
      </c>
      <c r="V10" t="s">
        <v>4469</v>
      </c>
      <c r="W10" t="s">
        <v>4470</v>
      </c>
      <c r="X10" t="s">
        <v>4471</v>
      </c>
      <c r="Y10" t="s">
        <v>4468</v>
      </c>
      <c r="Z10" t="s">
        <v>1015</v>
      </c>
      <c r="AA10" t="s">
        <v>4472</v>
      </c>
      <c r="AB10" t="s">
        <v>4469</v>
      </c>
      <c r="AC10" t="s">
        <v>61</v>
      </c>
      <c r="AD10" t="s">
        <v>19</v>
      </c>
      <c r="AE10" t="s">
        <v>19</v>
      </c>
      <c r="AF10" t="s">
        <v>162</v>
      </c>
      <c r="AG10" t="s">
        <v>1206</v>
      </c>
      <c r="AH10" t="s">
        <v>22</v>
      </c>
      <c r="AI10" t="s">
        <v>22</v>
      </c>
      <c r="AJ10" t="s">
        <v>22</v>
      </c>
      <c r="AK10" t="s">
        <v>22</v>
      </c>
    </row>
    <row r="11" spans="1:37" ht="11.25" customHeight="1">
      <c r="A11" t="s">
        <v>22</v>
      </c>
      <c r="B11" t="s">
        <v>48</v>
      </c>
      <c r="C11" t="s">
        <v>50</v>
      </c>
      <c r="D11" t="s">
        <v>22</v>
      </c>
      <c r="E11" t="s">
        <v>4500</v>
      </c>
      <c r="F11" t="s">
        <v>1104</v>
      </c>
      <c r="G11" t="s">
        <v>106</v>
      </c>
      <c r="H11" t="s">
        <v>106</v>
      </c>
      <c r="I11" t="s">
        <v>107</v>
      </c>
      <c r="J11" t="s">
        <v>4497</v>
      </c>
      <c r="K11" t="s">
        <v>4498</v>
      </c>
      <c r="L11" t="s">
        <v>4499</v>
      </c>
      <c r="M11" t="s">
        <v>786</v>
      </c>
      <c r="N11" t="s">
        <v>114</v>
      </c>
      <c r="O11" t="s">
        <v>106</v>
      </c>
      <c r="P11" t="s">
        <v>106</v>
      </c>
      <c r="Q11" t="s">
        <v>107</v>
      </c>
      <c r="R11" t="s">
        <v>4497</v>
      </c>
      <c r="S11" t="s">
        <v>4498</v>
      </c>
      <c r="T11" t="s">
        <v>4467</v>
      </c>
      <c r="U11" t="s">
        <v>4468</v>
      </c>
      <c r="V11" t="s">
        <v>4469</v>
      </c>
      <c r="W11" t="s">
        <v>4470</v>
      </c>
      <c r="X11" t="s">
        <v>4471</v>
      </c>
      <c r="Y11" t="s">
        <v>4468</v>
      </c>
      <c r="Z11" t="s">
        <v>1015</v>
      </c>
      <c r="AA11" t="s">
        <v>4472</v>
      </c>
      <c r="AB11" t="s">
        <v>4469</v>
      </c>
      <c r="AC11" t="s">
        <v>61</v>
      </c>
      <c r="AD11" t="s">
        <v>19</v>
      </c>
      <c r="AE11" t="s">
        <v>19</v>
      </c>
      <c r="AF11" t="s">
        <v>162</v>
      </c>
      <c r="AG11" t="s">
        <v>1206</v>
      </c>
      <c r="AH11" t="s">
        <v>22</v>
      </c>
      <c r="AI11" t="s">
        <v>22</v>
      </c>
      <c r="AJ11" t="s">
        <v>22</v>
      </c>
      <c r="AK11" t="s">
        <v>22</v>
      </c>
    </row>
    <row r="12" spans="1:37" ht="11.25" customHeight="1">
      <c r="A12" t="s">
        <v>22</v>
      </c>
      <c r="B12" t="s">
        <v>48</v>
      </c>
      <c r="C12" t="s">
        <v>50</v>
      </c>
      <c r="D12" t="s">
        <v>22</v>
      </c>
      <c r="E12" t="s">
        <v>4501</v>
      </c>
      <c r="F12" t="s">
        <v>1104</v>
      </c>
      <c r="G12" t="s">
        <v>106</v>
      </c>
      <c r="H12" t="s">
        <v>106</v>
      </c>
      <c r="I12" t="s">
        <v>107</v>
      </c>
      <c r="J12" t="s">
        <v>4502</v>
      </c>
      <c r="K12" t="s">
        <v>4503</v>
      </c>
      <c r="L12" t="s">
        <v>4504</v>
      </c>
      <c r="M12" t="s">
        <v>786</v>
      </c>
      <c r="N12" t="s">
        <v>114</v>
      </c>
      <c r="O12" t="s">
        <v>106</v>
      </c>
      <c r="P12" t="s">
        <v>106</v>
      </c>
      <c r="Q12" t="s">
        <v>107</v>
      </c>
      <c r="R12" t="s">
        <v>4502</v>
      </c>
      <c r="S12" t="s">
        <v>4503</v>
      </c>
      <c r="T12" t="s">
        <v>4467</v>
      </c>
      <c r="U12" t="s">
        <v>4468</v>
      </c>
      <c r="V12" t="s">
        <v>4469</v>
      </c>
      <c r="W12" t="s">
        <v>4470</v>
      </c>
      <c r="X12" t="s">
        <v>4471</v>
      </c>
      <c r="Y12" t="s">
        <v>4468</v>
      </c>
      <c r="Z12" t="s">
        <v>1015</v>
      </c>
      <c r="AA12" t="s">
        <v>4472</v>
      </c>
      <c r="AB12" t="s">
        <v>4469</v>
      </c>
      <c r="AC12" t="s">
        <v>61</v>
      </c>
      <c r="AD12" t="s">
        <v>19</v>
      </c>
      <c r="AE12" t="s">
        <v>19</v>
      </c>
      <c r="AF12" t="s">
        <v>4481</v>
      </c>
      <c r="AG12" t="s">
        <v>4482</v>
      </c>
      <c r="AH12" t="s">
        <v>22</v>
      </c>
      <c r="AI12" t="s">
        <v>22</v>
      </c>
      <c r="AJ12" t="s">
        <v>22</v>
      </c>
      <c r="AK12" t="s">
        <v>22</v>
      </c>
    </row>
    <row r="13" spans="1:37" ht="11.25" customHeight="1">
      <c r="A13" t="s">
        <v>22</v>
      </c>
      <c r="B13" t="s">
        <v>48</v>
      </c>
      <c r="C13" t="s">
        <v>50</v>
      </c>
      <c r="D13" t="s">
        <v>22</v>
      </c>
      <c r="E13" t="s">
        <v>4505</v>
      </c>
      <c r="F13" t="s">
        <v>1104</v>
      </c>
      <c r="G13" t="s">
        <v>106</v>
      </c>
      <c r="H13" t="s">
        <v>106</v>
      </c>
      <c r="I13" t="s">
        <v>107</v>
      </c>
      <c r="J13" t="s">
        <v>4484</v>
      </c>
      <c r="K13" t="s">
        <v>4485</v>
      </c>
      <c r="L13" t="s">
        <v>4486</v>
      </c>
      <c r="M13" t="s">
        <v>786</v>
      </c>
      <c r="N13" t="s">
        <v>114</v>
      </c>
      <c r="O13" t="s">
        <v>106</v>
      </c>
      <c r="P13" t="s">
        <v>106</v>
      </c>
      <c r="Q13" t="s">
        <v>107</v>
      </c>
      <c r="R13" t="s">
        <v>4484</v>
      </c>
      <c r="S13" t="s">
        <v>4485</v>
      </c>
      <c r="T13" t="s">
        <v>4467</v>
      </c>
      <c r="U13" t="s">
        <v>4468</v>
      </c>
      <c r="V13" t="s">
        <v>4469</v>
      </c>
      <c r="W13" t="s">
        <v>4470</v>
      </c>
      <c r="X13" t="s">
        <v>4471</v>
      </c>
      <c r="Y13" t="s">
        <v>4468</v>
      </c>
      <c r="Z13" t="s">
        <v>1015</v>
      </c>
      <c r="AA13" t="s">
        <v>4472</v>
      </c>
      <c r="AB13" t="s">
        <v>4469</v>
      </c>
      <c r="AC13" t="s">
        <v>61</v>
      </c>
      <c r="AD13" t="s">
        <v>19</v>
      </c>
      <c r="AE13" t="s">
        <v>19</v>
      </c>
      <c r="AF13" t="s">
        <v>162</v>
      </c>
      <c r="AG13" t="s">
        <v>4506</v>
      </c>
      <c r="AH13" t="s">
        <v>22</v>
      </c>
      <c r="AI13" t="s">
        <v>22</v>
      </c>
      <c r="AJ13" t="s">
        <v>22</v>
      </c>
      <c r="AK13" t="s">
        <v>22</v>
      </c>
    </row>
    <row r="14" spans="1:37" ht="11.25" customHeight="1">
      <c r="A14" t="s">
        <v>22</v>
      </c>
      <c r="B14" t="s">
        <v>48</v>
      </c>
      <c r="C14" t="s">
        <v>50</v>
      </c>
      <c r="D14" t="s">
        <v>22</v>
      </c>
      <c r="E14" t="s">
        <v>4507</v>
      </c>
      <c r="F14" t="s">
        <v>1104</v>
      </c>
      <c r="G14" t="s">
        <v>106</v>
      </c>
      <c r="H14" t="s">
        <v>106</v>
      </c>
      <c r="I14" t="s">
        <v>107</v>
      </c>
      <c r="J14" t="s">
        <v>4508</v>
      </c>
      <c r="K14" t="s">
        <v>4509</v>
      </c>
      <c r="L14" t="s">
        <v>4510</v>
      </c>
      <c r="M14" t="s">
        <v>786</v>
      </c>
      <c r="N14" t="s">
        <v>114</v>
      </c>
      <c r="O14" t="s">
        <v>106</v>
      </c>
      <c r="P14" t="s">
        <v>106</v>
      </c>
      <c r="Q14" t="s">
        <v>107</v>
      </c>
      <c r="R14" t="s">
        <v>4508</v>
      </c>
      <c r="S14" t="s">
        <v>4509</v>
      </c>
      <c r="T14" t="s">
        <v>4467</v>
      </c>
      <c r="U14" t="s">
        <v>4468</v>
      </c>
      <c r="V14" t="s">
        <v>4469</v>
      </c>
      <c r="W14" t="s">
        <v>4470</v>
      </c>
      <c r="X14" t="s">
        <v>4471</v>
      </c>
      <c r="Y14" t="s">
        <v>4468</v>
      </c>
      <c r="Z14" t="s">
        <v>1015</v>
      </c>
      <c r="AA14" t="s">
        <v>4472</v>
      </c>
      <c r="AB14" t="s">
        <v>4469</v>
      </c>
      <c r="AC14" t="s">
        <v>61</v>
      </c>
      <c r="AD14" t="s">
        <v>19</v>
      </c>
      <c r="AE14" t="s">
        <v>19</v>
      </c>
      <c r="AF14" t="s">
        <v>162</v>
      </c>
      <c r="AG14" t="s">
        <v>4511</v>
      </c>
      <c r="AH14" t="s">
        <v>22</v>
      </c>
      <c r="AI14" t="s">
        <v>22</v>
      </c>
      <c r="AJ14" t="s">
        <v>22</v>
      </c>
      <c r="AK14" t="s">
        <v>22</v>
      </c>
    </row>
    <row r="15" spans="1:37" ht="11.25" customHeight="1">
      <c r="A15" t="s">
        <v>22</v>
      </c>
      <c r="B15" t="s">
        <v>48</v>
      </c>
      <c r="C15" t="s">
        <v>50</v>
      </c>
      <c r="D15" t="s">
        <v>22</v>
      </c>
      <c r="E15" t="s">
        <v>4512</v>
      </c>
      <c r="F15" t="s">
        <v>1104</v>
      </c>
      <c r="G15" t="s">
        <v>106</v>
      </c>
      <c r="H15" t="s">
        <v>106</v>
      </c>
      <c r="I15" t="s">
        <v>107</v>
      </c>
      <c r="J15" t="s">
        <v>4508</v>
      </c>
      <c r="K15" t="s">
        <v>4509</v>
      </c>
      <c r="L15" t="s">
        <v>4510</v>
      </c>
      <c r="M15" t="s">
        <v>786</v>
      </c>
      <c r="N15" t="s">
        <v>114</v>
      </c>
      <c r="O15" t="s">
        <v>106</v>
      </c>
      <c r="P15" t="s">
        <v>106</v>
      </c>
      <c r="Q15" t="s">
        <v>107</v>
      </c>
      <c r="R15" t="s">
        <v>4508</v>
      </c>
      <c r="S15" t="s">
        <v>4509</v>
      </c>
      <c r="T15" t="s">
        <v>4467</v>
      </c>
      <c r="U15" t="s">
        <v>4468</v>
      </c>
      <c r="V15" t="s">
        <v>4469</v>
      </c>
      <c r="W15" t="s">
        <v>4470</v>
      </c>
      <c r="X15" t="s">
        <v>4471</v>
      </c>
      <c r="Y15" t="s">
        <v>4468</v>
      </c>
      <c r="Z15" t="s">
        <v>1015</v>
      </c>
      <c r="AA15" t="s">
        <v>4472</v>
      </c>
      <c r="AB15" t="s">
        <v>4469</v>
      </c>
      <c r="AC15" t="s">
        <v>61</v>
      </c>
      <c r="AD15" t="s">
        <v>19</v>
      </c>
      <c r="AE15" t="s">
        <v>19</v>
      </c>
      <c r="AF15" t="s">
        <v>162</v>
      </c>
      <c r="AG15" t="s">
        <v>4511</v>
      </c>
      <c r="AH15" t="s">
        <v>22</v>
      </c>
      <c r="AI15" t="s">
        <v>22</v>
      </c>
      <c r="AJ15" t="s">
        <v>22</v>
      </c>
      <c r="AK15" t="s">
        <v>22</v>
      </c>
    </row>
    <row r="16" spans="1:37" ht="11.25" customHeight="1">
      <c r="A16" t="s">
        <v>22</v>
      </c>
      <c r="B16" t="s">
        <v>48</v>
      </c>
      <c r="C16" t="s">
        <v>50</v>
      </c>
      <c r="D16" t="s">
        <v>22</v>
      </c>
      <c r="E16" t="s">
        <v>4513</v>
      </c>
      <c r="F16" t="s">
        <v>1104</v>
      </c>
      <c r="G16" t="s">
        <v>106</v>
      </c>
      <c r="H16" t="s">
        <v>106</v>
      </c>
      <c r="I16" t="s">
        <v>107</v>
      </c>
      <c r="J16" t="s">
        <v>4514</v>
      </c>
      <c r="K16" t="s">
        <v>4515</v>
      </c>
      <c r="L16" t="s">
        <v>4516</v>
      </c>
      <c r="M16" t="s">
        <v>786</v>
      </c>
      <c r="N16" t="s">
        <v>114</v>
      </c>
      <c r="O16" t="s">
        <v>106</v>
      </c>
      <c r="P16" t="s">
        <v>106</v>
      </c>
      <c r="Q16" t="s">
        <v>107</v>
      </c>
      <c r="R16" t="s">
        <v>4514</v>
      </c>
      <c r="S16" t="s">
        <v>4515</v>
      </c>
      <c r="T16" t="s">
        <v>4467</v>
      </c>
      <c r="U16" t="s">
        <v>4468</v>
      </c>
      <c r="V16" t="s">
        <v>4469</v>
      </c>
      <c r="W16" t="s">
        <v>4470</v>
      </c>
      <c r="X16" t="s">
        <v>4471</v>
      </c>
      <c r="Y16" t="s">
        <v>4468</v>
      </c>
      <c r="Z16" t="s">
        <v>1015</v>
      </c>
      <c r="AA16" t="s">
        <v>4472</v>
      </c>
      <c r="AB16" t="s">
        <v>4469</v>
      </c>
      <c r="AC16" t="s">
        <v>61</v>
      </c>
      <c r="AD16" t="s">
        <v>19</v>
      </c>
      <c r="AE16" t="s">
        <v>19</v>
      </c>
      <c r="AF16" t="s">
        <v>4481</v>
      </c>
      <c r="AG16" t="s">
        <v>4481</v>
      </c>
      <c r="AH16" t="s">
        <v>22</v>
      </c>
      <c r="AI16" t="s">
        <v>22</v>
      </c>
      <c r="AJ16" t="s">
        <v>22</v>
      </c>
      <c r="AK16" t="s">
        <v>22</v>
      </c>
    </row>
    <row r="17" spans="1:37" ht="11.25" customHeight="1">
      <c r="A17" t="s">
        <v>22</v>
      </c>
      <c r="B17" t="s">
        <v>48</v>
      </c>
      <c r="C17" t="s">
        <v>50</v>
      </c>
      <c r="D17" t="s">
        <v>22</v>
      </c>
      <c r="E17" t="s">
        <v>4517</v>
      </c>
      <c r="F17" t="s">
        <v>1104</v>
      </c>
      <c r="G17" t="s">
        <v>99</v>
      </c>
      <c r="H17" t="s">
        <v>99</v>
      </c>
      <c r="I17" t="s">
        <v>100</v>
      </c>
      <c r="J17" t="s">
        <v>1059</v>
      </c>
      <c r="K17" t="s">
        <v>1060</v>
      </c>
      <c r="L17" t="s">
        <v>4518</v>
      </c>
      <c r="M17" t="s">
        <v>4519</v>
      </c>
      <c r="N17" t="s">
        <v>114</v>
      </c>
      <c r="O17" t="s">
        <v>4520</v>
      </c>
      <c r="P17" t="s">
        <v>4520</v>
      </c>
      <c r="Q17" t="s">
        <v>100</v>
      </c>
      <c r="R17" t="s">
        <v>1059</v>
      </c>
      <c r="S17" t="s">
        <v>1060</v>
      </c>
      <c r="T17" t="s">
        <v>4467</v>
      </c>
      <c r="U17" t="s">
        <v>4468</v>
      </c>
      <c r="V17" t="s">
        <v>4521</v>
      </c>
      <c r="W17" t="s">
        <v>4470</v>
      </c>
      <c r="X17" t="s">
        <v>4471</v>
      </c>
      <c r="Y17" t="s">
        <v>4468</v>
      </c>
      <c r="Z17" t="s">
        <v>1015</v>
      </c>
      <c r="AA17" t="s">
        <v>4522</v>
      </c>
      <c r="AB17" t="s">
        <v>4521</v>
      </c>
      <c r="AC17" t="s">
        <v>61</v>
      </c>
      <c r="AD17" t="s">
        <v>19</v>
      </c>
      <c r="AE17" t="s">
        <v>19</v>
      </c>
      <c r="AF17" t="s">
        <v>4523</v>
      </c>
      <c r="AG17" t="s">
        <v>4524</v>
      </c>
      <c r="AH17" t="s">
        <v>22</v>
      </c>
      <c r="AI17" t="s">
        <v>22</v>
      </c>
      <c r="AJ17" t="s">
        <v>22</v>
      </c>
      <c r="AK17" t="s">
        <v>22</v>
      </c>
    </row>
    <row r="18" spans="1:37" ht="11.25" customHeight="1">
      <c r="A18" t="s">
        <v>22</v>
      </c>
      <c r="B18" t="s">
        <v>48</v>
      </c>
      <c r="C18" t="s">
        <v>50</v>
      </c>
      <c r="D18" t="s">
        <v>22</v>
      </c>
      <c r="E18" t="s">
        <v>4517</v>
      </c>
      <c r="F18" t="s">
        <v>1104</v>
      </c>
      <c r="G18" t="s">
        <v>99</v>
      </c>
      <c r="H18" t="s">
        <v>99</v>
      </c>
      <c r="I18" t="s">
        <v>100</v>
      </c>
      <c r="J18" t="s">
        <v>1059</v>
      </c>
      <c r="K18" t="s">
        <v>1060</v>
      </c>
      <c r="L18" t="s">
        <v>4525</v>
      </c>
      <c r="M18" t="s">
        <v>4526</v>
      </c>
      <c r="N18" t="s">
        <v>114</v>
      </c>
      <c r="O18" t="s">
        <v>4520</v>
      </c>
      <c r="P18" t="s">
        <v>4520</v>
      </c>
      <c r="Q18" t="s">
        <v>100</v>
      </c>
      <c r="R18" t="s">
        <v>1059</v>
      </c>
      <c r="S18" t="s">
        <v>1060</v>
      </c>
      <c r="T18" t="s">
        <v>4467</v>
      </c>
      <c r="U18" t="s">
        <v>4527</v>
      </c>
      <c r="V18" t="s">
        <v>4528</v>
      </c>
      <c r="W18" t="s">
        <v>4470</v>
      </c>
      <c r="X18" t="s">
        <v>4529</v>
      </c>
      <c r="Y18" t="s">
        <v>4527</v>
      </c>
      <c r="Z18" t="s">
        <v>4530</v>
      </c>
      <c r="AA18" t="s">
        <v>4531</v>
      </c>
      <c r="AB18" t="s">
        <v>4528</v>
      </c>
      <c r="AC18" t="s">
        <v>61</v>
      </c>
      <c r="AD18" t="s">
        <v>19</v>
      </c>
      <c r="AE18" t="s">
        <v>19</v>
      </c>
      <c r="AF18" t="s">
        <v>4532</v>
      </c>
      <c r="AG18" t="s">
        <v>1823</v>
      </c>
      <c r="AH18" t="s">
        <v>22</v>
      </c>
      <c r="AI18" t="s">
        <v>22</v>
      </c>
      <c r="AJ18" t="s">
        <v>22</v>
      </c>
      <c r="AK18" t="s">
        <v>22</v>
      </c>
    </row>
    <row r="19" spans="1:37" ht="11.25" customHeight="1">
      <c r="A19" t="s">
        <v>22</v>
      </c>
      <c r="B19" t="s">
        <v>48</v>
      </c>
      <c r="C19" t="s">
        <v>50</v>
      </c>
      <c r="D19" t="s">
        <v>22</v>
      </c>
      <c r="E19" t="s">
        <v>4517</v>
      </c>
      <c r="F19" t="s">
        <v>1104</v>
      </c>
      <c r="G19" t="s">
        <v>99</v>
      </c>
      <c r="H19" t="s">
        <v>99</v>
      </c>
      <c r="I19" t="s">
        <v>100</v>
      </c>
      <c r="J19" t="s">
        <v>1059</v>
      </c>
      <c r="K19" t="s">
        <v>1060</v>
      </c>
      <c r="L19" t="s">
        <v>4533</v>
      </c>
      <c r="M19" t="s">
        <v>4534</v>
      </c>
      <c r="N19" t="s">
        <v>114</v>
      </c>
      <c r="O19" t="s">
        <v>4520</v>
      </c>
      <c r="P19" t="s">
        <v>4520</v>
      </c>
      <c r="Q19" t="s">
        <v>100</v>
      </c>
      <c r="R19" t="s">
        <v>1059</v>
      </c>
      <c r="S19" t="s">
        <v>1060</v>
      </c>
      <c r="T19" t="s">
        <v>4467</v>
      </c>
      <c r="U19" t="s">
        <v>4468</v>
      </c>
      <c r="V19" t="s">
        <v>4521</v>
      </c>
      <c r="W19" t="s">
        <v>4470</v>
      </c>
      <c r="X19" t="s">
        <v>4471</v>
      </c>
      <c r="Y19" t="s">
        <v>4468</v>
      </c>
      <c r="Z19" t="s">
        <v>1015</v>
      </c>
      <c r="AA19" t="s">
        <v>4522</v>
      </c>
      <c r="AB19" t="s">
        <v>4521</v>
      </c>
      <c r="AC19" t="s">
        <v>61</v>
      </c>
      <c r="AD19" t="s">
        <v>19</v>
      </c>
      <c r="AE19" t="s">
        <v>19</v>
      </c>
      <c r="AF19" t="s">
        <v>4535</v>
      </c>
      <c r="AG19" t="s">
        <v>4536</v>
      </c>
      <c r="AH19" t="s">
        <v>22</v>
      </c>
      <c r="AI19" t="s">
        <v>22</v>
      </c>
      <c r="AJ19" t="s">
        <v>22</v>
      </c>
      <c r="AK19" t="s">
        <v>22</v>
      </c>
    </row>
    <row r="20" spans="1:37" ht="11.25" customHeight="1">
      <c r="A20" t="s">
        <v>22</v>
      </c>
      <c r="B20" t="s">
        <v>48</v>
      </c>
      <c r="C20" t="s">
        <v>50</v>
      </c>
      <c r="D20" t="s">
        <v>22</v>
      </c>
      <c r="E20" t="s">
        <v>4517</v>
      </c>
      <c r="F20" t="s">
        <v>1104</v>
      </c>
      <c r="G20" t="s">
        <v>99</v>
      </c>
      <c r="H20" t="s">
        <v>99</v>
      </c>
      <c r="I20" t="s">
        <v>100</v>
      </c>
      <c r="J20" t="s">
        <v>1059</v>
      </c>
      <c r="K20" t="s">
        <v>1060</v>
      </c>
      <c r="L20" t="s">
        <v>4537</v>
      </c>
      <c r="M20" t="s">
        <v>4538</v>
      </c>
      <c r="N20" t="s">
        <v>114</v>
      </c>
      <c r="O20" t="s">
        <v>4520</v>
      </c>
      <c r="P20" t="s">
        <v>4520</v>
      </c>
      <c r="Q20" t="s">
        <v>100</v>
      </c>
      <c r="R20" t="s">
        <v>1059</v>
      </c>
      <c r="S20" t="s">
        <v>1060</v>
      </c>
      <c r="T20" t="s">
        <v>4467</v>
      </c>
      <c r="U20" t="s">
        <v>4468</v>
      </c>
      <c r="V20" t="s">
        <v>4521</v>
      </c>
      <c r="W20" t="s">
        <v>4470</v>
      </c>
      <c r="X20" t="s">
        <v>4471</v>
      </c>
      <c r="Y20" t="s">
        <v>4468</v>
      </c>
      <c r="Z20" t="s">
        <v>1015</v>
      </c>
      <c r="AA20" t="s">
        <v>4522</v>
      </c>
      <c r="AB20" t="s">
        <v>4521</v>
      </c>
      <c r="AC20" t="s">
        <v>61</v>
      </c>
      <c r="AD20" t="s">
        <v>19</v>
      </c>
      <c r="AE20" t="s">
        <v>19</v>
      </c>
      <c r="AF20" t="s">
        <v>4523</v>
      </c>
      <c r="AG20" t="s">
        <v>4539</v>
      </c>
      <c r="AH20" t="s">
        <v>22</v>
      </c>
      <c r="AI20" t="s">
        <v>22</v>
      </c>
      <c r="AJ20" t="s">
        <v>22</v>
      </c>
      <c r="AK20" t="s">
        <v>22</v>
      </c>
    </row>
    <row r="21" spans="1:37" ht="11.25" customHeight="1">
      <c r="A21" t="s">
        <v>22</v>
      </c>
      <c r="B21" t="s">
        <v>48</v>
      </c>
      <c r="C21" t="s">
        <v>50</v>
      </c>
      <c r="D21" t="s">
        <v>22</v>
      </c>
      <c r="E21" t="s">
        <v>4517</v>
      </c>
      <c r="F21" t="s">
        <v>1104</v>
      </c>
      <c r="G21" t="s">
        <v>99</v>
      </c>
      <c r="H21" t="s">
        <v>99</v>
      </c>
      <c r="I21" t="s">
        <v>100</v>
      </c>
      <c r="J21" t="s">
        <v>1059</v>
      </c>
      <c r="K21" t="s">
        <v>1060</v>
      </c>
      <c r="L21" t="s">
        <v>4540</v>
      </c>
      <c r="M21" t="s">
        <v>4541</v>
      </c>
      <c r="N21" t="s">
        <v>114</v>
      </c>
      <c r="O21" t="s">
        <v>4520</v>
      </c>
      <c r="P21" t="s">
        <v>4520</v>
      </c>
      <c r="Q21" t="s">
        <v>100</v>
      </c>
      <c r="R21" t="s">
        <v>1059</v>
      </c>
      <c r="S21" t="s">
        <v>1060</v>
      </c>
      <c r="T21" t="s">
        <v>4467</v>
      </c>
      <c r="U21" t="s">
        <v>4468</v>
      </c>
      <c r="V21" t="s">
        <v>4521</v>
      </c>
      <c r="W21" t="s">
        <v>4470</v>
      </c>
      <c r="X21" t="s">
        <v>4471</v>
      </c>
      <c r="Y21" t="s">
        <v>4468</v>
      </c>
      <c r="Z21" t="s">
        <v>1015</v>
      </c>
      <c r="AA21" t="s">
        <v>4522</v>
      </c>
      <c r="AB21" t="s">
        <v>4521</v>
      </c>
      <c r="AC21" t="s">
        <v>61</v>
      </c>
      <c r="AD21" t="s">
        <v>19</v>
      </c>
      <c r="AE21" t="s">
        <v>19</v>
      </c>
      <c r="AF21" t="s">
        <v>4542</v>
      </c>
      <c r="AG21" t="s">
        <v>4543</v>
      </c>
      <c r="AH21" t="s">
        <v>22</v>
      </c>
      <c r="AI21" t="s">
        <v>22</v>
      </c>
      <c r="AJ21" t="s">
        <v>22</v>
      </c>
      <c r="AK21" t="s">
        <v>22</v>
      </c>
    </row>
    <row r="22" spans="1:37" ht="11.25" customHeight="1">
      <c r="A22" t="s">
        <v>22</v>
      </c>
      <c r="B22" t="s">
        <v>48</v>
      </c>
      <c r="C22" t="s">
        <v>50</v>
      </c>
      <c r="D22" t="s">
        <v>22</v>
      </c>
      <c r="E22" t="s">
        <v>4517</v>
      </c>
      <c r="F22" t="s">
        <v>1104</v>
      </c>
      <c r="G22" t="s">
        <v>99</v>
      </c>
      <c r="H22" t="s">
        <v>99</v>
      </c>
      <c r="I22" t="s">
        <v>100</v>
      </c>
      <c r="J22" t="s">
        <v>1059</v>
      </c>
      <c r="K22" t="s">
        <v>1060</v>
      </c>
      <c r="L22" t="s">
        <v>4544</v>
      </c>
      <c r="M22" t="s">
        <v>4545</v>
      </c>
      <c r="N22" t="s">
        <v>114</v>
      </c>
      <c r="O22" t="s">
        <v>4520</v>
      </c>
      <c r="P22" t="s">
        <v>4520</v>
      </c>
      <c r="Q22" t="s">
        <v>100</v>
      </c>
      <c r="R22" t="s">
        <v>1059</v>
      </c>
      <c r="S22" t="s">
        <v>1060</v>
      </c>
      <c r="T22" t="s">
        <v>4467</v>
      </c>
      <c r="U22" t="s">
        <v>4468</v>
      </c>
      <c r="V22" t="s">
        <v>4521</v>
      </c>
      <c r="W22" t="s">
        <v>4470</v>
      </c>
      <c r="X22" t="s">
        <v>4471</v>
      </c>
      <c r="Y22" t="s">
        <v>4468</v>
      </c>
      <c r="Z22" t="s">
        <v>1015</v>
      </c>
      <c r="AA22" t="s">
        <v>4522</v>
      </c>
      <c r="AB22" t="s">
        <v>4521</v>
      </c>
      <c r="AC22" t="s">
        <v>61</v>
      </c>
      <c r="AD22" t="s">
        <v>19</v>
      </c>
      <c r="AE22" t="s">
        <v>19</v>
      </c>
      <c r="AF22" t="s">
        <v>4546</v>
      </c>
      <c r="AG22" t="s">
        <v>4547</v>
      </c>
      <c r="AH22" t="s">
        <v>22</v>
      </c>
      <c r="AI22" t="s">
        <v>22</v>
      </c>
      <c r="AJ22" t="s">
        <v>22</v>
      </c>
      <c r="AK22" t="s">
        <v>22</v>
      </c>
    </row>
    <row r="23" spans="1:37" ht="11.25" customHeight="1">
      <c r="A23" t="s">
        <v>22</v>
      </c>
      <c r="B23" t="s">
        <v>48</v>
      </c>
      <c r="C23" t="s">
        <v>50</v>
      </c>
      <c r="D23" t="s">
        <v>22</v>
      </c>
      <c r="E23" t="s">
        <v>4517</v>
      </c>
      <c r="F23" t="s">
        <v>1104</v>
      </c>
      <c r="G23" t="s">
        <v>99</v>
      </c>
      <c r="H23" t="s">
        <v>99</v>
      </c>
      <c r="I23" t="s">
        <v>100</v>
      </c>
      <c r="J23" t="s">
        <v>1059</v>
      </c>
      <c r="K23" t="s">
        <v>1060</v>
      </c>
      <c r="L23" t="s">
        <v>4548</v>
      </c>
      <c r="M23" t="s">
        <v>4549</v>
      </c>
      <c r="N23" t="s">
        <v>114</v>
      </c>
      <c r="O23" t="s">
        <v>4520</v>
      </c>
      <c r="P23" t="s">
        <v>4520</v>
      </c>
      <c r="Q23" t="s">
        <v>100</v>
      </c>
      <c r="R23" t="s">
        <v>1059</v>
      </c>
      <c r="S23" t="s">
        <v>1060</v>
      </c>
      <c r="T23" t="s">
        <v>4467</v>
      </c>
      <c r="U23" t="s">
        <v>4468</v>
      </c>
      <c r="V23" t="s">
        <v>4521</v>
      </c>
      <c r="W23" t="s">
        <v>4470</v>
      </c>
      <c r="X23" t="s">
        <v>4471</v>
      </c>
      <c r="Y23" t="s">
        <v>4468</v>
      </c>
      <c r="Z23" t="s">
        <v>1015</v>
      </c>
      <c r="AA23" t="s">
        <v>4522</v>
      </c>
      <c r="AB23" t="s">
        <v>4521</v>
      </c>
      <c r="AC23" t="s">
        <v>61</v>
      </c>
      <c r="AD23" t="s">
        <v>19</v>
      </c>
      <c r="AE23" t="s">
        <v>19</v>
      </c>
      <c r="AF23" t="s">
        <v>4550</v>
      </c>
      <c r="AG23" t="s">
        <v>4551</v>
      </c>
      <c r="AH23" t="s">
        <v>22</v>
      </c>
      <c r="AI23" t="s">
        <v>22</v>
      </c>
      <c r="AJ23" t="s">
        <v>22</v>
      </c>
      <c r="AK23" t="s">
        <v>22</v>
      </c>
    </row>
    <row r="24" spans="1:37" ht="11.25" customHeight="1">
      <c r="A24" t="s">
        <v>22</v>
      </c>
      <c r="B24" t="s">
        <v>48</v>
      </c>
      <c r="C24" t="s">
        <v>50</v>
      </c>
      <c r="D24" t="s">
        <v>22</v>
      </c>
      <c r="E24" t="s">
        <v>4517</v>
      </c>
      <c r="F24" t="s">
        <v>1104</v>
      </c>
      <c r="G24" t="s">
        <v>99</v>
      </c>
      <c r="H24" t="s">
        <v>99</v>
      </c>
      <c r="I24" t="s">
        <v>100</v>
      </c>
      <c r="J24" t="s">
        <v>1059</v>
      </c>
      <c r="K24" t="s">
        <v>1060</v>
      </c>
      <c r="L24" t="s">
        <v>4552</v>
      </c>
      <c r="M24" t="s">
        <v>4553</v>
      </c>
      <c r="N24" t="s">
        <v>114</v>
      </c>
      <c r="O24" t="s">
        <v>4520</v>
      </c>
      <c r="P24" t="s">
        <v>4520</v>
      </c>
      <c r="Q24" t="s">
        <v>100</v>
      </c>
      <c r="R24" t="s">
        <v>1059</v>
      </c>
      <c r="S24" t="s">
        <v>1060</v>
      </c>
      <c r="T24" t="s">
        <v>4467</v>
      </c>
      <c r="U24" t="s">
        <v>4527</v>
      </c>
      <c r="V24" t="s">
        <v>4528</v>
      </c>
      <c r="W24" t="s">
        <v>4470</v>
      </c>
      <c r="X24" t="s">
        <v>4529</v>
      </c>
      <c r="Y24" t="s">
        <v>4527</v>
      </c>
      <c r="Z24" t="s">
        <v>4530</v>
      </c>
      <c r="AA24" t="s">
        <v>4531</v>
      </c>
      <c r="AB24" t="s">
        <v>4528</v>
      </c>
      <c r="AC24" t="s">
        <v>61</v>
      </c>
      <c r="AD24" t="s">
        <v>19</v>
      </c>
      <c r="AE24" t="s">
        <v>19</v>
      </c>
      <c r="AF24" t="s">
        <v>4554</v>
      </c>
      <c r="AG24" t="s">
        <v>4555</v>
      </c>
      <c r="AH24" t="s">
        <v>22</v>
      </c>
      <c r="AI24" t="s">
        <v>22</v>
      </c>
      <c r="AJ24" t="s">
        <v>22</v>
      </c>
      <c r="AK24" t="s">
        <v>22</v>
      </c>
    </row>
    <row r="25" spans="1:37" ht="11.25" customHeight="1">
      <c r="A25" t="s">
        <v>22</v>
      </c>
      <c r="B25" t="s">
        <v>48</v>
      </c>
      <c r="C25" t="s">
        <v>50</v>
      </c>
      <c r="D25" t="s">
        <v>22</v>
      </c>
      <c r="E25" t="s">
        <v>4517</v>
      </c>
      <c r="F25" t="s">
        <v>1104</v>
      </c>
      <c r="G25" t="s">
        <v>99</v>
      </c>
      <c r="H25" t="s">
        <v>99</v>
      </c>
      <c r="I25" t="s">
        <v>100</v>
      </c>
      <c r="J25" t="s">
        <v>1059</v>
      </c>
      <c r="K25" t="s">
        <v>1060</v>
      </c>
      <c r="L25" t="s">
        <v>4556</v>
      </c>
      <c r="M25" t="s">
        <v>4557</v>
      </c>
      <c r="N25" t="s">
        <v>114</v>
      </c>
      <c r="O25" t="s">
        <v>4520</v>
      </c>
      <c r="P25" t="s">
        <v>4520</v>
      </c>
      <c r="Q25" t="s">
        <v>100</v>
      </c>
      <c r="R25" t="s">
        <v>1059</v>
      </c>
      <c r="S25" t="s">
        <v>1060</v>
      </c>
      <c r="T25" t="s">
        <v>4467</v>
      </c>
      <c r="U25" t="s">
        <v>4468</v>
      </c>
      <c r="V25" t="s">
        <v>4521</v>
      </c>
      <c r="W25" t="s">
        <v>4470</v>
      </c>
      <c r="X25" t="s">
        <v>4471</v>
      </c>
      <c r="Y25" t="s">
        <v>4468</v>
      </c>
      <c r="Z25" t="s">
        <v>1015</v>
      </c>
      <c r="AA25" t="s">
        <v>4522</v>
      </c>
      <c r="AB25" t="s">
        <v>4521</v>
      </c>
      <c r="AC25" t="s">
        <v>61</v>
      </c>
      <c r="AD25" t="s">
        <v>19</v>
      </c>
      <c r="AE25" t="s">
        <v>19</v>
      </c>
      <c r="AF25" t="s">
        <v>1166</v>
      </c>
      <c r="AG25" t="s">
        <v>387</v>
      </c>
      <c r="AH25" t="s">
        <v>22</v>
      </c>
      <c r="AI25" t="s">
        <v>22</v>
      </c>
      <c r="AJ25" t="s">
        <v>22</v>
      </c>
      <c r="AK25" t="s">
        <v>22</v>
      </c>
    </row>
    <row r="26" spans="1:37" ht="11.25" customHeight="1">
      <c r="A26" t="s">
        <v>22</v>
      </c>
      <c r="B26" t="s">
        <v>48</v>
      </c>
      <c r="C26" t="s">
        <v>50</v>
      </c>
      <c r="D26" t="s">
        <v>22</v>
      </c>
      <c r="E26" t="s">
        <v>4517</v>
      </c>
      <c r="F26" t="s">
        <v>1104</v>
      </c>
      <c r="G26" t="s">
        <v>99</v>
      </c>
      <c r="H26" t="s">
        <v>99</v>
      </c>
      <c r="I26" t="s">
        <v>100</v>
      </c>
      <c r="J26" t="s">
        <v>1059</v>
      </c>
      <c r="K26" t="s">
        <v>1060</v>
      </c>
      <c r="L26" t="s">
        <v>4558</v>
      </c>
      <c r="M26" t="s">
        <v>4559</v>
      </c>
      <c r="N26" t="s">
        <v>114</v>
      </c>
      <c r="O26" t="s">
        <v>4520</v>
      </c>
      <c r="P26" t="s">
        <v>4520</v>
      </c>
      <c r="Q26" t="s">
        <v>100</v>
      </c>
      <c r="R26" t="s">
        <v>1059</v>
      </c>
      <c r="S26" t="s">
        <v>1060</v>
      </c>
      <c r="T26" t="s">
        <v>4467</v>
      </c>
      <c r="U26" t="s">
        <v>4468</v>
      </c>
      <c r="V26" t="s">
        <v>4521</v>
      </c>
      <c r="W26" t="s">
        <v>4470</v>
      </c>
      <c r="X26" t="s">
        <v>4471</v>
      </c>
      <c r="Y26" t="s">
        <v>4468</v>
      </c>
      <c r="Z26" t="s">
        <v>1015</v>
      </c>
      <c r="AA26" t="s">
        <v>4522</v>
      </c>
      <c r="AB26" t="s">
        <v>4521</v>
      </c>
      <c r="AC26" t="s">
        <v>61</v>
      </c>
      <c r="AD26" t="s">
        <v>19</v>
      </c>
      <c r="AE26" t="s">
        <v>19</v>
      </c>
      <c r="AF26" t="s">
        <v>4560</v>
      </c>
      <c r="AG26" t="s">
        <v>4561</v>
      </c>
      <c r="AH26" t="s">
        <v>22</v>
      </c>
      <c r="AI26" t="s">
        <v>22</v>
      </c>
      <c r="AJ26" t="s">
        <v>22</v>
      </c>
      <c r="AK26" t="s">
        <v>22</v>
      </c>
    </row>
    <row r="27" spans="1:37" ht="11.25" customHeight="1">
      <c r="A27" t="s">
        <v>22</v>
      </c>
      <c r="B27" t="s">
        <v>48</v>
      </c>
      <c r="C27" t="s">
        <v>50</v>
      </c>
      <c r="D27" t="s">
        <v>22</v>
      </c>
      <c r="E27" t="s">
        <v>4517</v>
      </c>
      <c r="F27" t="s">
        <v>1104</v>
      </c>
      <c r="G27" t="s">
        <v>99</v>
      </c>
      <c r="H27" t="s">
        <v>99</v>
      </c>
      <c r="I27" t="s">
        <v>100</v>
      </c>
      <c r="J27" t="s">
        <v>1059</v>
      </c>
      <c r="K27" t="s">
        <v>1060</v>
      </c>
      <c r="L27" t="s">
        <v>4562</v>
      </c>
      <c r="M27" t="s">
        <v>4563</v>
      </c>
      <c r="N27" t="s">
        <v>114</v>
      </c>
      <c r="O27" t="s">
        <v>4520</v>
      </c>
      <c r="P27" t="s">
        <v>4520</v>
      </c>
      <c r="Q27" t="s">
        <v>100</v>
      </c>
      <c r="R27" t="s">
        <v>1059</v>
      </c>
      <c r="S27" t="s">
        <v>1060</v>
      </c>
      <c r="T27" t="s">
        <v>4467</v>
      </c>
      <c r="U27" t="s">
        <v>4468</v>
      </c>
      <c r="V27" t="s">
        <v>4521</v>
      </c>
      <c r="W27" t="s">
        <v>4470</v>
      </c>
      <c r="X27" t="s">
        <v>4471</v>
      </c>
      <c r="Y27" t="s">
        <v>4468</v>
      </c>
      <c r="Z27" t="s">
        <v>1015</v>
      </c>
      <c r="AA27" t="s">
        <v>4522</v>
      </c>
      <c r="AB27" t="s">
        <v>4521</v>
      </c>
      <c r="AC27" t="s">
        <v>61</v>
      </c>
      <c r="AD27" t="s">
        <v>19</v>
      </c>
      <c r="AE27" t="s">
        <v>19</v>
      </c>
      <c r="AF27" t="s">
        <v>4550</v>
      </c>
      <c r="AG27" t="s">
        <v>4564</v>
      </c>
      <c r="AH27" t="s">
        <v>22</v>
      </c>
      <c r="AI27" t="s">
        <v>22</v>
      </c>
      <c r="AJ27" t="s">
        <v>22</v>
      </c>
      <c r="AK27" t="s">
        <v>22</v>
      </c>
    </row>
    <row r="28" spans="1:37" ht="11.25" customHeight="1">
      <c r="A28" t="s">
        <v>22</v>
      </c>
      <c r="B28" t="s">
        <v>48</v>
      </c>
      <c r="C28" t="s">
        <v>50</v>
      </c>
      <c r="D28" t="s">
        <v>22</v>
      </c>
      <c r="E28" t="s">
        <v>4517</v>
      </c>
      <c r="F28" t="s">
        <v>1104</v>
      </c>
      <c r="G28" t="s">
        <v>99</v>
      </c>
      <c r="H28" t="s">
        <v>99</v>
      </c>
      <c r="I28" t="s">
        <v>100</v>
      </c>
      <c r="J28" t="s">
        <v>1059</v>
      </c>
      <c r="K28" t="s">
        <v>1060</v>
      </c>
      <c r="L28" t="s">
        <v>4565</v>
      </c>
      <c r="M28" t="s">
        <v>4566</v>
      </c>
      <c r="N28" t="s">
        <v>114</v>
      </c>
      <c r="O28" t="s">
        <v>4520</v>
      </c>
      <c r="P28" t="s">
        <v>4520</v>
      </c>
      <c r="Q28" t="s">
        <v>100</v>
      </c>
      <c r="R28" t="s">
        <v>1059</v>
      </c>
      <c r="S28" t="s">
        <v>1060</v>
      </c>
      <c r="T28" t="s">
        <v>4467</v>
      </c>
      <c r="U28" t="s">
        <v>4468</v>
      </c>
      <c r="V28" t="s">
        <v>4521</v>
      </c>
      <c r="W28" t="s">
        <v>4470</v>
      </c>
      <c r="X28" t="s">
        <v>4471</v>
      </c>
      <c r="Y28" t="s">
        <v>4468</v>
      </c>
      <c r="Z28" t="s">
        <v>1015</v>
      </c>
      <c r="AA28" t="s">
        <v>4522</v>
      </c>
      <c r="AB28" t="s">
        <v>4521</v>
      </c>
      <c r="AC28" t="s">
        <v>61</v>
      </c>
      <c r="AD28" t="s">
        <v>19</v>
      </c>
      <c r="AE28" t="s">
        <v>19</v>
      </c>
      <c r="AF28" t="s">
        <v>4567</v>
      </c>
      <c r="AG28" t="s">
        <v>4568</v>
      </c>
      <c r="AH28" t="s">
        <v>22</v>
      </c>
      <c r="AI28" t="s">
        <v>22</v>
      </c>
      <c r="AJ28" t="s">
        <v>22</v>
      </c>
      <c r="AK28" t="s">
        <v>22</v>
      </c>
    </row>
    <row r="29" spans="1:37" ht="11.25" customHeight="1">
      <c r="A29" t="s">
        <v>22</v>
      </c>
      <c r="B29" t="s">
        <v>48</v>
      </c>
      <c r="C29" t="s">
        <v>50</v>
      </c>
      <c r="D29" t="s">
        <v>22</v>
      </c>
      <c r="E29" t="s">
        <v>4517</v>
      </c>
      <c r="F29" t="s">
        <v>1104</v>
      </c>
      <c r="G29" t="s">
        <v>99</v>
      </c>
      <c r="H29" t="s">
        <v>99</v>
      </c>
      <c r="I29" t="s">
        <v>100</v>
      </c>
      <c r="J29" t="s">
        <v>1059</v>
      </c>
      <c r="K29" t="s">
        <v>1060</v>
      </c>
      <c r="L29" t="s">
        <v>4569</v>
      </c>
      <c r="M29" t="s">
        <v>4570</v>
      </c>
      <c r="N29" t="s">
        <v>114</v>
      </c>
      <c r="O29" t="s">
        <v>4520</v>
      </c>
      <c r="P29" t="s">
        <v>4520</v>
      </c>
      <c r="Q29" t="s">
        <v>100</v>
      </c>
      <c r="R29" t="s">
        <v>1059</v>
      </c>
      <c r="S29" t="s">
        <v>1060</v>
      </c>
      <c r="T29" t="s">
        <v>4467</v>
      </c>
      <c r="U29" t="s">
        <v>4468</v>
      </c>
      <c r="V29" t="s">
        <v>4521</v>
      </c>
      <c r="W29" t="s">
        <v>4470</v>
      </c>
      <c r="X29" t="s">
        <v>4471</v>
      </c>
      <c r="Y29" t="s">
        <v>4468</v>
      </c>
      <c r="Z29" t="s">
        <v>1015</v>
      </c>
      <c r="AA29" t="s">
        <v>4522</v>
      </c>
      <c r="AB29" t="s">
        <v>4521</v>
      </c>
      <c r="AC29" t="s">
        <v>61</v>
      </c>
      <c r="AD29" t="s">
        <v>19</v>
      </c>
      <c r="AE29" t="s">
        <v>19</v>
      </c>
      <c r="AF29" t="s">
        <v>1823</v>
      </c>
      <c r="AG29" t="s">
        <v>4571</v>
      </c>
      <c r="AH29" t="s">
        <v>22</v>
      </c>
      <c r="AI29" t="s">
        <v>22</v>
      </c>
      <c r="AJ29" t="s">
        <v>22</v>
      </c>
      <c r="AK29" t="s">
        <v>22</v>
      </c>
    </row>
    <row r="30" spans="1:37" ht="11.25" customHeight="1">
      <c r="A30" t="s">
        <v>22</v>
      </c>
      <c r="B30" t="s">
        <v>48</v>
      </c>
      <c r="C30" t="s">
        <v>50</v>
      </c>
      <c r="D30" t="s">
        <v>22</v>
      </c>
      <c r="E30" t="s">
        <v>4517</v>
      </c>
      <c r="F30" t="s">
        <v>1104</v>
      </c>
      <c r="G30" t="s">
        <v>99</v>
      </c>
      <c r="H30" t="s">
        <v>99</v>
      </c>
      <c r="I30" t="s">
        <v>100</v>
      </c>
      <c r="J30" t="s">
        <v>1059</v>
      </c>
      <c r="K30" t="s">
        <v>1060</v>
      </c>
      <c r="L30" t="s">
        <v>4525</v>
      </c>
      <c r="M30" t="s">
        <v>163</v>
      </c>
      <c r="N30" t="s">
        <v>114</v>
      </c>
      <c r="O30" t="s">
        <v>4520</v>
      </c>
      <c r="P30" t="s">
        <v>4520</v>
      </c>
      <c r="Q30" t="s">
        <v>100</v>
      </c>
      <c r="R30" t="s">
        <v>1059</v>
      </c>
      <c r="S30" t="s">
        <v>1060</v>
      </c>
      <c r="T30" t="s">
        <v>4467</v>
      </c>
      <c r="U30" t="s">
        <v>4527</v>
      </c>
      <c r="V30" t="s">
        <v>4528</v>
      </c>
      <c r="W30" t="s">
        <v>4470</v>
      </c>
      <c r="X30" t="s">
        <v>4529</v>
      </c>
      <c r="Y30" t="s">
        <v>4527</v>
      </c>
      <c r="Z30" t="s">
        <v>4530</v>
      </c>
      <c r="AA30" t="s">
        <v>4531</v>
      </c>
      <c r="AB30" t="s">
        <v>4528</v>
      </c>
      <c r="AC30" t="s">
        <v>61</v>
      </c>
      <c r="AD30" t="s">
        <v>19</v>
      </c>
      <c r="AE30" t="s">
        <v>19</v>
      </c>
      <c r="AF30" t="s">
        <v>4572</v>
      </c>
      <c r="AG30" t="s">
        <v>1823</v>
      </c>
      <c r="AH30" t="s">
        <v>22</v>
      </c>
      <c r="AI30" t="s">
        <v>22</v>
      </c>
      <c r="AJ30" t="s">
        <v>22</v>
      </c>
      <c r="AK30" t="s">
        <v>22</v>
      </c>
    </row>
    <row r="31" spans="1:37" ht="11.25" customHeight="1">
      <c r="A31" t="s">
        <v>22</v>
      </c>
      <c r="B31" t="s">
        <v>48</v>
      </c>
      <c r="C31" t="s">
        <v>50</v>
      </c>
      <c r="D31" t="s">
        <v>22</v>
      </c>
      <c r="E31" t="s">
        <v>4517</v>
      </c>
      <c r="F31" t="s">
        <v>1104</v>
      </c>
      <c r="G31" t="s">
        <v>99</v>
      </c>
      <c r="H31" t="s">
        <v>99</v>
      </c>
      <c r="I31" t="s">
        <v>100</v>
      </c>
      <c r="J31" t="s">
        <v>1059</v>
      </c>
      <c r="K31" t="s">
        <v>1060</v>
      </c>
      <c r="L31" t="s">
        <v>4573</v>
      </c>
      <c r="M31" t="s">
        <v>4574</v>
      </c>
      <c r="N31" t="s">
        <v>114</v>
      </c>
      <c r="O31" t="s">
        <v>4520</v>
      </c>
      <c r="P31" t="s">
        <v>4520</v>
      </c>
      <c r="Q31" t="s">
        <v>100</v>
      </c>
      <c r="R31" t="s">
        <v>1059</v>
      </c>
      <c r="S31" t="s">
        <v>1060</v>
      </c>
      <c r="T31" t="s">
        <v>4467</v>
      </c>
      <c r="U31" t="s">
        <v>4527</v>
      </c>
      <c r="V31" t="s">
        <v>4575</v>
      </c>
      <c r="W31" t="s">
        <v>4470</v>
      </c>
      <c r="X31" t="s">
        <v>4529</v>
      </c>
      <c r="Y31" t="s">
        <v>4527</v>
      </c>
      <c r="Z31" t="s">
        <v>4576</v>
      </c>
      <c r="AA31" t="s">
        <v>4577</v>
      </c>
      <c r="AB31" t="s">
        <v>4575</v>
      </c>
      <c r="AC31" t="s">
        <v>61</v>
      </c>
      <c r="AD31" t="s">
        <v>19</v>
      </c>
      <c r="AE31" t="s">
        <v>19</v>
      </c>
      <c r="AF31" t="s">
        <v>1823</v>
      </c>
      <c r="AG31" t="s">
        <v>387</v>
      </c>
      <c r="AH31" t="s">
        <v>22</v>
      </c>
      <c r="AI31" t="s">
        <v>22</v>
      </c>
      <c r="AJ31" t="s">
        <v>22</v>
      </c>
      <c r="AK31" t="s">
        <v>22</v>
      </c>
    </row>
    <row r="32" spans="1:37" ht="11.25" customHeight="1">
      <c r="A32" t="s">
        <v>22</v>
      </c>
      <c r="B32" t="s">
        <v>48</v>
      </c>
      <c r="C32" t="s">
        <v>50</v>
      </c>
      <c r="D32" t="s">
        <v>22</v>
      </c>
      <c r="E32" t="s">
        <v>4517</v>
      </c>
      <c r="F32" t="s">
        <v>1104</v>
      </c>
      <c r="G32" t="s">
        <v>99</v>
      </c>
      <c r="H32" t="s">
        <v>99</v>
      </c>
      <c r="I32" t="s">
        <v>100</v>
      </c>
      <c r="J32" t="s">
        <v>1059</v>
      </c>
      <c r="K32" t="s">
        <v>1060</v>
      </c>
      <c r="L32" t="s">
        <v>4537</v>
      </c>
      <c r="M32" t="s">
        <v>4578</v>
      </c>
      <c r="N32" t="s">
        <v>114</v>
      </c>
      <c r="O32" t="s">
        <v>4520</v>
      </c>
      <c r="P32" t="s">
        <v>4520</v>
      </c>
      <c r="Q32" t="s">
        <v>100</v>
      </c>
      <c r="R32" t="s">
        <v>1059</v>
      </c>
      <c r="S32" t="s">
        <v>1060</v>
      </c>
      <c r="T32" t="s">
        <v>4467</v>
      </c>
      <c r="U32" t="s">
        <v>4468</v>
      </c>
      <c r="V32" t="s">
        <v>4521</v>
      </c>
      <c r="W32" t="s">
        <v>4470</v>
      </c>
      <c r="X32" t="s">
        <v>4471</v>
      </c>
      <c r="Y32" t="s">
        <v>4468</v>
      </c>
      <c r="Z32" t="s">
        <v>1015</v>
      </c>
      <c r="AA32" t="s">
        <v>4522</v>
      </c>
      <c r="AB32" t="s">
        <v>4521</v>
      </c>
      <c r="AC32" t="s">
        <v>61</v>
      </c>
      <c r="AD32" t="s">
        <v>19</v>
      </c>
      <c r="AE32" t="s">
        <v>19</v>
      </c>
      <c r="AF32" t="s">
        <v>4579</v>
      </c>
      <c r="AG32" t="s">
        <v>4580</v>
      </c>
      <c r="AH32" t="s">
        <v>22</v>
      </c>
      <c r="AI32" t="s">
        <v>22</v>
      </c>
      <c r="AJ32" t="s">
        <v>22</v>
      </c>
      <c r="AK32" t="s">
        <v>22</v>
      </c>
    </row>
    <row r="33" spans="1:37" ht="11.25" customHeight="1">
      <c r="A33" t="s">
        <v>22</v>
      </c>
      <c r="B33" t="s">
        <v>48</v>
      </c>
      <c r="C33" t="s">
        <v>50</v>
      </c>
      <c r="D33" t="s">
        <v>22</v>
      </c>
      <c r="E33" t="s">
        <v>4517</v>
      </c>
      <c r="F33" t="s">
        <v>1104</v>
      </c>
      <c r="G33" t="s">
        <v>99</v>
      </c>
      <c r="H33" t="s">
        <v>99</v>
      </c>
      <c r="I33" t="s">
        <v>100</v>
      </c>
      <c r="J33" t="s">
        <v>1059</v>
      </c>
      <c r="K33" t="s">
        <v>1060</v>
      </c>
      <c r="L33" t="s">
        <v>4581</v>
      </c>
      <c r="M33" t="s">
        <v>4582</v>
      </c>
      <c r="N33" t="s">
        <v>114</v>
      </c>
      <c r="O33" t="s">
        <v>4520</v>
      </c>
      <c r="P33" t="s">
        <v>4520</v>
      </c>
      <c r="Q33" t="s">
        <v>100</v>
      </c>
      <c r="R33" t="s">
        <v>1059</v>
      </c>
      <c r="S33" t="s">
        <v>1060</v>
      </c>
      <c r="T33" t="s">
        <v>4467</v>
      </c>
      <c r="U33" t="s">
        <v>4468</v>
      </c>
      <c r="V33" t="s">
        <v>4521</v>
      </c>
      <c r="W33" t="s">
        <v>4470</v>
      </c>
      <c r="X33" t="s">
        <v>4471</v>
      </c>
      <c r="Y33" t="s">
        <v>4468</v>
      </c>
      <c r="Z33" t="s">
        <v>1015</v>
      </c>
      <c r="AA33" t="s">
        <v>4522</v>
      </c>
      <c r="AB33" t="s">
        <v>4521</v>
      </c>
      <c r="AC33" t="s">
        <v>61</v>
      </c>
      <c r="AD33" t="s">
        <v>19</v>
      </c>
      <c r="AE33" t="s">
        <v>19</v>
      </c>
      <c r="AF33" t="s">
        <v>4583</v>
      </c>
      <c r="AG33" t="s">
        <v>4584</v>
      </c>
      <c r="AH33" t="s">
        <v>22</v>
      </c>
      <c r="AI33" t="s">
        <v>22</v>
      </c>
      <c r="AJ33" t="s">
        <v>22</v>
      </c>
      <c r="AK33" t="s">
        <v>22</v>
      </c>
    </row>
    <row r="34" spans="1:37" ht="11.25" customHeight="1">
      <c r="A34" t="s">
        <v>22</v>
      </c>
      <c r="B34" t="s">
        <v>48</v>
      </c>
      <c r="C34" t="s">
        <v>50</v>
      </c>
      <c r="D34" t="s">
        <v>22</v>
      </c>
      <c r="E34" t="s">
        <v>4517</v>
      </c>
      <c r="F34" t="s">
        <v>1104</v>
      </c>
      <c r="G34" t="s">
        <v>99</v>
      </c>
      <c r="H34" t="s">
        <v>99</v>
      </c>
      <c r="I34" t="s">
        <v>100</v>
      </c>
      <c r="J34" t="s">
        <v>1059</v>
      </c>
      <c r="K34" t="s">
        <v>1060</v>
      </c>
      <c r="L34" t="s">
        <v>4585</v>
      </c>
      <c r="M34" t="s">
        <v>4586</v>
      </c>
      <c r="N34" t="s">
        <v>114</v>
      </c>
      <c r="O34" t="s">
        <v>4520</v>
      </c>
      <c r="P34" t="s">
        <v>4520</v>
      </c>
      <c r="Q34" t="s">
        <v>100</v>
      </c>
      <c r="R34" t="s">
        <v>1059</v>
      </c>
      <c r="S34" t="s">
        <v>1060</v>
      </c>
      <c r="T34" t="s">
        <v>4467</v>
      </c>
      <c r="U34" t="s">
        <v>4468</v>
      </c>
      <c r="V34" t="s">
        <v>4521</v>
      </c>
      <c r="W34" t="s">
        <v>4470</v>
      </c>
      <c r="X34" t="s">
        <v>4471</v>
      </c>
      <c r="Y34" t="s">
        <v>4468</v>
      </c>
      <c r="Z34" t="s">
        <v>1015</v>
      </c>
      <c r="AA34" t="s">
        <v>4522</v>
      </c>
      <c r="AB34" t="s">
        <v>4521</v>
      </c>
      <c r="AC34" t="s">
        <v>61</v>
      </c>
      <c r="AD34" t="s">
        <v>19</v>
      </c>
      <c r="AE34" t="s">
        <v>19</v>
      </c>
      <c r="AF34" t="s">
        <v>4560</v>
      </c>
      <c r="AG34" t="s">
        <v>4587</v>
      </c>
      <c r="AH34" t="s">
        <v>22</v>
      </c>
      <c r="AI34" t="s">
        <v>22</v>
      </c>
      <c r="AJ34" t="s">
        <v>22</v>
      </c>
      <c r="AK34" t="s">
        <v>22</v>
      </c>
    </row>
    <row r="35" spans="1:37" ht="11.25" customHeight="1">
      <c r="A35" t="s">
        <v>22</v>
      </c>
      <c r="B35" t="s">
        <v>48</v>
      </c>
      <c r="C35" t="s">
        <v>50</v>
      </c>
      <c r="D35" t="s">
        <v>22</v>
      </c>
      <c r="E35" t="s">
        <v>4517</v>
      </c>
      <c r="F35" t="s">
        <v>1104</v>
      </c>
      <c r="G35" t="s">
        <v>99</v>
      </c>
      <c r="H35" t="s">
        <v>99</v>
      </c>
      <c r="I35" t="s">
        <v>100</v>
      </c>
      <c r="J35" t="s">
        <v>1059</v>
      </c>
      <c r="K35" t="s">
        <v>1060</v>
      </c>
      <c r="L35" t="s">
        <v>4581</v>
      </c>
      <c r="M35" t="s">
        <v>1823</v>
      </c>
      <c r="N35" t="s">
        <v>114</v>
      </c>
      <c r="O35" t="s">
        <v>4520</v>
      </c>
      <c r="P35" t="s">
        <v>4520</v>
      </c>
      <c r="Q35" t="s">
        <v>100</v>
      </c>
      <c r="R35" t="s">
        <v>1059</v>
      </c>
      <c r="S35" t="s">
        <v>1060</v>
      </c>
      <c r="T35" t="s">
        <v>4467</v>
      </c>
      <c r="U35" t="s">
        <v>4468</v>
      </c>
      <c r="V35" t="s">
        <v>4521</v>
      </c>
      <c r="W35" t="s">
        <v>4470</v>
      </c>
      <c r="X35" t="s">
        <v>4471</v>
      </c>
      <c r="Y35" t="s">
        <v>4468</v>
      </c>
      <c r="Z35" t="s">
        <v>1015</v>
      </c>
      <c r="AA35" t="s">
        <v>4522</v>
      </c>
      <c r="AB35" t="s">
        <v>4521</v>
      </c>
      <c r="AC35" t="s">
        <v>61</v>
      </c>
      <c r="AD35" t="s">
        <v>19</v>
      </c>
      <c r="AE35" t="s">
        <v>19</v>
      </c>
      <c r="AF35" t="s">
        <v>1774</v>
      </c>
      <c r="AG35" t="s">
        <v>318</v>
      </c>
      <c r="AH35" t="s">
        <v>22</v>
      </c>
      <c r="AI35" t="s">
        <v>22</v>
      </c>
      <c r="AJ35" t="s">
        <v>22</v>
      </c>
      <c r="AK35" t="s">
        <v>22</v>
      </c>
    </row>
    <row r="36" spans="1:37" ht="11.25" customHeight="1">
      <c r="A36" t="s">
        <v>22</v>
      </c>
      <c r="B36" t="s">
        <v>48</v>
      </c>
      <c r="C36" t="s">
        <v>50</v>
      </c>
      <c r="D36" t="s">
        <v>22</v>
      </c>
      <c r="E36" t="s">
        <v>4517</v>
      </c>
      <c r="F36" t="s">
        <v>1104</v>
      </c>
      <c r="G36" t="s">
        <v>99</v>
      </c>
      <c r="H36" t="s">
        <v>99</v>
      </c>
      <c r="I36" t="s">
        <v>100</v>
      </c>
      <c r="J36" t="s">
        <v>1059</v>
      </c>
      <c r="K36" t="s">
        <v>1060</v>
      </c>
      <c r="L36" t="s">
        <v>4588</v>
      </c>
      <c r="M36" t="s">
        <v>4589</v>
      </c>
      <c r="N36" t="s">
        <v>114</v>
      </c>
      <c r="O36" t="s">
        <v>4520</v>
      </c>
      <c r="P36" t="s">
        <v>4520</v>
      </c>
      <c r="Q36" t="s">
        <v>100</v>
      </c>
      <c r="R36" t="s">
        <v>1059</v>
      </c>
      <c r="S36" t="s">
        <v>1060</v>
      </c>
      <c r="T36" t="s">
        <v>4467</v>
      </c>
      <c r="U36" t="s">
        <v>4527</v>
      </c>
      <c r="V36" t="s">
        <v>4528</v>
      </c>
      <c r="W36" t="s">
        <v>4470</v>
      </c>
      <c r="X36" t="s">
        <v>4529</v>
      </c>
      <c r="Y36" t="s">
        <v>4527</v>
      </c>
      <c r="Z36" t="s">
        <v>4590</v>
      </c>
      <c r="AA36" t="s">
        <v>4531</v>
      </c>
      <c r="AB36" t="s">
        <v>4528</v>
      </c>
      <c r="AC36" t="s">
        <v>61</v>
      </c>
      <c r="AD36" t="s">
        <v>19</v>
      </c>
      <c r="AE36" t="s">
        <v>19</v>
      </c>
      <c r="AF36" t="s">
        <v>4550</v>
      </c>
      <c r="AG36" t="s">
        <v>4591</v>
      </c>
      <c r="AH36" t="s">
        <v>22</v>
      </c>
      <c r="AI36" t="s">
        <v>22</v>
      </c>
      <c r="AJ36" t="s">
        <v>22</v>
      </c>
      <c r="AK36" t="s">
        <v>22</v>
      </c>
    </row>
    <row r="37" spans="1:37" ht="11.25" customHeight="1">
      <c r="A37" t="s">
        <v>22</v>
      </c>
      <c r="B37" t="s">
        <v>48</v>
      </c>
      <c r="C37" t="s">
        <v>50</v>
      </c>
      <c r="D37" t="s">
        <v>22</v>
      </c>
      <c r="E37" t="s">
        <v>4517</v>
      </c>
      <c r="F37" t="s">
        <v>1104</v>
      </c>
      <c r="G37" t="s">
        <v>99</v>
      </c>
      <c r="H37" t="s">
        <v>99</v>
      </c>
      <c r="I37" t="s">
        <v>100</v>
      </c>
      <c r="J37" t="s">
        <v>1059</v>
      </c>
      <c r="K37" t="s">
        <v>1060</v>
      </c>
      <c r="L37" t="s">
        <v>4592</v>
      </c>
      <c r="M37" t="s">
        <v>4593</v>
      </c>
      <c r="N37" t="s">
        <v>114</v>
      </c>
      <c r="O37" t="s">
        <v>4520</v>
      </c>
      <c r="P37" t="s">
        <v>4520</v>
      </c>
      <c r="Q37" t="s">
        <v>100</v>
      </c>
      <c r="R37" t="s">
        <v>1059</v>
      </c>
      <c r="S37" t="s">
        <v>1060</v>
      </c>
      <c r="T37" t="s">
        <v>4467</v>
      </c>
      <c r="U37" t="s">
        <v>4527</v>
      </c>
      <c r="V37" t="s">
        <v>4528</v>
      </c>
      <c r="W37" t="s">
        <v>4470</v>
      </c>
      <c r="X37" t="s">
        <v>4529</v>
      </c>
      <c r="Y37" t="s">
        <v>4527</v>
      </c>
      <c r="Z37" t="s">
        <v>4590</v>
      </c>
      <c r="AA37" t="s">
        <v>4531</v>
      </c>
      <c r="AB37" t="s">
        <v>4528</v>
      </c>
      <c r="AC37" t="s">
        <v>61</v>
      </c>
      <c r="AD37" t="s">
        <v>19</v>
      </c>
      <c r="AE37" t="s">
        <v>19</v>
      </c>
      <c r="AF37" t="s">
        <v>1774</v>
      </c>
      <c r="AG37" t="s">
        <v>1157</v>
      </c>
      <c r="AH37" t="s">
        <v>22</v>
      </c>
      <c r="AI37" t="s">
        <v>22</v>
      </c>
      <c r="AJ37" t="s">
        <v>22</v>
      </c>
      <c r="AK37" t="s">
        <v>22</v>
      </c>
    </row>
    <row r="38" spans="1:37" ht="11.25" customHeight="1">
      <c r="A38" t="s">
        <v>22</v>
      </c>
      <c r="B38" t="s">
        <v>48</v>
      </c>
      <c r="C38" t="s">
        <v>50</v>
      </c>
      <c r="D38" t="s">
        <v>22</v>
      </c>
      <c r="E38" t="s">
        <v>4517</v>
      </c>
      <c r="F38" t="s">
        <v>1104</v>
      </c>
      <c r="G38" t="s">
        <v>99</v>
      </c>
      <c r="H38" t="s">
        <v>99</v>
      </c>
      <c r="I38" t="s">
        <v>100</v>
      </c>
      <c r="J38" t="s">
        <v>1059</v>
      </c>
      <c r="K38" t="s">
        <v>1060</v>
      </c>
      <c r="L38" t="s">
        <v>4594</v>
      </c>
      <c r="M38" t="s">
        <v>1155</v>
      </c>
      <c r="N38" t="s">
        <v>114</v>
      </c>
      <c r="O38" t="s">
        <v>4520</v>
      </c>
      <c r="P38" t="s">
        <v>4520</v>
      </c>
      <c r="Q38" t="s">
        <v>100</v>
      </c>
      <c r="R38" t="s">
        <v>1059</v>
      </c>
      <c r="S38" t="s">
        <v>1060</v>
      </c>
      <c r="T38" t="s">
        <v>4467</v>
      </c>
      <c r="U38" t="s">
        <v>4468</v>
      </c>
      <c r="V38" t="s">
        <v>4521</v>
      </c>
      <c r="W38" t="s">
        <v>4470</v>
      </c>
      <c r="X38" t="s">
        <v>4471</v>
      </c>
      <c r="Y38" t="s">
        <v>4468</v>
      </c>
      <c r="Z38" t="s">
        <v>1015</v>
      </c>
      <c r="AA38" t="s">
        <v>4522</v>
      </c>
      <c r="AB38" t="s">
        <v>4521</v>
      </c>
      <c r="AC38" t="s">
        <v>61</v>
      </c>
      <c r="AD38" t="s">
        <v>19</v>
      </c>
      <c r="AE38" t="s">
        <v>19</v>
      </c>
      <c r="AF38" t="s">
        <v>4532</v>
      </c>
      <c r="AG38" t="s">
        <v>4595</v>
      </c>
      <c r="AH38" t="s">
        <v>22</v>
      </c>
      <c r="AI38" t="s">
        <v>22</v>
      </c>
      <c r="AJ38" t="s">
        <v>22</v>
      </c>
      <c r="AK38" t="s">
        <v>22</v>
      </c>
    </row>
    <row r="39" spans="1:37" ht="11.25" customHeight="1">
      <c r="A39" t="s">
        <v>22</v>
      </c>
      <c r="B39" t="s">
        <v>48</v>
      </c>
      <c r="C39" t="s">
        <v>50</v>
      </c>
      <c r="D39" t="s">
        <v>22</v>
      </c>
      <c r="E39" t="s">
        <v>4517</v>
      </c>
      <c r="F39" t="s">
        <v>1104</v>
      </c>
      <c r="G39" t="s">
        <v>99</v>
      </c>
      <c r="H39" t="s">
        <v>99</v>
      </c>
      <c r="I39" t="s">
        <v>100</v>
      </c>
      <c r="J39" t="s">
        <v>1059</v>
      </c>
      <c r="K39" t="s">
        <v>1060</v>
      </c>
      <c r="L39" t="s">
        <v>4596</v>
      </c>
      <c r="M39" t="s">
        <v>4597</v>
      </c>
      <c r="N39" t="s">
        <v>114</v>
      </c>
      <c r="O39" t="s">
        <v>4520</v>
      </c>
      <c r="P39" t="s">
        <v>4520</v>
      </c>
      <c r="Q39" t="s">
        <v>100</v>
      </c>
      <c r="R39" t="s">
        <v>1059</v>
      </c>
      <c r="S39" t="s">
        <v>1060</v>
      </c>
      <c r="T39" t="s">
        <v>4467</v>
      </c>
      <c r="U39" t="s">
        <v>4468</v>
      </c>
      <c r="V39" t="s">
        <v>4521</v>
      </c>
      <c r="W39" t="s">
        <v>4470</v>
      </c>
      <c r="X39" t="s">
        <v>4471</v>
      </c>
      <c r="Y39" t="s">
        <v>4468</v>
      </c>
      <c r="Z39" t="s">
        <v>1015</v>
      </c>
      <c r="AA39" t="s">
        <v>4522</v>
      </c>
      <c r="AB39" t="s">
        <v>4521</v>
      </c>
      <c r="AC39" t="s">
        <v>61</v>
      </c>
      <c r="AD39" t="s">
        <v>19</v>
      </c>
      <c r="AE39" t="s">
        <v>19</v>
      </c>
      <c r="AF39" t="s">
        <v>4598</v>
      </c>
      <c r="AG39" t="s">
        <v>90</v>
      </c>
      <c r="AH39" t="s">
        <v>22</v>
      </c>
      <c r="AI39" t="s">
        <v>22</v>
      </c>
      <c r="AJ39" t="s">
        <v>22</v>
      </c>
      <c r="AK39" t="s">
        <v>22</v>
      </c>
    </row>
    <row r="40" spans="1:37" ht="11.25" customHeight="1">
      <c r="A40" t="s">
        <v>22</v>
      </c>
      <c r="B40" t="s">
        <v>48</v>
      </c>
      <c r="C40" t="s">
        <v>50</v>
      </c>
      <c r="D40" t="s">
        <v>22</v>
      </c>
      <c r="E40" t="s">
        <v>4517</v>
      </c>
      <c r="F40" t="s">
        <v>1104</v>
      </c>
      <c r="G40" t="s">
        <v>99</v>
      </c>
      <c r="H40" t="s">
        <v>99</v>
      </c>
      <c r="I40" t="s">
        <v>100</v>
      </c>
      <c r="J40" t="s">
        <v>1059</v>
      </c>
      <c r="K40" t="s">
        <v>1060</v>
      </c>
      <c r="L40" t="s">
        <v>1070</v>
      </c>
      <c r="M40" t="s">
        <v>4599</v>
      </c>
      <c r="N40" t="s">
        <v>114</v>
      </c>
      <c r="O40" t="s">
        <v>4520</v>
      </c>
      <c r="P40" t="s">
        <v>4520</v>
      </c>
      <c r="Q40" t="s">
        <v>100</v>
      </c>
      <c r="R40" t="s">
        <v>1059</v>
      </c>
      <c r="S40" t="s">
        <v>1060</v>
      </c>
      <c r="T40" t="s">
        <v>4467</v>
      </c>
      <c r="U40" t="s">
        <v>4468</v>
      </c>
      <c r="V40" t="s">
        <v>4521</v>
      </c>
      <c r="W40" t="s">
        <v>4470</v>
      </c>
      <c r="X40" t="s">
        <v>4471</v>
      </c>
      <c r="Y40" t="s">
        <v>4468</v>
      </c>
      <c r="Z40" t="s">
        <v>1015</v>
      </c>
      <c r="AA40" t="s">
        <v>4522</v>
      </c>
      <c r="AB40" t="s">
        <v>4521</v>
      </c>
      <c r="AC40" t="s">
        <v>61</v>
      </c>
      <c r="AD40" t="s">
        <v>19</v>
      </c>
      <c r="AE40" t="s">
        <v>19</v>
      </c>
      <c r="AF40" t="s">
        <v>4523</v>
      </c>
      <c r="AG40" t="s">
        <v>4600</v>
      </c>
      <c r="AH40" t="s">
        <v>22</v>
      </c>
      <c r="AI40" t="s">
        <v>22</v>
      </c>
      <c r="AJ40" t="s">
        <v>22</v>
      </c>
      <c r="AK40" t="s">
        <v>22</v>
      </c>
    </row>
    <row r="41" spans="1:37" ht="11.25" customHeight="1">
      <c r="A41" t="s">
        <v>22</v>
      </c>
      <c r="B41" t="s">
        <v>48</v>
      </c>
      <c r="C41" t="s">
        <v>50</v>
      </c>
      <c r="D41" t="s">
        <v>22</v>
      </c>
      <c r="E41" t="s">
        <v>4517</v>
      </c>
      <c r="F41" t="s">
        <v>1104</v>
      </c>
      <c r="G41" t="s">
        <v>99</v>
      </c>
      <c r="H41" t="s">
        <v>99</v>
      </c>
      <c r="I41" t="s">
        <v>100</v>
      </c>
      <c r="J41" t="s">
        <v>1059</v>
      </c>
      <c r="K41" t="s">
        <v>1060</v>
      </c>
      <c r="L41" t="s">
        <v>4601</v>
      </c>
      <c r="M41" t="s">
        <v>4602</v>
      </c>
      <c r="N41" t="s">
        <v>114</v>
      </c>
      <c r="O41" t="s">
        <v>4520</v>
      </c>
      <c r="P41" t="s">
        <v>4520</v>
      </c>
      <c r="Q41" t="s">
        <v>100</v>
      </c>
      <c r="R41" t="s">
        <v>1059</v>
      </c>
      <c r="S41" t="s">
        <v>1060</v>
      </c>
      <c r="T41" t="s">
        <v>4467</v>
      </c>
      <c r="U41" t="s">
        <v>4468</v>
      </c>
      <c r="V41" t="s">
        <v>4521</v>
      </c>
      <c r="W41" t="s">
        <v>4470</v>
      </c>
      <c r="X41" t="s">
        <v>4471</v>
      </c>
      <c r="Y41" t="s">
        <v>4468</v>
      </c>
      <c r="Z41" t="s">
        <v>1015</v>
      </c>
      <c r="AA41" t="s">
        <v>4522</v>
      </c>
      <c r="AB41" t="s">
        <v>4521</v>
      </c>
      <c r="AC41" t="s">
        <v>61</v>
      </c>
      <c r="AD41" t="s">
        <v>19</v>
      </c>
      <c r="AE41" t="s">
        <v>19</v>
      </c>
      <c r="AF41" t="s">
        <v>4603</v>
      </c>
      <c r="AG41" t="s">
        <v>1802</v>
      </c>
      <c r="AH41" t="s">
        <v>22</v>
      </c>
      <c r="AI41" t="s">
        <v>22</v>
      </c>
      <c r="AJ41" t="s">
        <v>22</v>
      </c>
      <c r="AK41" t="s">
        <v>22</v>
      </c>
    </row>
    <row r="42" spans="1:37" ht="11.25" customHeight="1">
      <c r="A42" t="s">
        <v>22</v>
      </c>
      <c r="B42" t="s">
        <v>48</v>
      </c>
      <c r="C42" t="s">
        <v>50</v>
      </c>
      <c r="D42" t="s">
        <v>22</v>
      </c>
      <c r="E42" t="s">
        <v>4517</v>
      </c>
      <c r="F42" t="s">
        <v>1104</v>
      </c>
      <c r="G42" t="s">
        <v>99</v>
      </c>
      <c r="H42" t="s">
        <v>99</v>
      </c>
      <c r="I42" t="s">
        <v>100</v>
      </c>
      <c r="J42" t="s">
        <v>1059</v>
      </c>
      <c r="K42" t="s">
        <v>1060</v>
      </c>
      <c r="L42" t="s">
        <v>4604</v>
      </c>
      <c r="M42" t="s">
        <v>4605</v>
      </c>
      <c r="N42" t="s">
        <v>114</v>
      </c>
      <c r="O42" t="s">
        <v>4520</v>
      </c>
      <c r="P42" t="s">
        <v>4520</v>
      </c>
      <c r="Q42" t="s">
        <v>100</v>
      </c>
      <c r="R42" t="s">
        <v>1059</v>
      </c>
      <c r="S42" t="s">
        <v>1060</v>
      </c>
      <c r="T42" t="s">
        <v>4606</v>
      </c>
      <c r="U42" t="s">
        <v>4527</v>
      </c>
      <c r="V42" t="s">
        <v>4607</v>
      </c>
      <c r="W42" t="s">
        <v>4470</v>
      </c>
      <c r="X42" t="s">
        <v>4529</v>
      </c>
      <c r="Y42" t="s">
        <v>4527</v>
      </c>
      <c r="Z42" t="s">
        <v>1015</v>
      </c>
      <c r="AA42" t="s">
        <v>4608</v>
      </c>
      <c r="AB42" t="s">
        <v>4607</v>
      </c>
      <c r="AC42" t="s">
        <v>61</v>
      </c>
      <c r="AD42" t="s">
        <v>19</v>
      </c>
      <c r="AE42" t="s">
        <v>19</v>
      </c>
      <c r="AF42" t="s">
        <v>4609</v>
      </c>
      <c r="AG42" t="s">
        <v>4610</v>
      </c>
      <c r="AH42" t="s">
        <v>22</v>
      </c>
      <c r="AI42" t="s">
        <v>22</v>
      </c>
      <c r="AJ42" t="s">
        <v>22</v>
      </c>
      <c r="AK42" t="s">
        <v>22</v>
      </c>
    </row>
    <row r="43" spans="1:37" ht="11.25" customHeight="1">
      <c r="A43" t="s">
        <v>22</v>
      </c>
      <c r="B43" t="s">
        <v>48</v>
      </c>
      <c r="C43" t="s">
        <v>50</v>
      </c>
      <c r="D43" t="s">
        <v>22</v>
      </c>
      <c r="E43" t="s">
        <v>4517</v>
      </c>
      <c r="F43" t="s">
        <v>1104</v>
      </c>
      <c r="G43" t="s">
        <v>99</v>
      </c>
      <c r="H43" t="s">
        <v>99</v>
      </c>
      <c r="I43" t="s">
        <v>100</v>
      </c>
      <c r="J43" t="s">
        <v>1059</v>
      </c>
      <c r="K43" t="s">
        <v>1060</v>
      </c>
      <c r="L43" t="s">
        <v>4611</v>
      </c>
      <c r="M43" t="s">
        <v>4612</v>
      </c>
      <c r="N43" t="s">
        <v>114</v>
      </c>
      <c r="O43" t="s">
        <v>4520</v>
      </c>
      <c r="P43" t="s">
        <v>4520</v>
      </c>
      <c r="Q43" t="s">
        <v>100</v>
      </c>
      <c r="R43" t="s">
        <v>1059</v>
      </c>
      <c r="S43" t="s">
        <v>1060</v>
      </c>
      <c r="T43" t="s">
        <v>4467</v>
      </c>
      <c r="U43" t="s">
        <v>4468</v>
      </c>
      <c r="V43" t="s">
        <v>4521</v>
      </c>
      <c r="W43" t="s">
        <v>4470</v>
      </c>
      <c r="X43" t="s">
        <v>4471</v>
      </c>
      <c r="Y43" t="s">
        <v>4468</v>
      </c>
      <c r="Z43" t="s">
        <v>1015</v>
      </c>
      <c r="AA43" t="s">
        <v>4522</v>
      </c>
      <c r="AB43" t="s">
        <v>4521</v>
      </c>
      <c r="AC43" t="s">
        <v>61</v>
      </c>
      <c r="AD43" t="s">
        <v>19</v>
      </c>
      <c r="AE43" t="s">
        <v>19</v>
      </c>
      <c r="AF43" t="s">
        <v>4613</v>
      </c>
      <c r="AG43" t="s">
        <v>4614</v>
      </c>
      <c r="AH43" t="s">
        <v>22</v>
      </c>
      <c r="AI43" t="s">
        <v>22</v>
      </c>
      <c r="AJ43" t="s">
        <v>22</v>
      </c>
      <c r="AK43" t="s">
        <v>22</v>
      </c>
    </row>
    <row r="44" spans="1:37" ht="11.25" customHeight="1">
      <c r="A44" t="s">
        <v>22</v>
      </c>
      <c r="B44" t="s">
        <v>48</v>
      </c>
      <c r="C44" t="s">
        <v>50</v>
      </c>
      <c r="D44" t="s">
        <v>22</v>
      </c>
      <c r="E44" t="s">
        <v>4517</v>
      </c>
      <c r="F44" t="s">
        <v>1104</v>
      </c>
      <c r="G44" t="s">
        <v>99</v>
      </c>
      <c r="H44" t="s">
        <v>99</v>
      </c>
      <c r="I44" t="s">
        <v>100</v>
      </c>
      <c r="J44" t="s">
        <v>1059</v>
      </c>
      <c r="K44" t="s">
        <v>1060</v>
      </c>
      <c r="L44" t="s">
        <v>4533</v>
      </c>
      <c r="M44" t="s">
        <v>4615</v>
      </c>
      <c r="N44" t="s">
        <v>114</v>
      </c>
      <c r="O44" t="s">
        <v>4520</v>
      </c>
      <c r="P44" t="s">
        <v>4520</v>
      </c>
      <c r="Q44" t="s">
        <v>100</v>
      </c>
      <c r="R44" t="s">
        <v>1059</v>
      </c>
      <c r="S44" t="s">
        <v>1060</v>
      </c>
      <c r="T44" t="s">
        <v>4467</v>
      </c>
      <c r="U44" t="s">
        <v>4468</v>
      </c>
      <c r="V44" t="s">
        <v>4521</v>
      </c>
      <c r="W44" t="s">
        <v>4470</v>
      </c>
      <c r="X44" t="s">
        <v>4471</v>
      </c>
      <c r="Y44" t="s">
        <v>4468</v>
      </c>
      <c r="Z44" t="s">
        <v>1015</v>
      </c>
      <c r="AA44" t="s">
        <v>4522</v>
      </c>
      <c r="AB44" t="s">
        <v>4521</v>
      </c>
      <c r="AC44" t="s">
        <v>61</v>
      </c>
      <c r="AD44" t="s">
        <v>19</v>
      </c>
      <c r="AE44" t="s">
        <v>19</v>
      </c>
      <c r="AF44" t="s">
        <v>4616</v>
      </c>
      <c r="AG44" t="s">
        <v>4617</v>
      </c>
      <c r="AH44" t="s">
        <v>22</v>
      </c>
      <c r="AI44" t="s">
        <v>22</v>
      </c>
      <c r="AJ44" t="s">
        <v>22</v>
      </c>
      <c r="AK44" t="s">
        <v>22</v>
      </c>
    </row>
    <row r="45" spans="1:37" ht="11.25" customHeight="1">
      <c r="A45" t="s">
        <v>22</v>
      </c>
      <c r="B45" t="s">
        <v>48</v>
      </c>
      <c r="C45" t="s">
        <v>50</v>
      </c>
      <c r="D45" t="s">
        <v>22</v>
      </c>
      <c r="E45" t="s">
        <v>4517</v>
      </c>
      <c r="F45" t="s">
        <v>1104</v>
      </c>
      <c r="G45" t="s">
        <v>99</v>
      </c>
      <c r="H45" t="s">
        <v>99</v>
      </c>
      <c r="I45" t="s">
        <v>100</v>
      </c>
      <c r="J45" t="s">
        <v>1059</v>
      </c>
      <c r="K45" t="s">
        <v>1060</v>
      </c>
      <c r="L45" t="s">
        <v>4618</v>
      </c>
      <c r="M45" t="s">
        <v>4619</v>
      </c>
      <c r="N45" t="s">
        <v>114</v>
      </c>
      <c r="O45" t="s">
        <v>4520</v>
      </c>
      <c r="P45" t="s">
        <v>4520</v>
      </c>
      <c r="Q45" t="s">
        <v>100</v>
      </c>
      <c r="R45" t="s">
        <v>1059</v>
      </c>
      <c r="S45" t="s">
        <v>1060</v>
      </c>
      <c r="T45" t="s">
        <v>4467</v>
      </c>
      <c r="U45" t="s">
        <v>4468</v>
      </c>
      <c r="V45" t="s">
        <v>4521</v>
      </c>
      <c r="W45" t="s">
        <v>4470</v>
      </c>
      <c r="X45" t="s">
        <v>4471</v>
      </c>
      <c r="Y45" t="s">
        <v>4468</v>
      </c>
      <c r="Z45" t="s">
        <v>1015</v>
      </c>
      <c r="AA45" t="s">
        <v>4522</v>
      </c>
      <c r="AB45" t="s">
        <v>4521</v>
      </c>
      <c r="AC45" t="s">
        <v>61</v>
      </c>
      <c r="AD45" t="s">
        <v>19</v>
      </c>
      <c r="AE45" t="s">
        <v>19</v>
      </c>
      <c r="AF45" t="s">
        <v>1774</v>
      </c>
      <c r="AG45" t="s">
        <v>1157</v>
      </c>
      <c r="AH45" t="s">
        <v>22</v>
      </c>
      <c r="AI45" t="s">
        <v>22</v>
      </c>
      <c r="AJ45" t="s">
        <v>22</v>
      </c>
      <c r="AK45" t="s">
        <v>22</v>
      </c>
    </row>
    <row r="46" spans="1:37" ht="11.25" customHeight="1">
      <c r="A46" t="s">
        <v>22</v>
      </c>
      <c r="B46" t="s">
        <v>48</v>
      </c>
      <c r="C46" t="s">
        <v>50</v>
      </c>
      <c r="D46" t="s">
        <v>22</v>
      </c>
      <c r="E46" t="s">
        <v>4517</v>
      </c>
      <c r="F46" t="s">
        <v>1104</v>
      </c>
      <c r="G46" t="s">
        <v>99</v>
      </c>
      <c r="H46" t="s">
        <v>99</v>
      </c>
      <c r="I46" t="s">
        <v>100</v>
      </c>
      <c r="J46" t="s">
        <v>1059</v>
      </c>
      <c r="K46" t="s">
        <v>1060</v>
      </c>
      <c r="L46" t="s">
        <v>4620</v>
      </c>
      <c r="M46" t="s">
        <v>4619</v>
      </c>
      <c r="N46" t="s">
        <v>114</v>
      </c>
      <c r="O46" t="s">
        <v>4520</v>
      </c>
      <c r="P46" t="s">
        <v>4520</v>
      </c>
      <c r="Q46" t="s">
        <v>100</v>
      </c>
      <c r="R46" t="s">
        <v>1059</v>
      </c>
      <c r="S46" t="s">
        <v>1060</v>
      </c>
      <c r="T46" t="s">
        <v>4467</v>
      </c>
      <c r="U46" t="s">
        <v>4468</v>
      </c>
      <c r="V46" t="s">
        <v>4521</v>
      </c>
      <c r="W46" t="s">
        <v>4470</v>
      </c>
      <c r="X46" t="s">
        <v>4471</v>
      </c>
      <c r="Y46" t="s">
        <v>4468</v>
      </c>
      <c r="Z46" t="s">
        <v>1015</v>
      </c>
      <c r="AA46" t="s">
        <v>4522</v>
      </c>
      <c r="AB46" t="s">
        <v>4521</v>
      </c>
      <c r="AC46" t="s">
        <v>61</v>
      </c>
      <c r="AD46" t="s">
        <v>19</v>
      </c>
      <c r="AE46" t="s">
        <v>19</v>
      </c>
      <c r="AF46" t="s">
        <v>1823</v>
      </c>
      <c r="AG46" t="s">
        <v>4621</v>
      </c>
      <c r="AH46" t="s">
        <v>22</v>
      </c>
      <c r="AI46" t="s">
        <v>22</v>
      </c>
      <c r="AJ46" t="s">
        <v>22</v>
      </c>
      <c r="AK46" t="s">
        <v>22</v>
      </c>
    </row>
    <row r="47" spans="1:37" ht="11.25" customHeight="1">
      <c r="A47" t="s">
        <v>22</v>
      </c>
      <c r="B47" t="s">
        <v>48</v>
      </c>
      <c r="C47" t="s">
        <v>50</v>
      </c>
      <c r="D47" t="s">
        <v>22</v>
      </c>
      <c r="E47" t="s">
        <v>4517</v>
      </c>
      <c r="F47" t="s">
        <v>1104</v>
      </c>
      <c r="G47" t="s">
        <v>99</v>
      </c>
      <c r="H47" t="s">
        <v>99</v>
      </c>
      <c r="I47" t="s">
        <v>100</v>
      </c>
      <c r="J47" t="s">
        <v>1059</v>
      </c>
      <c r="K47" t="s">
        <v>1060</v>
      </c>
      <c r="L47" t="s">
        <v>4622</v>
      </c>
      <c r="M47" t="s">
        <v>4623</v>
      </c>
      <c r="N47" t="s">
        <v>114</v>
      </c>
      <c r="O47" t="s">
        <v>4520</v>
      </c>
      <c r="P47" t="s">
        <v>4520</v>
      </c>
      <c r="Q47" t="s">
        <v>100</v>
      </c>
      <c r="R47" t="s">
        <v>1059</v>
      </c>
      <c r="S47" t="s">
        <v>1060</v>
      </c>
      <c r="T47" t="s">
        <v>4467</v>
      </c>
      <c r="U47" t="s">
        <v>4468</v>
      </c>
      <c r="V47" t="s">
        <v>4521</v>
      </c>
      <c r="W47" t="s">
        <v>4470</v>
      </c>
      <c r="X47" t="s">
        <v>4471</v>
      </c>
      <c r="Y47" t="s">
        <v>4468</v>
      </c>
      <c r="Z47" t="s">
        <v>1015</v>
      </c>
      <c r="AA47" t="s">
        <v>4522</v>
      </c>
      <c r="AB47" t="s">
        <v>4521</v>
      </c>
      <c r="AC47" t="s">
        <v>61</v>
      </c>
      <c r="AD47" t="s">
        <v>19</v>
      </c>
      <c r="AE47" t="s">
        <v>19</v>
      </c>
      <c r="AF47" t="s">
        <v>4624</v>
      </c>
      <c r="AG47" t="s">
        <v>1802</v>
      </c>
      <c r="AH47" t="s">
        <v>22</v>
      </c>
      <c r="AI47" t="s">
        <v>22</v>
      </c>
      <c r="AJ47" t="s">
        <v>22</v>
      </c>
      <c r="AK47" t="s">
        <v>22</v>
      </c>
    </row>
    <row r="48" spans="1:37" ht="11.25" customHeight="1">
      <c r="A48" t="s">
        <v>22</v>
      </c>
      <c r="B48" t="s">
        <v>48</v>
      </c>
      <c r="C48" t="s">
        <v>50</v>
      </c>
      <c r="D48" t="s">
        <v>22</v>
      </c>
      <c r="E48" t="s">
        <v>4517</v>
      </c>
      <c r="F48" t="s">
        <v>1104</v>
      </c>
      <c r="G48" t="s">
        <v>99</v>
      </c>
      <c r="H48" t="s">
        <v>99</v>
      </c>
      <c r="I48" t="s">
        <v>100</v>
      </c>
      <c r="J48" t="s">
        <v>1059</v>
      </c>
      <c r="K48" t="s">
        <v>1060</v>
      </c>
      <c r="L48" t="s">
        <v>4611</v>
      </c>
      <c r="M48" t="s">
        <v>4586</v>
      </c>
      <c r="N48" t="s">
        <v>114</v>
      </c>
      <c r="O48" t="s">
        <v>4520</v>
      </c>
      <c r="P48" t="s">
        <v>4520</v>
      </c>
      <c r="Q48" t="s">
        <v>100</v>
      </c>
      <c r="R48" t="s">
        <v>1059</v>
      </c>
      <c r="S48" t="s">
        <v>1060</v>
      </c>
      <c r="T48" t="s">
        <v>4467</v>
      </c>
      <c r="U48" t="s">
        <v>4468</v>
      </c>
      <c r="V48" t="s">
        <v>4521</v>
      </c>
      <c r="W48" t="s">
        <v>4470</v>
      </c>
      <c r="X48" t="s">
        <v>4471</v>
      </c>
      <c r="Y48" t="s">
        <v>4468</v>
      </c>
      <c r="Z48" t="s">
        <v>1015</v>
      </c>
      <c r="AA48" t="s">
        <v>4522</v>
      </c>
      <c r="AB48" t="s">
        <v>4521</v>
      </c>
      <c r="AC48" t="s">
        <v>61</v>
      </c>
      <c r="AD48" t="s">
        <v>19</v>
      </c>
      <c r="AE48" t="s">
        <v>19</v>
      </c>
      <c r="AF48" t="s">
        <v>4550</v>
      </c>
      <c r="AG48" t="s">
        <v>4625</v>
      </c>
      <c r="AH48" t="s">
        <v>22</v>
      </c>
      <c r="AI48" t="s">
        <v>22</v>
      </c>
      <c r="AJ48" t="s">
        <v>22</v>
      </c>
      <c r="AK48" t="s">
        <v>22</v>
      </c>
    </row>
    <row r="49" spans="1:37" ht="11.25" customHeight="1">
      <c r="A49" t="s">
        <v>22</v>
      </c>
      <c r="B49" t="s">
        <v>48</v>
      </c>
      <c r="C49" t="s">
        <v>50</v>
      </c>
      <c r="D49" t="s">
        <v>22</v>
      </c>
      <c r="E49" t="s">
        <v>4517</v>
      </c>
      <c r="F49" t="s">
        <v>1104</v>
      </c>
      <c r="G49" t="s">
        <v>99</v>
      </c>
      <c r="H49" t="s">
        <v>99</v>
      </c>
      <c r="I49" t="s">
        <v>100</v>
      </c>
      <c r="J49" t="s">
        <v>1059</v>
      </c>
      <c r="K49" t="s">
        <v>1060</v>
      </c>
      <c r="L49" t="s">
        <v>4626</v>
      </c>
      <c r="M49" t="s">
        <v>4627</v>
      </c>
      <c r="N49" t="s">
        <v>114</v>
      </c>
      <c r="O49" t="s">
        <v>4520</v>
      </c>
      <c r="P49" t="s">
        <v>4520</v>
      </c>
      <c r="Q49" t="s">
        <v>100</v>
      </c>
      <c r="R49" t="s">
        <v>1059</v>
      </c>
      <c r="S49" t="s">
        <v>1060</v>
      </c>
      <c r="T49" t="s">
        <v>4467</v>
      </c>
      <c r="U49" t="s">
        <v>4468</v>
      </c>
      <c r="V49" t="s">
        <v>4521</v>
      </c>
      <c r="W49" t="s">
        <v>4470</v>
      </c>
      <c r="X49" t="s">
        <v>4471</v>
      </c>
      <c r="Y49" t="s">
        <v>4468</v>
      </c>
      <c r="Z49" t="s">
        <v>1015</v>
      </c>
      <c r="AA49" t="s">
        <v>4522</v>
      </c>
      <c r="AB49" t="s">
        <v>4521</v>
      </c>
      <c r="AC49" t="s">
        <v>61</v>
      </c>
      <c r="AD49" t="s">
        <v>19</v>
      </c>
      <c r="AE49" t="s">
        <v>19</v>
      </c>
      <c r="AF49" t="s">
        <v>4628</v>
      </c>
      <c r="AG49" t="s">
        <v>4629</v>
      </c>
      <c r="AH49" t="s">
        <v>22</v>
      </c>
      <c r="AI49" t="s">
        <v>22</v>
      </c>
      <c r="AJ49" t="s">
        <v>22</v>
      </c>
      <c r="AK49" t="s">
        <v>22</v>
      </c>
    </row>
    <row r="50" spans="1:37" ht="11.25" customHeight="1">
      <c r="A50" t="s">
        <v>22</v>
      </c>
      <c r="B50" t="s">
        <v>48</v>
      </c>
      <c r="C50" t="s">
        <v>50</v>
      </c>
      <c r="D50" t="s">
        <v>22</v>
      </c>
      <c r="E50" t="s">
        <v>4517</v>
      </c>
      <c r="F50" t="s">
        <v>1104</v>
      </c>
      <c r="G50" t="s">
        <v>99</v>
      </c>
      <c r="H50" t="s">
        <v>99</v>
      </c>
      <c r="I50" t="s">
        <v>100</v>
      </c>
      <c r="J50" t="s">
        <v>1059</v>
      </c>
      <c r="K50" t="s">
        <v>1060</v>
      </c>
      <c r="L50" t="s">
        <v>4630</v>
      </c>
      <c r="M50" t="s">
        <v>1173</v>
      </c>
      <c r="N50" t="s">
        <v>114</v>
      </c>
      <c r="O50" t="s">
        <v>4520</v>
      </c>
      <c r="P50" t="s">
        <v>4520</v>
      </c>
      <c r="Q50" t="s">
        <v>100</v>
      </c>
      <c r="R50" t="s">
        <v>1059</v>
      </c>
      <c r="S50" t="s">
        <v>1060</v>
      </c>
      <c r="T50" t="s">
        <v>4467</v>
      </c>
      <c r="U50" t="s">
        <v>4527</v>
      </c>
      <c r="V50" t="s">
        <v>4528</v>
      </c>
      <c r="W50" t="s">
        <v>4470</v>
      </c>
      <c r="X50" t="s">
        <v>4529</v>
      </c>
      <c r="Y50" t="s">
        <v>4527</v>
      </c>
      <c r="Z50" t="s">
        <v>4530</v>
      </c>
      <c r="AA50" t="s">
        <v>4531</v>
      </c>
      <c r="AB50" t="s">
        <v>4528</v>
      </c>
      <c r="AC50" t="s">
        <v>61</v>
      </c>
      <c r="AD50" t="s">
        <v>19</v>
      </c>
      <c r="AE50" t="s">
        <v>19</v>
      </c>
      <c r="AF50" t="s">
        <v>4532</v>
      </c>
      <c r="AG50" t="s">
        <v>4631</v>
      </c>
      <c r="AH50" t="s">
        <v>22</v>
      </c>
      <c r="AI50" t="s">
        <v>22</v>
      </c>
      <c r="AJ50" t="s">
        <v>22</v>
      </c>
      <c r="AK50" t="s">
        <v>22</v>
      </c>
    </row>
    <row r="51" spans="1:37" ht="11.25" customHeight="1">
      <c r="A51" t="s">
        <v>22</v>
      </c>
      <c r="B51" t="s">
        <v>48</v>
      </c>
      <c r="C51" t="s">
        <v>50</v>
      </c>
      <c r="D51" t="s">
        <v>22</v>
      </c>
      <c r="E51" t="s">
        <v>4517</v>
      </c>
      <c r="F51" t="s">
        <v>1104</v>
      </c>
      <c r="G51" t="s">
        <v>99</v>
      </c>
      <c r="H51" t="s">
        <v>99</v>
      </c>
      <c r="I51" t="s">
        <v>100</v>
      </c>
      <c r="J51" t="s">
        <v>1059</v>
      </c>
      <c r="K51" t="s">
        <v>1060</v>
      </c>
      <c r="L51" t="s">
        <v>4632</v>
      </c>
      <c r="M51" t="s">
        <v>4549</v>
      </c>
      <c r="N51" t="s">
        <v>114</v>
      </c>
      <c r="O51" t="s">
        <v>4520</v>
      </c>
      <c r="P51" t="s">
        <v>4520</v>
      </c>
      <c r="Q51" t="s">
        <v>100</v>
      </c>
      <c r="R51" t="s">
        <v>1059</v>
      </c>
      <c r="S51" t="s">
        <v>1060</v>
      </c>
      <c r="T51" t="s">
        <v>4467</v>
      </c>
      <c r="U51" t="s">
        <v>4468</v>
      </c>
      <c r="V51" t="s">
        <v>4521</v>
      </c>
      <c r="W51" t="s">
        <v>4470</v>
      </c>
      <c r="X51" t="s">
        <v>4471</v>
      </c>
      <c r="Y51" t="s">
        <v>4468</v>
      </c>
      <c r="Z51" t="s">
        <v>1015</v>
      </c>
      <c r="AA51" t="s">
        <v>4522</v>
      </c>
      <c r="AB51" t="s">
        <v>4521</v>
      </c>
      <c r="AC51" t="s">
        <v>61</v>
      </c>
      <c r="AD51" t="s">
        <v>19</v>
      </c>
      <c r="AE51" t="s">
        <v>19</v>
      </c>
      <c r="AF51" t="s">
        <v>4523</v>
      </c>
      <c r="AG51" t="s">
        <v>4633</v>
      </c>
      <c r="AH51" t="s">
        <v>22</v>
      </c>
      <c r="AI51" t="s">
        <v>22</v>
      </c>
      <c r="AJ51" t="s">
        <v>22</v>
      </c>
      <c r="AK51" t="s">
        <v>22</v>
      </c>
    </row>
    <row r="52" spans="1:37" ht="11.25" customHeight="1">
      <c r="A52" t="s">
        <v>22</v>
      </c>
      <c r="B52" t="s">
        <v>48</v>
      </c>
      <c r="C52" t="s">
        <v>50</v>
      </c>
      <c r="D52" t="s">
        <v>22</v>
      </c>
      <c r="E52" t="s">
        <v>4517</v>
      </c>
      <c r="F52" t="s">
        <v>1104</v>
      </c>
      <c r="G52" t="s">
        <v>99</v>
      </c>
      <c r="H52" t="s">
        <v>99</v>
      </c>
      <c r="I52" t="s">
        <v>100</v>
      </c>
      <c r="J52" t="s">
        <v>1059</v>
      </c>
      <c r="K52" t="s">
        <v>1060</v>
      </c>
      <c r="L52" t="s">
        <v>4634</v>
      </c>
      <c r="M52" t="s">
        <v>4635</v>
      </c>
      <c r="N52" t="s">
        <v>114</v>
      </c>
      <c r="O52" t="s">
        <v>4520</v>
      </c>
      <c r="P52" t="s">
        <v>4520</v>
      </c>
      <c r="Q52" t="s">
        <v>100</v>
      </c>
      <c r="R52" t="s">
        <v>1059</v>
      </c>
      <c r="S52" t="s">
        <v>1060</v>
      </c>
      <c r="T52" t="s">
        <v>4467</v>
      </c>
      <c r="U52" t="s">
        <v>4468</v>
      </c>
      <c r="V52" t="s">
        <v>4521</v>
      </c>
      <c r="W52" t="s">
        <v>4470</v>
      </c>
      <c r="X52" t="s">
        <v>4471</v>
      </c>
      <c r="Y52" t="s">
        <v>4468</v>
      </c>
      <c r="Z52" t="s">
        <v>1015</v>
      </c>
      <c r="AA52" t="s">
        <v>4522</v>
      </c>
      <c r="AB52" t="s">
        <v>4521</v>
      </c>
      <c r="AC52" t="s">
        <v>61</v>
      </c>
      <c r="AD52" t="s">
        <v>19</v>
      </c>
      <c r="AE52" t="s">
        <v>19</v>
      </c>
      <c r="AF52" t="s">
        <v>4636</v>
      </c>
      <c r="AG52" t="s">
        <v>4637</v>
      </c>
      <c r="AH52" t="s">
        <v>22</v>
      </c>
      <c r="AI52" t="s">
        <v>22</v>
      </c>
      <c r="AJ52" t="s">
        <v>22</v>
      </c>
      <c r="AK52" t="s">
        <v>22</v>
      </c>
    </row>
    <row r="53" spans="1:37" ht="11.25" customHeight="1">
      <c r="A53" t="s">
        <v>22</v>
      </c>
      <c r="B53" t="s">
        <v>48</v>
      </c>
      <c r="C53" t="s">
        <v>50</v>
      </c>
      <c r="D53" t="s">
        <v>22</v>
      </c>
      <c r="E53" t="s">
        <v>4517</v>
      </c>
      <c r="F53" t="s">
        <v>1104</v>
      </c>
      <c r="G53" t="s">
        <v>99</v>
      </c>
      <c r="H53" t="s">
        <v>99</v>
      </c>
      <c r="I53" t="s">
        <v>100</v>
      </c>
      <c r="J53" t="s">
        <v>1059</v>
      </c>
      <c r="K53" t="s">
        <v>1060</v>
      </c>
      <c r="L53" t="s">
        <v>4638</v>
      </c>
      <c r="M53" t="s">
        <v>4639</v>
      </c>
      <c r="N53" t="s">
        <v>114</v>
      </c>
      <c r="O53" t="s">
        <v>4520</v>
      </c>
      <c r="P53" t="s">
        <v>4520</v>
      </c>
      <c r="Q53" t="s">
        <v>100</v>
      </c>
      <c r="R53" t="s">
        <v>1059</v>
      </c>
      <c r="S53" t="s">
        <v>1060</v>
      </c>
      <c r="T53" t="s">
        <v>4467</v>
      </c>
      <c r="U53" t="s">
        <v>4468</v>
      </c>
      <c r="V53" t="s">
        <v>4521</v>
      </c>
      <c r="W53" t="s">
        <v>4470</v>
      </c>
      <c r="X53" t="s">
        <v>4471</v>
      </c>
      <c r="Y53" t="s">
        <v>4468</v>
      </c>
      <c r="Z53" t="s">
        <v>1015</v>
      </c>
      <c r="AA53" t="s">
        <v>4522</v>
      </c>
      <c r="AB53" t="s">
        <v>4521</v>
      </c>
      <c r="AC53" t="s">
        <v>61</v>
      </c>
      <c r="AD53" t="s">
        <v>19</v>
      </c>
      <c r="AE53" t="s">
        <v>19</v>
      </c>
      <c r="AF53" t="s">
        <v>4560</v>
      </c>
      <c r="AG53" t="s">
        <v>4640</v>
      </c>
      <c r="AH53" t="s">
        <v>22</v>
      </c>
      <c r="AI53" t="s">
        <v>22</v>
      </c>
      <c r="AJ53" t="s">
        <v>22</v>
      </c>
      <c r="AK53" t="s">
        <v>22</v>
      </c>
    </row>
    <row r="54" spans="1:37" ht="11.25" customHeight="1">
      <c r="A54" t="s">
        <v>22</v>
      </c>
      <c r="B54" t="s">
        <v>48</v>
      </c>
      <c r="C54" t="s">
        <v>50</v>
      </c>
      <c r="D54" t="s">
        <v>22</v>
      </c>
      <c r="E54" t="s">
        <v>4517</v>
      </c>
      <c r="F54" t="s">
        <v>1104</v>
      </c>
      <c r="G54" t="s">
        <v>99</v>
      </c>
      <c r="H54" t="s">
        <v>99</v>
      </c>
      <c r="I54" t="s">
        <v>100</v>
      </c>
      <c r="J54" t="s">
        <v>1059</v>
      </c>
      <c r="K54" t="s">
        <v>1060</v>
      </c>
      <c r="L54" t="s">
        <v>4641</v>
      </c>
      <c r="M54" t="s">
        <v>4642</v>
      </c>
      <c r="N54" t="s">
        <v>114</v>
      </c>
      <c r="O54" t="s">
        <v>4520</v>
      </c>
      <c r="P54" t="s">
        <v>4520</v>
      </c>
      <c r="Q54" t="s">
        <v>100</v>
      </c>
      <c r="R54" t="s">
        <v>1059</v>
      </c>
      <c r="S54" t="s">
        <v>1060</v>
      </c>
      <c r="T54" t="s">
        <v>4467</v>
      </c>
      <c r="U54" t="s">
        <v>4468</v>
      </c>
      <c r="V54" t="s">
        <v>4521</v>
      </c>
      <c r="W54" t="s">
        <v>4470</v>
      </c>
      <c r="X54" t="s">
        <v>4471</v>
      </c>
      <c r="Y54" t="s">
        <v>4468</v>
      </c>
      <c r="Z54" t="s">
        <v>1015</v>
      </c>
      <c r="AA54" t="s">
        <v>4522</v>
      </c>
      <c r="AB54" t="s">
        <v>4521</v>
      </c>
      <c r="AC54" t="s">
        <v>61</v>
      </c>
      <c r="AD54" t="s">
        <v>19</v>
      </c>
      <c r="AE54" t="s">
        <v>19</v>
      </c>
      <c r="AF54" t="s">
        <v>4523</v>
      </c>
      <c r="AG54" t="s">
        <v>4643</v>
      </c>
      <c r="AH54" t="s">
        <v>22</v>
      </c>
      <c r="AI54" t="s">
        <v>22</v>
      </c>
      <c r="AJ54" t="s">
        <v>22</v>
      </c>
      <c r="AK54" t="s">
        <v>22</v>
      </c>
    </row>
    <row r="55" spans="1:37" ht="11.25" customHeight="1">
      <c r="A55" t="s">
        <v>22</v>
      </c>
      <c r="B55" t="s">
        <v>48</v>
      </c>
      <c r="C55" t="s">
        <v>50</v>
      </c>
      <c r="D55" t="s">
        <v>22</v>
      </c>
      <c r="E55" t="s">
        <v>4517</v>
      </c>
      <c r="F55" t="s">
        <v>1104</v>
      </c>
      <c r="G55" t="s">
        <v>99</v>
      </c>
      <c r="H55" t="s">
        <v>99</v>
      </c>
      <c r="I55" t="s">
        <v>100</v>
      </c>
      <c r="J55" t="s">
        <v>1059</v>
      </c>
      <c r="K55" t="s">
        <v>1060</v>
      </c>
      <c r="L55" t="s">
        <v>4581</v>
      </c>
      <c r="M55" t="s">
        <v>4644</v>
      </c>
      <c r="N55" t="s">
        <v>114</v>
      </c>
      <c r="O55" t="s">
        <v>4520</v>
      </c>
      <c r="P55" t="s">
        <v>4520</v>
      </c>
      <c r="Q55" t="s">
        <v>100</v>
      </c>
      <c r="R55" t="s">
        <v>1059</v>
      </c>
      <c r="S55" t="s">
        <v>1060</v>
      </c>
      <c r="T55" t="s">
        <v>4467</v>
      </c>
      <c r="U55" t="s">
        <v>4468</v>
      </c>
      <c r="V55" t="s">
        <v>4521</v>
      </c>
      <c r="W55" t="s">
        <v>4470</v>
      </c>
      <c r="X55" t="s">
        <v>4471</v>
      </c>
      <c r="Y55" t="s">
        <v>4468</v>
      </c>
      <c r="Z55" t="s">
        <v>1015</v>
      </c>
      <c r="AA55" t="s">
        <v>4522</v>
      </c>
      <c r="AB55" t="s">
        <v>4521</v>
      </c>
      <c r="AC55" t="s">
        <v>61</v>
      </c>
      <c r="AD55" t="s">
        <v>19</v>
      </c>
      <c r="AE55" t="s">
        <v>19</v>
      </c>
      <c r="AF55" t="s">
        <v>1774</v>
      </c>
      <c r="AG55" t="s">
        <v>4645</v>
      </c>
      <c r="AH55" t="s">
        <v>22</v>
      </c>
      <c r="AI55" t="s">
        <v>22</v>
      </c>
      <c r="AJ55" t="s">
        <v>22</v>
      </c>
      <c r="AK55" t="s">
        <v>22</v>
      </c>
    </row>
    <row r="56" spans="1:37" ht="11.25" customHeight="1">
      <c r="A56" t="s">
        <v>22</v>
      </c>
      <c r="B56" t="s">
        <v>48</v>
      </c>
      <c r="C56" t="s">
        <v>50</v>
      </c>
      <c r="D56" t="s">
        <v>22</v>
      </c>
      <c r="E56" t="s">
        <v>4517</v>
      </c>
      <c r="F56" t="s">
        <v>1104</v>
      </c>
      <c r="G56" t="s">
        <v>99</v>
      </c>
      <c r="H56" t="s">
        <v>99</v>
      </c>
      <c r="I56" t="s">
        <v>100</v>
      </c>
      <c r="J56" t="s">
        <v>1059</v>
      </c>
      <c r="K56" t="s">
        <v>1060</v>
      </c>
      <c r="L56" t="s">
        <v>4646</v>
      </c>
      <c r="M56" t="s">
        <v>4647</v>
      </c>
      <c r="N56" t="s">
        <v>114</v>
      </c>
      <c r="O56" t="s">
        <v>4520</v>
      </c>
      <c r="P56" t="s">
        <v>4520</v>
      </c>
      <c r="Q56" t="s">
        <v>100</v>
      </c>
      <c r="R56" t="s">
        <v>1059</v>
      </c>
      <c r="S56" t="s">
        <v>1060</v>
      </c>
      <c r="T56" t="s">
        <v>4467</v>
      </c>
      <c r="U56" t="s">
        <v>4468</v>
      </c>
      <c r="V56" t="s">
        <v>4521</v>
      </c>
      <c r="W56" t="s">
        <v>4470</v>
      </c>
      <c r="X56" t="s">
        <v>4471</v>
      </c>
      <c r="Y56" t="s">
        <v>4468</v>
      </c>
      <c r="Z56" t="s">
        <v>1015</v>
      </c>
      <c r="AA56" t="s">
        <v>4522</v>
      </c>
      <c r="AB56" t="s">
        <v>4521</v>
      </c>
      <c r="AC56" t="s">
        <v>61</v>
      </c>
      <c r="AD56" t="s">
        <v>19</v>
      </c>
      <c r="AE56" t="s">
        <v>19</v>
      </c>
      <c r="AF56" t="s">
        <v>4648</v>
      </c>
      <c r="AG56" t="s">
        <v>4649</v>
      </c>
      <c r="AH56" t="s">
        <v>22</v>
      </c>
      <c r="AI56" t="s">
        <v>22</v>
      </c>
      <c r="AJ56" t="s">
        <v>22</v>
      </c>
      <c r="AK56" t="s">
        <v>22</v>
      </c>
    </row>
    <row r="57" spans="1:37" ht="11.25" customHeight="1">
      <c r="A57" t="s">
        <v>22</v>
      </c>
      <c r="B57" t="s">
        <v>48</v>
      </c>
      <c r="C57" t="s">
        <v>50</v>
      </c>
      <c r="D57" t="s">
        <v>22</v>
      </c>
      <c r="E57" t="s">
        <v>4517</v>
      </c>
      <c r="F57" t="s">
        <v>1104</v>
      </c>
      <c r="G57" t="s">
        <v>99</v>
      </c>
      <c r="H57" t="s">
        <v>99</v>
      </c>
      <c r="I57" t="s">
        <v>100</v>
      </c>
      <c r="J57" t="s">
        <v>1059</v>
      </c>
      <c r="K57" t="s">
        <v>1060</v>
      </c>
      <c r="L57" t="s">
        <v>4630</v>
      </c>
      <c r="M57" t="s">
        <v>1168</v>
      </c>
      <c r="N57" t="s">
        <v>114</v>
      </c>
      <c r="O57" t="s">
        <v>4520</v>
      </c>
      <c r="P57" t="s">
        <v>4520</v>
      </c>
      <c r="Q57" t="s">
        <v>100</v>
      </c>
      <c r="R57" t="s">
        <v>1059</v>
      </c>
      <c r="S57" t="s">
        <v>1060</v>
      </c>
      <c r="T57" t="s">
        <v>4467</v>
      </c>
      <c r="U57" t="s">
        <v>4527</v>
      </c>
      <c r="V57" t="s">
        <v>4528</v>
      </c>
      <c r="W57" t="s">
        <v>4470</v>
      </c>
      <c r="X57" t="s">
        <v>4529</v>
      </c>
      <c r="Y57" t="s">
        <v>4527</v>
      </c>
      <c r="Z57" t="s">
        <v>4530</v>
      </c>
      <c r="AA57" t="s">
        <v>4531</v>
      </c>
      <c r="AB57" t="s">
        <v>4528</v>
      </c>
      <c r="AC57" t="s">
        <v>61</v>
      </c>
      <c r="AD57" t="s">
        <v>19</v>
      </c>
      <c r="AE57" t="s">
        <v>19</v>
      </c>
      <c r="AF57" t="s">
        <v>1166</v>
      </c>
      <c r="AG57" t="s">
        <v>4650</v>
      </c>
      <c r="AH57" t="s">
        <v>22</v>
      </c>
      <c r="AI57" t="s">
        <v>22</v>
      </c>
      <c r="AJ57" t="s">
        <v>22</v>
      </c>
      <c r="AK57" t="s">
        <v>22</v>
      </c>
    </row>
    <row r="58" spans="1:37" ht="11.25" customHeight="1">
      <c r="A58" t="s">
        <v>22</v>
      </c>
      <c r="B58" t="s">
        <v>48</v>
      </c>
      <c r="C58" t="s">
        <v>50</v>
      </c>
      <c r="D58" t="s">
        <v>22</v>
      </c>
      <c r="E58" t="s">
        <v>4517</v>
      </c>
      <c r="F58" t="s">
        <v>1104</v>
      </c>
      <c r="G58" t="s">
        <v>99</v>
      </c>
      <c r="H58" t="s">
        <v>99</v>
      </c>
      <c r="I58" t="s">
        <v>100</v>
      </c>
      <c r="J58" t="s">
        <v>1059</v>
      </c>
      <c r="K58" t="s">
        <v>1060</v>
      </c>
      <c r="L58" t="s">
        <v>4651</v>
      </c>
      <c r="M58" t="s">
        <v>4652</v>
      </c>
      <c r="N58" t="s">
        <v>114</v>
      </c>
      <c r="O58" t="s">
        <v>4520</v>
      </c>
      <c r="P58" t="s">
        <v>4520</v>
      </c>
      <c r="Q58" t="s">
        <v>100</v>
      </c>
      <c r="R58" t="s">
        <v>1059</v>
      </c>
      <c r="S58" t="s">
        <v>1060</v>
      </c>
      <c r="T58" t="s">
        <v>4467</v>
      </c>
      <c r="U58" t="s">
        <v>4468</v>
      </c>
      <c r="V58" t="s">
        <v>4521</v>
      </c>
      <c r="W58" t="s">
        <v>4470</v>
      </c>
      <c r="X58" t="s">
        <v>4471</v>
      </c>
      <c r="Y58" t="s">
        <v>4468</v>
      </c>
      <c r="Z58" t="s">
        <v>1015</v>
      </c>
      <c r="AA58" t="s">
        <v>4522</v>
      </c>
      <c r="AB58" t="s">
        <v>4521</v>
      </c>
      <c r="AC58" t="s">
        <v>61</v>
      </c>
      <c r="AD58" t="s">
        <v>19</v>
      </c>
      <c r="AE58" t="s">
        <v>19</v>
      </c>
      <c r="AF58" t="s">
        <v>4532</v>
      </c>
      <c r="AG58" t="s">
        <v>4653</v>
      </c>
      <c r="AH58" t="s">
        <v>22</v>
      </c>
      <c r="AI58" t="s">
        <v>22</v>
      </c>
      <c r="AJ58" t="s">
        <v>22</v>
      </c>
      <c r="AK58" t="s">
        <v>22</v>
      </c>
    </row>
    <row r="59" spans="1:37" ht="11.25" customHeight="1">
      <c r="A59" t="s">
        <v>22</v>
      </c>
      <c r="B59" t="s">
        <v>48</v>
      </c>
      <c r="C59" t="s">
        <v>50</v>
      </c>
      <c r="D59" t="s">
        <v>22</v>
      </c>
      <c r="E59" t="s">
        <v>4517</v>
      </c>
      <c r="F59" t="s">
        <v>1104</v>
      </c>
      <c r="G59" t="s">
        <v>99</v>
      </c>
      <c r="H59" t="s">
        <v>99</v>
      </c>
      <c r="I59" t="s">
        <v>100</v>
      </c>
      <c r="J59" t="s">
        <v>1059</v>
      </c>
      <c r="K59" t="s">
        <v>1060</v>
      </c>
      <c r="L59" t="s">
        <v>4654</v>
      </c>
      <c r="M59" t="s">
        <v>4655</v>
      </c>
      <c r="N59" t="s">
        <v>114</v>
      </c>
      <c r="O59" t="s">
        <v>4520</v>
      </c>
      <c r="P59" t="s">
        <v>4520</v>
      </c>
      <c r="Q59" t="s">
        <v>100</v>
      </c>
      <c r="R59" t="s">
        <v>1059</v>
      </c>
      <c r="S59" t="s">
        <v>1060</v>
      </c>
      <c r="T59" t="s">
        <v>4467</v>
      </c>
      <c r="U59" t="s">
        <v>4468</v>
      </c>
      <c r="V59" t="s">
        <v>4521</v>
      </c>
      <c r="W59" t="s">
        <v>4470</v>
      </c>
      <c r="X59" t="s">
        <v>4471</v>
      </c>
      <c r="Y59" t="s">
        <v>4468</v>
      </c>
      <c r="Z59" t="s">
        <v>1015</v>
      </c>
      <c r="AA59" t="s">
        <v>4522</v>
      </c>
      <c r="AB59" t="s">
        <v>4521</v>
      </c>
      <c r="AC59" t="s">
        <v>61</v>
      </c>
      <c r="AD59" t="s">
        <v>19</v>
      </c>
      <c r="AE59" t="s">
        <v>19</v>
      </c>
      <c r="AF59" t="s">
        <v>4656</v>
      </c>
      <c r="AG59" t="s">
        <v>4657</v>
      </c>
      <c r="AH59" t="s">
        <v>22</v>
      </c>
      <c r="AI59" t="s">
        <v>22</v>
      </c>
      <c r="AJ59" t="s">
        <v>22</v>
      </c>
      <c r="AK59" t="s">
        <v>22</v>
      </c>
    </row>
    <row r="60" spans="1:37" ht="11.25" customHeight="1">
      <c r="A60" t="s">
        <v>22</v>
      </c>
      <c r="B60" t="s">
        <v>48</v>
      </c>
      <c r="C60" t="s">
        <v>50</v>
      </c>
      <c r="D60" t="s">
        <v>22</v>
      </c>
      <c r="E60" t="s">
        <v>4517</v>
      </c>
      <c r="F60" t="s">
        <v>1104</v>
      </c>
      <c r="G60" t="s">
        <v>99</v>
      </c>
      <c r="H60" t="s">
        <v>99</v>
      </c>
      <c r="I60" t="s">
        <v>100</v>
      </c>
      <c r="J60" t="s">
        <v>1059</v>
      </c>
      <c r="K60" t="s">
        <v>1060</v>
      </c>
      <c r="L60" t="s">
        <v>4658</v>
      </c>
      <c r="M60" t="s">
        <v>4659</v>
      </c>
      <c r="N60" t="s">
        <v>114</v>
      </c>
      <c r="O60" t="s">
        <v>4520</v>
      </c>
      <c r="P60" t="s">
        <v>4520</v>
      </c>
      <c r="Q60" t="s">
        <v>100</v>
      </c>
      <c r="R60" t="s">
        <v>1059</v>
      </c>
      <c r="S60" t="s">
        <v>1060</v>
      </c>
      <c r="T60" t="s">
        <v>4467</v>
      </c>
      <c r="U60" t="s">
        <v>4660</v>
      </c>
      <c r="V60" t="s">
        <v>4661</v>
      </c>
      <c r="W60" t="s">
        <v>4470</v>
      </c>
      <c r="X60" t="s">
        <v>4529</v>
      </c>
      <c r="Y60" t="s">
        <v>4662</v>
      </c>
      <c r="Z60" t="s">
        <v>4663</v>
      </c>
      <c r="AA60" t="s">
        <v>4664</v>
      </c>
      <c r="AB60" t="s">
        <v>4661</v>
      </c>
      <c r="AC60" t="s">
        <v>61</v>
      </c>
      <c r="AD60" t="s">
        <v>19</v>
      </c>
      <c r="AE60" t="s">
        <v>19</v>
      </c>
      <c r="AF60" t="s">
        <v>4532</v>
      </c>
      <c r="AG60" t="s">
        <v>4665</v>
      </c>
      <c r="AH60" t="s">
        <v>22</v>
      </c>
      <c r="AI60" t="s">
        <v>22</v>
      </c>
      <c r="AJ60" t="s">
        <v>22</v>
      </c>
      <c r="AK60" t="s">
        <v>22</v>
      </c>
    </row>
    <row r="61" spans="1:37" ht="11.25" customHeight="1">
      <c r="A61" t="s">
        <v>22</v>
      </c>
      <c r="B61" t="s">
        <v>48</v>
      </c>
      <c r="C61" t="s">
        <v>50</v>
      </c>
      <c r="D61" t="s">
        <v>22</v>
      </c>
      <c r="E61" t="s">
        <v>4517</v>
      </c>
      <c r="F61" t="s">
        <v>1104</v>
      </c>
      <c r="G61" t="s">
        <v>99</v>
      </c>
      <c r="H61" t="s">
        <v>99</v>
      </c>
      <c r="I61" t="s">
        <v>100</v>
      </c>
      <c r="J61" t="s">
        <v>1059</v>
      </c>
      <c r="K61" t="s">
        <v>1060</v>
      </c>
      <c r="L61" t="s">
        <v>4666</v>
      </c>
      <c r="M61" t="s">
        <v>4667</v>
      </c>
      <c r="N61" t="s">
        <v>114</v>
      </c>
      <c r="O61" t="s">
        <v>4520</v>
      </c>
      <c r="P61" t="s">
        <v>4520</v>
      </c>
      <c r="Q61" t="s">
        <v>100</v>
      </c>
      <c r="R61" t="s">
        <v>1059</v>
      </c>
      <c r="S61" t="s">
        <v>1060</v>
      </c>
      <c r="T61" t="s">
        <v>4606</v>
      </c>
      <c r="U61" t="s">
        <v>4527</v>
      </c>
      <c r="V61" t="s">
        <v>4668</v>
      </c>
      <c r="W61" t="s">
        <v>4470</v>
      </c>
      <c r="X61" t="s">
        <v>4529</v>
      </c>
      <c r="Y61" t="s">
        <v>4669</v>
      </c>
      <c r="Z61" t="s">
        <v>4559</v>
      </c>
      <c r="AA61" t="s">
        <v>4670</v>
      </c>
      <c r="AB61" t="s">
        <v>4668</v>
      </c>
      <c r="AC61" t="s">
        <v>61</v>
      </c>
      <c r="AD61" t="s">
        <v>19</v>
      </c>
      <c r="AE61" t="s">
        <v>19</v>
      </c>
      <c r="AF61" t="s">
        <v>1743</v>
      </c>
      <c r="AG61" t="s">
        <v>4671</v>
      </c>
      <c r="AH61" t="s">
        <v>22</v>
      </c>
      <c r="AI61" t="s">
        <v>22</v>
      </c>
      <c r="AJ61" t="s">
        <v>22</v>
      </c>
      <c r="AK61" t="s">
        <v>22</v>
      </c>
    </row>
    <row r="62" spans="1:37" ht="11.25" customHeight="1">
      <c r="A62" t="s">
        <v>22</v>
      </c>
      <c r="B62" t="s">
        <v>48</v>
      </c>
      <c r="C62" t="s">
        <v>50</v>
      </c>
      <c r="D62" t="s">
        <v>22</v>
      </c>
      <c r="E62" t="s">
        <v>4517</v>
      </c>
      <c r="F62" t="s">
        <v>1104</v>
      </c>
      <c r="G62" t="s">
        <v>99</v>
      </c>
      <c r="H62" t="s">
        <v>99</v>
      </c>
      <c r="I62" t="s">
        <v>100</v>
      </c>
      <c r="J62" t="s">
        <v>1059</v>
      </c>
      <c r="K62" t="s">
        <v>1060</v>
      </c>
      <c r="L62" t="s">
        <v>1070</v>
      </c>
      <c r="M62" t="s">
        <v>4672</v>
      </c>
      <c r="N62" t="s">
        <v>114</v>
      </c>
      <c r="O62" t="s">
        <v>4520</v>
      </c>
      <c r="P62" t="s">
        <v>4520</v>
      </c>
      <c r="Q62" t="s">
        <v>100</v>
      </c>
      <c r="R62" t="s">
        <v>1059</v>
      </c>
      <c r="S62" t="s">
        <v>1060</v>
      </c>
      <c r="T62" t="s">
        <v>4467</v>
      </c>
      <c r="U62" t="s">
        <v>4527</v>
      </c>
      <c r="V62" t="s">
        <v>4528</v>
      </c>
      <c r="W62" t="s">
        <v>4470</v>
      </c>
      <c r="X62" t="s">
        <v>4529</v>
      </c>
      <c r="Y62" t="s">
        <v>4527</v>
      </c>
      <c r="Z62" t="s">
        <v>4590</v>
      </c>
      <c r="AA62" t="s">
        <v>4531</v>
      </c>
      <c r="AB62" t="s">
        <v>4528</v>
      </c>
      <c r="AC62" t="s">
        <v>61</v>
      </c>
      <c r="AD62" t="s">
        <v>19</v>
      </c>
      <c r="AE62" t="s">
        <v>19</v>
      </c>
      <c r="AF62" t="s">
        <v>1166</v>
      </c>
      <c r="AG62" t="s">
        <v>4673</v>
      </c>
      <c r="AH62" t="s">
        <v>22</v>
      </c>
      <c r="AI62" t="s">
        <v>22</v>
      </c>
      <c r="AJ62" t="s">
        <v>22</v>
      </c>
      <c r="AK62" t="s">
        <v>22</v>
      </c>
    </row>
    <row r="63" spans="1:37" ht="11.25" customHeight="1">
      <c r="A63" t="s">
        <v>22</v>
      </c>
      <c r="B63" t="s">
        <v>48</v>
      </c>
      <c r="C63" t="s">
        <v>50</v>
      </c>
      <c r="D63" t="s">
        <v>22</v>
      </c>
      <c r="E63" t="s">
        <v>4517</v>
      </c>
      <c r="F63" t="s">
        <v>1104</v>
      </c>
      <c r="G63" t="s">
        <v>99</v>
      </c>
      <c r="H63" t="s">
        <v>99</v>
      </c>
      <c r="I63" t="s">
        <v>100</v>
      </c>
      <c r="J63" t="s">
        <v>1059</v>
      </c>
      <c r="K63" t="s">
        <v>1060</v>
      </c>
      <c r="L63" t="s">
        <v>4674</v>
      </c>
      <c r="M63" t="s">
        <v>4675</v>
      </c>
      <c r="N63" t="s">
        <v>114</v>
      </c>
      <c r="O63" t="s">
        <v>4520</v>
      </c>
      <c r="P63" t="s">
        <v>4520</v>
      </c>
      <c r="Q63" t="s">
        <v>100</v>
      </c>
      <c r="R63" t="s">
        <v>1059</v>
      </c>
      <c r="S63" t="s">
        <v>1060</v>
      </c>
      <c r="T63" t="s">
        <v>4467</v>
      </c>
      <c r="U63" t="s">
        <v>4468</v>
      </c>
      <c r="V63" t="s">
        <v>4521</v>
      </c>
      <c r="W63" t="s">
        <v>4470</v>
      </c>
      <c r="X63" t="s">
        <v>4471</v>
      </c>
      <c r="Y63" t="s">
        <v>4468</v>
      </c>
      <c r="Z63" t="s">
        <v>1015</v>
      </c>
      <c r="AA63" t="s">
        <v>4522</v>
      </c>
      <c r="AB63" t="s">
        <v>4521</v>
      </c>
      <c r="AC63" t="s">
        <v>61</v>
      </c>
      <c r="AD63" t="s">
        <v>19</v>
      </c>
      <c r="AE63" t="s">
        <v>19</v>
      </c>
      <c r="AF63" t="s">
        <v>4523</v>
      </c>
      <c r="AG63" t="s">
        <v>4676</v>
      </c>
      <c r="AH63" t="s">
        <v>22</v>
      </c>
      <c r="AI63" t="s">
        <v>22</v>
      </c>
      <c r="AJ63" t="s">
        <v>22</v>
      </c>
      <c r="AK63" t="s">
        <v>22</v>
      </c>
    </row>
    <row r="64" spans="1:37" ht="11.25" customHeight="1">
      <c r="A64" t="s">
        <v>22</v>
      </c>
      <c r="B64" t="s">
        <v>48</v>
      </c>
      <c r="C64" t="s">
        <v>50</v>
      </c>
      <c r="D64" t="s">
        <v>22</v>
      </c>
      <c r="E64" t="s">
        <v>4517</v>
      </c>
      <c r="F64" t="s">
        <v>1104</v>
      </c>
      <c r="G64" t="s">
        <v>99</v>
      </c>
      <c r="H64" t="s">
        <v>99</v>
      </c>
      <c r="I64" t="s">
        <v>100</v>
      </c>
      <c r="J64" t="s">
        <v>1059</v>
      </c>
      <c r="K64" t="s">
        <v>1060</v>
      </c>
      <c r="L64" t="s">
        <v>4677</v>
      </c>
      <c r="M64" t="s">
        <v>4678</v>
      </c>
      <c r="N64" t="s">
        <v>114</v>
      </c>
      <c r="O64" t="s">
        <v>4520</v>
      </c>
      <c r="P64" t="s">
        <v>4520</v>
      </c>
      <c r="Q64" t="s">
        <v>100</v>
      </c>
      <c r="R64" t="s">
        <v>1059</v>
      </c>
      <c r="S64" t="s">
        <v>1060</v>
      </c>
      <c r="T64" t="s">
        <v>4467</v>
      </c>
      <c r="U64" t="s">
        <v>4468</v>
      </c>
      <c r="V64" t="s">
        <v>4521</v>
      </c>
      <c r="W64" t="s">
        <v>4470</v>
      </c>
      <c r="X64" t="s">
        <v>4471</v>
      </c>
      <c r="Y64" t="s">
        <v>4468</v>
      </c>
      <c r="Z64" t="s">
        <v>1015</v>
      </c>
      <c r="AA64" t="s">
        <v>4522</v>
      </c>
      <c r="AB64" t="s">
        <v>4521</v>
      </c>
      <c r="AC64" t="s">
        <v>61</v>
      </c>
      <c r="AD64" t="s">
        <v>19</v>
      </c>
      <c r="AE64" t="s">
        <v>19</v>
      </c>
      <c r="AF64" t="s">
        <v>4679</v>
      </c>
      <c r="AG64" t="s">
        <v>4680</v>
      </c>
      <c r="AH64" t="s">
        <v>22</v>
      </c>
      <c r="AI64" t="s">
        <v>22</v>
      </c>
      <c r="AJ64" t="s">
        <v>22</v>
      </c>
      <c r="AK64" t="s">
        <v>22</v>
      </c>
    </row>
    <row r="65" spans="1:37" ht="11.25" customHeight="1">
      <c r="A65" t="s">
        <v>22</v>
      </c>
      <c r="B65" t="s">
        <v>48</v>
      </c>
      <c r="C65" t="s">
        <v>50</v>
      </c>
      <c r="D65" t="s">
        <v>22</v>
      </c>
      <c r="E65" t="s">
        <v>4517</v>
      </c>
      <c r="F65" t="s">
        <v>1104</v>
      </c>
      <c r="G65" t="s">
        <v>99</v>
      </c>
      <c r="H65" t="s">
        <v>99</v>
      </c>
      <c r="I65" t="s">
        <v>100</v>
      </c>
      <c r="J65" t="s">
        <v>1059</v>
      </c>
      <c r="K65" t="s">
        <v>1060</v>
      </c>
      <c r="L65" t="s">
        <v>4681</v>
      </c>
      <c r="M65" t="s">
        <v>1157</v>
      </c>
      <c r="N65" t="s">
        <v>114</v>
      </c>
      <c r="O65" t="s">
        <v>4520</v>
      </c>
      <c r="P65" t="s">
        <v>4520</v>
      </c>
      <c r="Q65" t="s">
        <v>100</v>
      </c>
      <c r="R65" t="s">
        <v>1059</v>
      </c>
      <c r="S65" t="s">
        <v>1060</v>
      </c>
      <c r="T65" t="s">
        <v>4467</v>
      </c>
      <c r="U65" t="s">
        <v>4468</v>
      </c>
      <c r="V65" t="s">
        <v>4521</v>
      </c>
      <c r="W65" t="s">
        <v>4470</v>
      </c>
      <c r="X65" t="s">
        <v>4471</v>
      </c>
      <c r="Y65" t="s">
        <v>4468</v>
      </c>
      <c r="Z65" t="s">
        <v>1015</v>
      </c>
      <c r="AA65" t="s">
        <v>4522</v>
      </c>
      <c r="AB65" t="s">
        <v>4521</v>
      </c>
      <c r="AC65" t="s">
        <v>61</v>
      </c>
      <c r="AD65" t="s">
        <v>19</v>
      </c>
      <c r="AE65" t="s">
        <v>19</v>
      </c>
      <c r="AF65" t="s">
        <v>4523</v>
      </c>
      <c r="AG65" t="s">
        <v>4682</v>
      </c>
      <c r="AH65" t="s">
        <v>22</v>
      </c>
      <c r="AI65" t="s">
        <v>22</v>
      </c>
      <c r="AJ65" t="s">
        <v>22</v>
      </c>
      <c r="AK65" t="s">
        <v>22</v>
      </c>
    </row>
    <row r="66" spans="1:37" ht="11.25" customHeight="1">
      <c r="A66" t="s">
        <v>22</v>
      </c>
      <c r="B66" t="s">
        <v>48</v>
      </c>
      <c r="C66" t="s">
        <v>50</v>
      </c>
      <c r="D66" t="s">
        <v>22</v>
      </c>
      <c r="E66" t="s">
        <v>4517</v>
      </c>
      <c r="F66" t="s">
        <v>1104</v>
      </c>
      <c r="G66" t="s">
        <v>99</v>
      </c>
      <c r="H66" t="s">
        <v>99</v>
      </c>
      <c r="I66" t="s">
        <v>100</v>
      </c>
      <c r="J66" t="s">
        <v>1059</v>
      </c>
      <c r="K66" t="s">
        <v>1060</v>
      </c>
      <c r="L66" t="s">
        <v>4683</v>
      </c>
      <c r="M66" t="s">
        <v>4684</v>
      </c>
      <c r="N66" t="s">
        <v>114</v>
      </c>
      <c r="O66" t="s">
        <v>4520</v>
      </c>
      <c r="P66" t="s">
        <v>4520</v>
      </c>
      <c r="Q66" t="s">
        <v>100</v>
      </c>
      <c r="R66" t="s">
        <v>1059</v>
      </c>
      <c r="S66" t="s">
        <v>1060</v>
      </c>
      <c r="T66" t="s">
        <v>4467</v>
      </c>
      <c r="U66" t="s">
        <v>4527</v>
      </c>
      <c r="V66" t="s">
        <v>4528</v>
      </c>
      <c r="W66" t="s">
        <v>4470</v>
      </c>
      <c r="X66" t="s">
        <v>4529</v>
      </c>
      <c r="Y66" t="s">
        <v>4527</v>
      </c>
      <c r="Z66" t="s">
        <v>4590</v>
      </c>
      <c r="AA66" t="s">
        <v>4531</v>
      </c>
      <c r="AB66" t="s">
        <v>4528</v>
      </c>
      <c r="AC66" t="s">
        <v>61</v>
      </c>
      <c r="AD66" t="s">
        <v>19</v>
      </c>
      <c r="AE66" t="s">
        <v>19</v>
      </c>
      <c r="AF66" t="s">
        <v>4532</v>
      </c>
      <c r="AG66" t="s">
        <v>4685</v>
      </c>
      <c r="AH66" t="s">
        <v>22</v>
      </c>
      <c r="AI66" t="s">
        <v>22</v>
      </c>
      <c r="AJ66" t="s">
        <v>22</v>
      </c>
      <c r="AK66" t="s">
        <v>22</v>
      </c>
    </row>
    <row r="67" spans="1:37" ht="11.25" customHeight="1">
      <c r="A67" t="s">
        <v>22</v>
      </c>
      <c r="B67" t="s">
        <v>48</v>
      </c>
      <c r="C67" t="s">
        <v>50</v>
      </c>
      <c r="D67" t="s">
        <v>22</v>
      </c>
      <c r="E67" t="s">
        <v>4517</v>
      </c>
      <c r="F67" t="s">
        <v>1104</v>
      </c>
      <c r="G67" t="s">
        <v>99</v>
      </c>
      <c r="H67" t="s">
        <v>99</v>
      </c>
      <c r="I67" t="s">
        <v>100</v>
      </c>
      <c r="J67" t="s">
        <v>1059</v>
      </c>
      <c r="K67" t="s">
        <v>1060</v>
      </c>
      <c r="L67" t="s">
        <v>4686</v>
      </c>
      <c r="M67" t="s">
        <v>4687</v>
      </c>
      <c r="N67" t="s">
        <v>114</v>
      </c>
      <c r="O67" t="s">
        <v>4520</v>
      </c>
      <c r="P67" t="s">
        <v>4520</v>
      </c>
      <c r="Q67" t="s">
        <v>100</v>
      </c>
      <c r="R67" t="s">
        <v>1059</v>
      </c>
      <c r="S67" t="s">
        <v>1060</v>
      </c>
      <c r="T67" t="s">
        <v>4467</v>
      </c>
      <c r="U67" t="s">
        <v>4468</v>
      </c>
      <c r="V67" t="s">
        <v>4521</v>
      </c>
      <c r="W67" t="s">
        <v>4470</v>
      </c>
      <c r="X67" t="s">
        <v>4471</v>
      </c>
      <c r="Y67" t="s">
        <v>4468</v>
      </c>
      <c r="Z67" t="s">
        <v>1015</v>
      </c>
      <c r="AA67" t="s">
        <v>4522</v>
      </c>
      <c r="AB67" t="s">
        <v>4521</v>
      </c>
      <c r="AC67" t="s">
        <v>61</v>
      </c>
      <c r="AD67" t="s">
        <v>19</v>
      </c>
      <c r="AE67" t="s">
        <v>19</v>
      </c>
      <c r="AF67" t="s">
        <v>4688</v>
      </c>
      <c r="AG67" t="s">
        <v>4689</v>
      </c>
      <c r="AH67" t="s">
        <v>22</v>
      </c>
      <c r="AI67" t="s">
        <v>22</v>
      </c>
      <c r="AJ67" t="s">
        <v>22</v>
      </c>
      <c r="AK67" t="s">
        <v>22</v>
      </c>
    </row>
    <row r="68" spans="1:37" ht="11.25" customHeight="1">
      <c r="A68" t="s">
        <v>22</v>
      </c>
      <c r="B68" t="s">
        <v>48</v>
      </c>
      <c r="C68" t="s">
        <v>50</v>
      </c>
      <c r="D68" t="s">
        <v>22</v>
      </c>
      <c r="E68" t="s">
        <v>4517</v>
      </c>
      <c r="F68" t="s">
        <v>1104</v>
      </c>
      <c r="G68" t="s">
        <v>99</v>
      </c>
      <c r="H68" t="s">
        <v>99</v>
      </c>
      <c r="I68" t="s">
        <v>100</v>
      </c>
      <c r="J68" t="s">
        <v>1059</v>
      </c>
      <c r="K68" t="s">
        <v>1060</v>
      </c>
      <c r="L68" t="s">
        <v>4690</v>
      </c>
      <c r="M68" t="s">
        <v>4691</v>
      </c>
      <c r="N68" t="s">
        <v>114</v>
      </c>
      <c r="O68" t="s">
        <v>4520</v>
      </c>
      <c r="P68" t="s">
        <v>4520</v>
      </c>
      <c r="Q68" t="s">
        <v>100</v>
      </c>
      <c r="R68" t="s">
        <v>1059</v>
      </c>
      <c r="S68" t="s">
        <v>1060</v>
      </c>
      <c r="T68" t="s">
        <v>4467</v>
      </c>
      <c r="U68" t="s">
        <v>4527</v>
      </c>
      <c r="V68" t="s">
        <v>4528</v>
      </c>
      <c r="W68" t="s">
        <v>4470</v>
      </c>
      <c r="X68" t="s">
        <v>4529</v>
      </c>
      <c r="Y68" t="s">
        <v>4527</v>
      </c>
      <c r="Z68" t="s">
        <v>4590</v>
      </c>
      <c r="AA68" t="s">
        <v>4531</v>
      </c>
      <c r="AB68" t="s">
        <v>4528</v>
      </c>
      <c r="AC68" t="s">
        <v>61</v>
      </c>
      <c r="AD68" t="s">
        <v>19</v>
      </c>
      <c r="AE68" t="s">
        <v>19</v>
      </c>
      <c r="AF68" t="s">
        <v>1823</v>
      </c>
      <c r="AG68" t="s">
        <v>4692</v>
      </c>
      <c r="AH68" t="s">
        <v>22</v>
      </c>
      <c r="AI68" t="s">
        <v>22</v>
      </c>
      <c r="AJ68" t="s">
        <v>22</v>
      </c>
      <c r="AK68" t="s">
        <v>22</v>
      </c>
    </row>
    <row r="69" spans="1:37" ht="11.25" customHeight="1">
      <c r="A69" t="s">
        <v>22</v>
      </c>
      <c r="B69" t="s">
        <v>48</v>
      </c>
      <c r="C69" t="s">
        <v>50</v>
      </c>
      <c r="D69" t="s">
        <v>22</v>
      </c>
      <c r="E69" t="s">
        <v>4517</v>
      </c>
      <c r="F69" t="s">
        <v>1104</v>
      </c>
      <c r="G69" t="s">
        <v>99</v>
      </c>
      <c r="H69" t="s">
        <v>99</v>
      </c>
      <c r="I69" t="s">
        <v>100</v>
      </c>
      <c r="J69" t="s">
        <v>1059</v>
      </c>
      <c r="K69" t="s">
        <v>1060</v>
      </c>
      <c r="L69" t="s">
        <v>4693</v>
      </c>
      <c r="M69" t="s">
        <v>4694</v>
      </c>
      <c r="N69" t="s">
        <v>114</v>
      </c>
      <c r="O69" t="s">
        <v>4520</v>
      </c>
      <c r="P69" t="s">
        <v>4520</v>
      </c>
      <c r="Q69" t="s">
        <v>100</v>
      </c>
      <c r="R69" t="s">
        <v>1059</v>
      </c>
      <c r="S69" t="s">
        <v>1060</v>
      </c>
      <c r="T69" t="s">
        <v>4467</v>
      </c>
      <c r="U69" t="s">
        <v>4468</v>
      </c>
      <c r="V69" t="s">
        <v>4521</v>
      </c>
      <c r="W69" t="s">
        <v>4470</v>
      </c>
      <c r="X69" t="s">
        <v>4471</v>
      </c>
      <c r="Y69" t="s">
        <v>4468</v>
      </c>
      <c r="Z69" t="s">
        <v>1015</v>
      </c>
      <c r="AA69" t="s">
        <v>4522</v>
      </c>
      <c r="AB69" t="s">
        <v>4521</v>
      </c>
      <c r="AC69" t="s">
        <v>61</v>
      </c>
      <c r="AD69" t="s">
        <v>19</v>
      </c>
      <c r="AE69" t="s">
        <v>19</v>
      </c>
      <c r="AF69" t="s">
        <v>4695</v>
      </c>
      <c r="AG69" t="s">
        <v>1112</v>
      </c>
      <c r="AH69" t="s">
        <v>22</v>
      </c>
      <c r="AI69" t="s">
        <v>22</v>
      </c>
      <c r="AJ69" t="s">
        <v>22</v>
      </c>
      <c r="AK69" t="s">
        <v>22</v>
      </c>
    </row>
    <row r="70" spans="1:37" ht="11.25" customHeight="1">
      <c r="A70" t="s">
        <v>22</v>
      </c>
      <c r="B70" t="s">
        <v>48</v>
      </c>
      <c r="C70" t="s">
        <v>50</v>
      </c>
      <c r="D70" t="s">
        <v>22</v>
      </c>
      <c r="E70" t="s">
        <v>4517</v>
      </c>
      <c r="F70" t="s">
        <v>1104</v>
      </c>
      <c r="G70" t="s">
        <v>99</v>
      </c>
      <c r="H70" t="s">
        <v>99</v>
      </c>
      <c r="I70" t="s">
        <v>100</v>
      </c>
      <c r="J70" t="s">
        <v>1059</v>
      </c>
      <c r="K70" t="s">
        <v>1060</v>
      </c>
      <c r="L70" t="s">
        <v>4696</v>
      </c>
      <c r="M70" t="s">
        <v>4675</v>
      </c>
      <c r="N70" t="s">
        <v>114</v>
      </c>
      <c r="O70" t="s">
        <v>4520</v>
      </c>
      <c r="P70" t="s">
        <v>4520</v>
      </c>
      <c r="Q70" t="s">
        <v>100</v>
      </c>
      <c r="R70" t="s">
        <v>1059</v>
      </c>
      <c r="S70" t="s">
        <v>1060</v>
      </c>
      <c r="T70" t="s">
        <v>4467</v>
      </c>
      <c r="U70" t="s">
        <v>4468</v>
      </c>
      <c r="V70" t="s">
        <v>4521</v>
      </c>
      <c r="W70" t="s">
        <v>4470</v>
      </c>
      <c r="X70" t="s">
        <v>4471</v>
      </c>
      <c r="Y70" t="s">
        <v>4468</v>
      </c>
      <c r="Z70" t="s">
        <v>1015</v>
      </c>
      <c r="AA70" t="s">
        <v>4522</v>
      </c>
      <c r="AB70" t="s">
        <v>4521</v>
      </c>
      <c r="AC70" t="s">
        <v>61</v>
      </c>
      <c r="AD70" t="s">
        <v>19</v>
      </c>
      <c r="AE70" t="s">
        <v>19</v>
      </c>
      <c r="AF70" t="s">
        <v>4697</v>
      </c>
      <c r="AG70" t="s">
        <v>4698</v>
      </c>
      <c r="AH70" t="s">
        <v>22</v>
      </c>
      <c r="AI70" t="s">
        <v>22</v>
      </c>
      <c r="AJ70" t="s">
        <v>22</v>
      </c>
      <c r="AK70" t="s">
        <v>22</v>
      </c>
    </row>
    <row r="71" spans="1:37" ht="11.25" customHeight="1">
      <c r="A71" t="s">
        <v>22</v>
      </c>
      <c r="B71" t="s">
        <v>48</v>
      </c>
      <c r="C71" t="s">
        <v>50</v>
      </c>
      <c r="D71" t="s">
        <v>22</v>
      </c>
      <c r="E71" t="s">
        <v>4517</v>
      </c>
      <c r="F71" t="s">
        <v>1104</v>
      </c>
      <c r="G71" t="s">
        <v>99</v>
      </c>
      <c r="H71" t="s">
        <v>99</v>
      </c>
      <c r="I71" t="s">
        <v>100</v>
      </c>
      <c r="J71" t="s">
        <v>1059</v>
      </c>
      <c r="K71" t="s">
        <v>1060</v>
      </c>
      <c r="L71" t="s">
        <v>4699</v>
      </c>
      <c r="M71" t="s">
        <v>4700</v>
      </c>
      <c r="N71" t="s">
        <v>114</v>
      </c>
      <c r="O71" t="s">
        <v>4520</v>
      </c>
      <c r="P71" t="s">
        <v>4520</v>
      </c>
      <c r="Q71" t="s">
        <v>100</v>
      </c>
      <c r="R71" t="s">
        <v>1059</v>
      </c>
      <c r="S71" t="s">
        <v>1060</v>
      </c>
      <c r="T71" t="s">
        <v>4467</v>
      </c>
      <c r="U71" t="s">
        <v>4527</v>
      </c>
      <c r="V71" t="s">
        <v>4528</v>
      </c>
      <c r="W71" t="s">
        <v>4470</v>
      </c>
      <c r="X71" t="s">
        <v>4529</v>
      </c>
      <c r="Y71" t="s">
        <v>4527</v>
      </c>
      <c r="Z71" t="s">
        <v>4590</v>
      </c>
      <c r="AA71" t="s">
        <v>4531</v>
      </c>
      <c r="AB71" t="s">
        <v>4528</v>
      </c>
      <c r="AC71" t="s">
        <v>61</v>
      </c>
      <c r="AD71" t="s">
        <v>19</v>
      </c>
      <c r="AE71" t="s">
        <v>19</v>
      </c>
      <c r="AF71" t="s">
        <v>4583</v>
      </c>
      <c r="AG71" t="s">
        <v>4701</v>
      </c>
      <c r="AH71" t="s">
        <v>22</v>
      </c>
      <c r="AI71" t="s">
        <v>22</v>
      </c>
      <c r="AJ71" t="s">
        <v>22</v>
      </c>
      <c r="AK71" t="s">
        <v>22</v>
      </c>
    </row>
    <row r="72" spans="1:37" ht="11.25" customHeight="1">
      <c r="A72" t="s">
        <v>22</v>
      </c>
      <c r="B72" t="s">
        <v>48</v>
      </c>
      <c r="C72" t="s">
        <v>50</v>
      </c>
      <c r="D72" t="s">
        <v>22</v>
      </c>
      <c r="E72" t="s">
        <v>4517</v>
      </c>
      <c r="F72" t="s">
        <v>1104</v>
      </c>
      <c r="G72" t="s">
        <v>99</v>
      </c>
      <c r="H72" t="s">
        <v>99</v>
      </c>
      <c r="I72" t="s">
        <v>100</v>
      </c>
      <c r="J72" t="s">
        <v>1059</v>
      </c>
      <c r="K72" t="s">
        <v>1060</v>
      </c>
      <c r="L72" t="s">
        <v>4537</v>
      </c>
      <c r="M72" t="s">
        <v>4702</v>
      </c>
      <c r="N72" t="s">
        <v>114</v>
      </c>
      <c r="O72" t="s">
        <v>4520</v>
      </c>
      <c r="P72" t="s">
        <v>4520</v>
      </c>
      <c r="Q72" t="s">
        <v>100</v>
      </c>
      <c r="R72" t="s">
        <v>1059</v>
      </c>
      <c r="S72" t="s">
        <v>1060</v>
      </c>
      <c r="T72" t="s">
        <v>4467</v>
      </c>
      <c r="U72" t="s">
        <v>4468</v>
      </c>
      <c r="V72" t="s">
        <v>4521</v>
      </c>
      <c r="W72" t="s">
        <v>4470</v>
      </c>
      <c r="X72" t="s">
        <v>4471</v>
      </c>
      <c r="Y72" t="s">
        <v>4468</v>
      </c>
      <c r="Z72" t="s">
        <v>1015</v>
      </c>
      <c r="AA72" t="s">
        <v>4522</v>
      </c>
      <c r="AB72" t="s">
        <v>4521</v>
      </c>
      <c r="AC72" t="s">
        <v>61</v>
      </c>
      <c r="AD72" t="s">
        <v>19</v>
      </c>
      <c r="AE72" t="s">
        <v>19</v>
      </c>
      <c r="AF72" t="s">
        <v>4523</v>
      </c>
      <c r="AG72" t="s">
        <v>4703</v>
      </c>
      <c r="AH72" t="s">
        <v>22</v>
      </c>
      <c r="AI72" t="s">
        <v>22</v>
      </c>
      <c r="AJ72" t="s">
        <v>22</v>
      </c>
      <c r="AK72" t="s">
        <v>22</v>
      </c>
    </row>
    <row r="73" spans="1:37" ht="11.25" customHeight="1">
      <c r="A73" t="s">
        <v>22</v>
      </c>
      <c r="B73" t="s">
        <v>48</v>
      </c>
      <c r="C73" t="s">
        <v>50</v>
      </c>
      <c r="D73" t="s">
        <v>22</v>
      </c>
      <c r="E73" t="s">
        <v>4517</v>
      </c>
      <c r="F73" t="s">
        <v>1104</v>
      </c>
      <c r="G73" t="s">
        <v>99</v>
      </c>
      <c r="H73" t="s">
        <v>99</v>
      </c>
      <c r="I73" t="s">
        <v>100</v>
      </c>
      <c r="J73" t="s">
        <v>1059</v>
      </c>
      <c r="K73" t="s">
        <v>1060</v>
      </c>
      <c r="L73" t="s">
        <v>4704</v>
      </c>
      <c r="M73" t="s">
        <v>4705</v>
      </c>
      <c r="N73" t="s">
        <v>114</v>
      </c>
      <c r="O73" t="s">
        <v>4520</v>
      </c>
      <c r="P73" t="s">
        <v>4520</v>
      </c>
      <c r="Q73" t="s">
        <v>100</v>
      </c>
      <c r="R73" t="s">
        <v>1059</v>
      </c>
      <c r="S73" t="s">
        <v>1060</v>
      </c>
      <c r="T73" t="s">
        <v>4467</v>
      </c>
      <c r="U73" t="s">
        <v>4468</v>
      </c>
      <c r="V73" t="s">
        <v>4521</v>
      </c>
      <c r="W73" t="s">
        <v>4470</v>
      </c>
      <c r="X73" t="s">
        <v>4471</v>
      </c>
      <c r="Y73" t="s">
        <v>4468</v>
      </c>
      <c r="Z73" t="s">
        <v>1015</v>
      </c>
      <c r="AA73" t="s">
        <v>4522</v>
      </c>
      <c r="AB73" t="s">
        <v>4521</v>
      </c>
      <c r="AC73" t="s">
        <v>61</v>
      </c>
      <c r="AD73" t="s">
        <v>19</v>
      </c>
      <c r="AE73" t="s">
        <v>19</v>
      </c>
      <c r="AF73" t="s">
        <v>1823</v>
      </c>
      <c r="AG73" t="s">
        <v>4706</v>
      </c>
      <c r="AH73" t="s">
        <v>22</v>
      </c>
      <c r="AI73" t="s">
        <v>22</v>
      </c>
      <c r="AJ73" t="s">
        <v>22</v>
      </c>
      <c r="AK73" t="s">
        <v>22</v>
      </c>
    </row>
    <row r="74" spans="1:37" ht="11.25" customHeight="1">
      <c r="A74" t="s">
        <v>22</v>
      </c>
      <c r="B74" t="s">
        <v>48</v>
      </c>
      <c r="C74" t="s">
        <v>50</v>
      </c>
      <c r="D74" t="s">
        <v>22</v>
      </c>
      <c r="E74" t="s">
        <v>4517</v>
      </c>
      <c r="F74" t="s">
        <v>1104</v>
      </c>
      <c r="G74" t="s">
        <v>99</v>
      </c>
      <c r="H74" t="s">
        <v>99</v>
      </c>
      <c r="I74" t="s">
        <v>100</v>
      </c>
      <c r="J74" t="s">
        <v>1059</v>
      </c>
      <c r="K74" t="s">
        <v>1060</v>
      </c>
      <c r="L74" t="s">
        <v>4707</v>
      </c>
      <c r="M74" t="s">
        <v>1770</v>
      </c>
      <c r="N74" t="s">
        <v>114</v>
      </c>
      <c r="O74" t="s">
        <v>4520</v>
      </c>
      <c r="P74" t="s">
        <v>4520</v>
      </c>
      <c r="Q74" t="s">
        <v>100</v>
      </c>
      <c r="R74" t="s">
        <v>1059</v>
      </c>
      <c r="S74" t="s">
        <v>1060</v>
      </c>
      <c r="T74" t="s">
        <v>4467</v>
      </c>
      <c r="U74" t="s">
        <v>4468</v>
      </c>
      <c r="V74" t="s">
        <v>4521</v>
      </c>
      <c r="W74" t="s">
        <v>4470</v>
      </c>
      <c r="X74" t="s">
        <v>4471</v>
      </c>
      <c r="Y74" t="s">
        <v>4468</v>
      </c>
      <c r="Z74" t="s">
        <v>1015</v>
      </c>
      <c r="AA74" t="s">
        <v>4522</v>
      </c>
      <c r="AB74" t="s">
        <v>4521</v>
      </c>
      <c r="AC74" t="s">
        <v>61</v>
      </c>
      <c r="AD74" t="s">
        <v>19</v>
      </c>
      <c r="AE74" t="s">
        <v>19</v>
      </c>
      <c r="AF74" t="s">
        <v>4523</v>
      </c>
      <c r="AG74" t="s">
        <v>4708</v>
      </c>
      <c r="AH74" t="s">
        <v>22</v>
      </c>
      <c r="AI74" t="s">
        <v>22</v>
      </c>
      <c r="AJ74" t="s">
        <v>22</v>
      </c>
      <c r="AK74" t="s">
        <v>22</v>
      </c>
    </row>
    <row r="75" spans="1:37" ht="11.25" customHeight="1">
      <c r="A75" t="s">
        <v>22</v>
      </c>
      <c r="B75" t="s">
        <v>48</v>
      </c>
      <c r="C75" t="s">
        <v>50</v>
      </c>
      <c r="D75" t="s">
        <v>22</v>
      </c>
      <c r="E75" t="s">
        <v>4517</v>
      </c>
      <c r="F75" t="s">
        <v>1104</v>
      </c>
      <c r="G75" t="s">
        <v>99</v>
      </c>
      <c r="H75" t="s">
        <v>99</v>
      </c>
      <c r="I75" t="s">
        <v>100</v>
      </c>
      <c r="J75" t="s">
        <v>1059</v>
      </c>
      <c r="K75" t="s">
        <v>1060</v>
      </c>
      <c r="L75" t="s">
        <v>4677</v>
      </c>
      <c r="M75" t="s">
        <v>4709</v>
      </c>
      <c r="N75" t="s">
        <v>114</v>
      </c>
      <c r="O75" t="s">
        <v>4520</v>
      </c>
      <c r="P75" t="s">
        <v>4520</v>
      </c>
      <c r="Q75" t="s">
        <v>100</v>
      </c>
      <c r="R75" t="s">
        <v>1059</v>
      </c>
      <c r="S75" t="s">
        <v>1060</v>
      </c>
      <c r="T75" t="s">
        <v>4467</v>
      </c>
      <c r="U75" t="s">
        <v>4468</v>
      </c>
      <c r="V75" t="s">
        <v>4521</v>
      </c>
      <c r="W75" t="s">
        <v>4470</v>
      </c>
      <c r="X75" t="s">
        <v>4471</v>
      </c>
      <c r="Y75" t="s">
        <v>4468</v>
      </c>
      <c r="Z75" t="s">
        <v>1015</v>
      </c>
      <c r="AA75" t="s">
        <v>4522</v>
      </c>
      <c r="AB75" t="s">
        <v>4521</v>
      </c>
      <c r="AC75" t="s">
        <v>61</v>
      </c>
      <c r="AD75" t="s">
        <v>19</v>
      </c>
      <c r="AE75" t="s">
        <v>19</v>
      </c>
      <c r="AF75" t="s">
        <v>4523</v>
      </c>
      <c r="AG75" t="s">
        <v>4710</v>
      </c>
      <c r="AH75" t="s">
        <v>22</v>
      </c>
      <c r="AI75" t="s">
        <v>22</v>
      </c>
      <c r="AJ75" t="s">
        <v>22</v>
      </c>
      <c r="AK75" t="s">
        <v>22</v>
      </c>
    </row>
    <row r="76" spans="1:37" ht="11.25" customHeight="1">
      <c r="A76" t="s">
        <v>22</v>
      </c>
      <c r="B76" t="s">
        <v>48</v>
      </c>
      <c r="C76" t="s">
        <v>50</v>
      </c>
      <c r="D76" t="s">
        <v>22</v>
      </c>
      <c r="E76" t="s">
        <v>4517</v>
      </c>
      <c r="F76" t="s">
        <v>1104</v>
      </c>
      <c r="G76" t="s">
        <v>99</v>
      </c>
      <c r="H76" t="s">
        <v>99</v>
      </c>
      <c r="I76" t="s">
        <v>100</v>
      </c>
      <c r="J76" t="s">
        <v>1059</v>
      </c>
      <c r="K76" t="s">
        <v>1060</v>
      </c>
      <c r="L76" t="s">
        <v>4711</v>
      </c>
      <c r="M76" t="s">
        <v>4712</v>
      </c>
      <c r="N76" t="s">
        <v>114</v>
      </c>
      <c r="O76" t="s">
        <v>4520</v>
      </c>
      <c r="P76" t="s">
        <v>4520</v>
      </c>
      <c r="Q76" t="s">
        <v>100</v>
      </c>
      <c r="R76" t="s">
        <v>1059</v>
      </c>
      <c r="S76" t="s">
        <v>1060</v>
      </c>
      <c r="T76" t="s">
        <v>4467</v>
      </c>
      <c r="U76" t="s">
        <v>4468</v>
      </c>
      <c r="V76" t="s">
        <v>4521</v>
      </c>
      <c r="W76" t="s">
        <v>4470</v>
      </c>
      <c r="X76" t="s">
        <v>4471</v>
      </c>
      <c r="Y76" t="s">
        <v>4468</v>
      </c>
      <c r="Z76" t="s">
        <v>1015</v>
      </c>
      <c r="AA76" t="s">
        <v>4522</v>
      </c>
      <c r="AB76" t="s">
        <v>4521</v>
      </c>
      <c r="AC76" t="s">
        <v>61</v>
      </c>
      <c r="AD76" t="s">
        <v>19</v>
      </c>
      <c r="AE76" t="s">
        <v>19</v>
      </c>
      <c r="AF76" t="s">
        <v>4523</v>
      </c>
      <c r="AG76" t="s">
        <v>4713</v>
      </c>
      <c r="AH76" t="s">
        <v>22</v>
      </c>
      <c r="AI76" t="s">
        <v>22</v>
      </c>
      <c r="AJ76" t="s">
        <v>22</v>
      </c>
      <c r="AK76" t="s">
        <v>22</v>
      </c>
    </row>
    <row r="77" spans="1:37" ht="11.25" customHeight="1">
      <c r="A77" t="s">
        <v>22</v>
      </c>
      <c r="B77" t="s">
        <v>48</v>
      </c>
      <c r="C77" t="s">
        <v>50</v>
      </c>
      <c r="D77" t="s">
        <v>22</v>
      </c>
      <c r="E77" t="s">
        <v>4517</v>
      </c>
      <c r="F77" t="s">
        <v>1104</v>
      </c>
      <c r="G77" t="s">
        <v>99</v>
      </c>
      <c r="H77" t="s">
        <v>99</v>
      </c>
      <c r="I77" t="s">
        <v>100</v>
      </c>
      <c r="J77" t="s">
        <v>1059</v>
      </c>
      <c r="K77" t="s">
        <v>1060</v>
      </c>
      <c r="L77" t="s">
        <v>4714</v>
      </c>
      <c r="M77" t="s">
        <v>4715</v>
      </c>
      <c r="N77" t="s">
        <v>114</v>
      </c>
      <c r="O77" t="s">
        <v>4520</v>
      </c>
      <c r="P77" t="s">
        <v>4520</v>
      </c>
      <c r="Q77" t="s">
        <v>100</v>
      </c>
      <c r="R77" t="s">
        <v>1059</v>
      </c>
      <c r="S77" t="s">
        <v>1060</v>
      </c>
      <c r="T77" t="s">
        <v>4606</v>
      </c>
      <c r="U77" t="s">
        <v>4527</v>
      </c>
      <c r="V77" t="s">
        <v>4716</v>
      </c>
      <c r="W77" t="s">
        <v>4470</v>
      </c>
      <c r="X77" t="s">
        <v>4529</v>
      </c>
      <c r="Y77" t="s">
        <v>4527</v>
      </c>
      <c r="Z77" t="s">
        <v>4717</v>
      </c>
      <c r="AA77" t="s">
        <v>4718</v>
      </c>
      <c r="AB77" t="s">
        <v>4716</v>
      </c>
      <c r="AC77" t="s">
        <v>61</v>
      </c>
      <c r="AD77" t="s">
        <v>19</v>
      </c>
      <c r="AE77" t="s">
        <v>19</v>
      </c>
      <c r="AF77" t="s">
        <v>4532</v>
      </c>
      <c r="AG77" t="s">
        <v>4719</v>
      </c>
      <c r="AH77" t="s">
        <v>22</v>
      </c>
      <c r="AI77" t="s">
        <v>22</v>
      </c>
      <c r="AJ77" t="s">
        <v>22</v>
      </c>
      <c r="AK77" t="s">
        <v>22</v>
      </c>
    </row>
    <row r="78" spans="1:37" ht="11.25" customHeight="1">
      <c r="A78" t="s">
        <v>22</v>
      </c>
      <c r="B78" t="s">
        <v>48</v>
      </c>
      <c r="C78" t="s">
        <v>50</v>
      </c>
      <c r="D78" t="s">
        <v>22</v>
      </c>
      <c r="E78" t="s">
        <v>4517</v>
      </c>
      <c r="F78" t="s">
        <v>1104</v>
      </c>
      <c r="G78" t="s">
        <v>99</v>
      </c>
      <c r="H78" t="s">
        <v>99</v>
      </c>
      <c r="I78" t="s">
        <v>100</v>
      </c>
      <c r="J78" t="s">
        <v>1059</v>
      </c>
      <c r="K78" t="s">
        <v>1060</v>
      </c>
      <c r="L78" t="s">
        <v>4720</v>
      </c>
      <c r="M78" t="s">
        <v>4721</v>
      </c>
      <c r="N78" t="s">
        <v>114</v>
      </c>
      <c r="O78" t="s">
        <v>4520</v>
      </c>
      <c r="P78" t="s">
        <v>4520</v>
      </c>
      <c r="Q78" t="s">
        <v>100</v>
      </c>
      <c r="R78" t="s">
        <v>1059</v>
      </c>
      <c r="S78" t="s">
        <v>1060</v>
      </c>
      <c r="T78" t="s">
        <v>4467</v>
      </c>
      <c r="U78" t="s">
        <v>4468</v>
      </c>
      <c r="V78" t="s">
        <v>4521</v>
      </c>
      <c r="W78" t="s">
        <v>4470</v>
      </c>
      <c r="X78" t="s">
        <v>4471</v>
      </c>
      <c r="Y78" t="s">
        <v>4468</v>
      </c>
      <c r="Z78" t="s">
        <v>1015</v>
      </c>
      <c r="AA78" t="s">
        <v>4522</v>
      </c>
      <c r="AB78" t="s">
        <v>4521</v>
      </c>
      <c r="AC78" t="s">
        <v>61</v>
      </c>
      <c r="AD78" t="s">
        <v>19</v>
      </c>
      <c r="AE78" t="s">
        <v>19</v>
      </c>
      <c r="AF78" t="s">
        <v>4722</v>
      </c>
      <c r="AG78" t="s">
        <v>4723</v>
      </c>
      <c r="AH78" t="s">
        <v>22</v>
      </c>
      <c r="AI78" t="s">
        <v>22</v>
      </c>
      <c r="AJ78" t="s">
        <v>22</v>
      </c>
      <c r="AK78" t="s">
        <v>22</v>
      </c>
    </row>
    <row r="79" spans="1:37" ht="11.25" customHeight="1">
      <c r="A79" t="s">
        <v>22</v>
      </c>
      <c r="B79" t="s">
        <v>48</v>
      </c>
      <c r="C79" t="s">
        <v>50</v>
      </c>
      <c r="D79" t="s">
        <v>22</v>
      </c>
      <c r="E79" t="s">
        <v>4517</v>
      </c>
      <c r="F79" t="s">
        <v>1104</v>
      </c>
      <c r="G79" t="s">
        <v>99</v>
      </c>
      <c r="H79" t="s">
        <v>99</v>
      </c>
      <c r="I79" t="s">
        <v>100</v>
      </c>
      <c r="J79" t="s">
        <v>1059</v>
      </c>
      <c r="K79" t="s">
        <v>1060</v>
      </c>
      <c r="L79" t="s">
        <v>4681</v>
      </c>
      <c r="M79" t="s">
        <v>4724</v>
      </c>
      <c r="N79" t="s">
        <v>114</v>
      </c>
      <c r="O79" t="s">
        <v>4520</v>
      </c>
      <c r="P79" t="s">
        <v>4520</v>
      </c>
      <c r="Q79" t="s">
        <v>100</v>
      </c>
      <c r="R79" t="s">
        <v>1059</v>
      </c>
      <c r="S79" t="s">
        <v>1060</v>
      </c>
      <c r="T79" t="s">
        <v>4467</v>
      </c>
      <c r="U79" t="s">
        <v>4468</v>
      </c>
      <c r="V79" t="s">
        <v>4521</v>
      </c>
      <c r="W79" t="s">
        <v>4470</v>
      </c>
      <c r="X79" t="s">
        <v>4471</v>
      </c>
      <c r="Y79" t="s">
        <v>4468</v>
      </c>
      <c r="Z79" t="s">
        <v>1015</v>
      </c>
      <c r="AA79" t="s">
        <v>4522</v>
      </c>
      <c r="AB79" t="s">
        <v>4521</v>
      </c>
      <c r="AC79" t="s">
        <v>61</v>
      </c>
      <c r="AD79" t="s">
        <v>19</v>
      </c>
      <c r="AE79" t="s">
        <v>19</v>
      </c>
      <c r="AF79" t="s">
        <v>4725</v>
      </c>
      <c r="AG79" t="s">
        <v>4726</v>
      </c>
      <c r="AH79" t="s">
        <v>22</v>
      </c>
      <c r="AI79" t="s">
        <v>22</v>
      </c>
      <c r="AJ79" t="s">
        <v>22</v>
      </c>
      <c r="AK79" t="s">
        <v>22</v>
      </c>
    </row>
    <row r="80" spans="1:37" ht="11.25" customHeight="1">
      <c r="A80" t="s">
        <v>22</v>
      </c>
      <c r="B80" t="s">
        <v>48</v>
      </c>
      <c r="C80" t="s">
        <v>50</v>
      </c>
      <c r="D80" t="s">
        <v>22</v>
      </c>
      <c r="E80" t="s">
        <v>4517</v>
      </c>
      <c r="F80" t="s">
        <v>1104</v>
      </c>
      <c r="G80" t="s">
        <v>99</v>
      </c>
      <c r="H80" t="s">
        <v>99</v>
      </c>
      <c r="I80" t="s">
        <v>100</v>
      </c>
      <c r="J80" t="s">
        <v>1059</v>
      </c>
      <c r="K80" t="s">
        <v>1060</v>
      </c>
      <c r="L80" t="s">
        <v>4727</v>
      </c>
      <c r="M80" t="s">
        <v>4728</v>
      </c>
      <c r="N80" t="s">
        <v>114</v>
      </c>
      <c r="O80" t="s">
        <v>4520</v>
      </c>
      <c r="P80" t="s">
        <v>4520</v>
      </c>
      <c r="Q80" t="s">
        <v>100</v>
      </c>
      <c r="R80" t="s">
        <v>1059</v>
      </c>
      <c r="S80" t="s">
        <v>1060</v>
      </c>
      <c r="T80" t="s">
        <v>4467</v>
      </c>
      <c r="U80" t="s">
        <v>4468</v>
      </c>
      <c r="V80" t="s">
        <v>4521</v>
      </c>
      <c r="W80" t="s">
        <v>4470</v>
      </c>
      <c r="X80" t="s">
        <v>4471</v>
      </c>
      <c r="Y80" t="s">
        <v>4468</v>
      </c>
      <c r="Z80" t="s">
        <v>1015</v>
      </c>
      <c r="AA80" t="s">
        <v>4522</v>
      </c>
      <c r="AB80" t="s">
        <v>4521</v>
      </c>
      <c r="AC80" t="s">
        <v>61</v>
      </c>
      <c r="AD80" t="s">
        <v>19</v>
      </c>
      <c r="AE80" t="s">
        <v>19</v>
      </c>
      <c r="AF80" t="s">
        <v>4523</v>
      </c>
      <c r="AG80" t="s">
        <v>4729</v>
      </c>
      <c r="AH80" t="s">
        <v>22</v>
      </c>
      <c r="AI80" t="s">
        <v>22</v>
      </c>
      <c r="AJ80" t="s">
        <v>22</v>
      </c>
      <c r="AK80" t="s">
        <v>22</v>
      </c>
    </row>
    <row r="81" spans="1:37" ht="11.25" customHeight="1">
      <c r="A81" t="s">
        <v>22</v>
      </c>
      <c r="B81" t="s">
        <v>48</v>
      </c>
      <c r="C81" t="s">
        <v>50</v>
      </c>
      <c r="D81" t="s">
        <v>22</v>
      </c>
      <c r="E81" t="s">
        <v>4517</v>
      </c>
      <c r="F81" t="s">
        <v>1104</v>
      </c>
      <c r="G81" t="s">
        <v>99</v>
      </c>
      <c r="H81" t="s">
        <v>99</v>
      </c>
      <c r="I81" t="s">
        <v>100</v>
      </c>
      <c r="J81" t="s">
        <v>1059</v>
      </c>
      <c r="K81" t="s">
        <v>1060</v>
      </c>
      <c r="L81" t="s">
        <v>4730</v>
      </c>
      <c r="M81" t="s">
        <v>4731</v>
      </c>
      <c r="N81" t="s">
        <v>114</v>
      </c>
      <c r="O81" t="s">
        <v>4520</v>
      </c>
      <c r="P81" t="s">
        <v>4520</v>
      </c>
      <c r="Q81" t="s">
        <v>100</v>
      </c>
      <c r="R81" t="s">
        <v>1059</v>
      </c>
      <c r="S81" t="s">
        <v>1060</v>
      </c>
      <c r="T81" t="s">
        <v>4732</v>
      </c>
      <c r="U81" t="s">
        <v>4732</v>
      </c>
      <c r="V81" t="s">
        <v>4733</v>
      </c>
      <c r="W81" t="s">
        <v>4470</v>
      </c>
      <c r="X81" t="s">
        <v>4734</v>
      </c>
      <c r="Y81" t="s">
        <v>4735</v>
      </c>
      <c r="Z81" t="s">
        <v>1015</v>
      </c>
      <c r="AA81" t="s">
        <v>4736</v>
      </c>
      <c r="AB81" t="s">
        <v>4737</v>
      </c>
      <c r="AC81" t="s">
        <v>61</v>
      </c>
      <c r="AD81" t="s">
        <v>19</v>
      </c>
      <c r="AE81" t="s">
        <v>19</v>
      </c>
      <c r="AF81" t="s">
        <v>1166</v>
      </c>
      <c r="AG81" t="s">
        <v>4738</v>
      </c>
      <c r="AH81" t="s">
        <v>22</v>
      </c>
      <c r="AI81" t="s">
        <v>22</v>
      </c>
      <c r="AJ81" t="s">
        <v>22</v>
      </c>
      <c r="AK81" t="s">
        <v>22</v>
      </c>
    </row>
    <row r="82" spans="1:37" ht="11.25" customHeight="1">
      <c r="A82" t="s">
        <v>22</v>
      </c>
      <c r="B82" t="s">
        <v>48</v>
      </c>
      <c r="C82" t="s">
        <v>50</v>
      </c>
      <c r="D82" t="s">
        <v>22</v>
      </c>
      <c r="E82" t="s">
        <v>4517</v>
      </c>
      <c r="F82" t="s">
        <v>1104</v>
      </c>
      <c r="G82" t="s">
        <v>99</v>
      </c>
      <c r="H82" t="s">
        <v>99</v>
      </c>
      <c r="I82" t="s">
        <v>100</v>
      </c>
      <c r="J82" t="s">
        <v>1059</v>
      </c>
      <c r="K82" t="s">
        <v>1060</v>
      </c>
      <c r="L82" t="s">
        <v>4739</v>
      </c>
      <c r="M82" t="s">
        <v>4740</v>
      </c>
      <c r="N82" t="s">
        <v>114</v>
      </c>
      <c r="O82" t="s">
        <v>4520</v>
      </c>
      <c r="P82" t="s">
        <v>4520</v>
      </c>
      <c r="Q82" t="s">
        <v>100</v>
      </c>
      <c r="R82" t="s">
        <v>1059</v>
      </c>
      <c r="S82" t="s">
        <v>1060</v>
      </c>
      <c r="T82" t="s">
        <v>4467</v>
      </c>
      <c r="U82" t="s">
        <v>4468</v>
      </c>
      <c r="V82" t="s">
        <v>4521</v>
      </c>
      <c r="W82" t="s">
        <v>4470</v>
      </c>
      <c r="X82" t="s">
        <v>4471</v>
      </c>
      <c r="Y82" t="s">
        <v>4468</v>
      </c>
      <c r="Z82" t="s">
        <v>1015</v>
      </c>
      <c r="AA82" t="s">
        <v>4522</v>
      </c>
      <c r="AB82" t="s">
        <v>4521</v>
      </c>
      <c r="AC82" t="s">
        <v>61</v>
      </c>
      <c r="AD82" t="s">
        <v>19</v>
      </c>
      <c r="AE82" t="s">
        <v>19</v>
      </c>
      <c r="AF82" t="s">
        <v>4741</v>
      </c>
      <c r="AG82" t="s">
        <v>4742</v>
      </c>
      <c r="AH82" t="s">
        <v>22</v>
      </c>
      <c r="AI82" t="s">
        <v>22</v>
      </c>
      <c r="AJ82" t="s">
        <v>22</v>
      </c>
      <c r="AK82" t="s">
        <v>22</v>
      </c>
    </row>
    <row r="83" spans="1:37" ht="11.25" customHeight="1">
      <c r="A83" t="s">
        <v>22</v>
      </c>
      <c r="B83" t="s">
        <v>48</v>
      </c>
      <c r="C83" t="s">
        <v>50</v>
      </c>
      <c r="D83" t="s">
        <v>22</v>
      </c>
      <c r="E83" t="s">
        <v>4517</v>
      </c>
      <c r="F83" t="s">
        <v>1104</v>
      </c>
      <c r="G83" t="s">
        <v>99</v>
      </c>
      <c r="H83" t="s">
        <v>99</v>
      </c>
      <c r="I83" t="s">
        <v>100</v>
      </c>
      <c r="J83" t="s">
        <v>1059</v>
      </c>
      <c r="K83" t="s">
        <v>1060</v>
      </c>
      <c r="L83" t="s">
        <v>4743</v>
      </c>
      <c r="M83" t="s">
        <v>4744</v>
      </c>
      <c r="N83" t="s">
        <v>114</v>
      </c>
      <c r="O83" t="s">
        <v>4520</v>
      </c>
      <c r="P83" t="s">
        <v>4520</v>
      </c>
      <c r="Q83" t="s">
        <v>100</v>
      </c>
      <c r="R83" t="s">
        <v>1059</v>
      </c>
      <c r="S83" t="s">
        <v>1060</v>
      </c>
      <c r="T83" t="s">
        <v>4467</v>
      </c>
      <c r="U83" t="s">
        <v>4527</v>
      </c>
      <c r="V83" t="s">
        <v>4528</v>
      </c>
      <c r="W83" t="s">
        <v>4470</v>
      </c>
      <c r="X83" t="s">
        <v>4529</v>
      </c>
      <c r="Y83" t="s">
        <v>4527</v>
      </c>
      <c r="Z83" t="s">
        <v>4590</v>
      </c>
      <c r="AA83" t="s">
        <v>4531</v>
      </c>
      <c r="AB83" t="s">
        <v>4528</v>
      </c>
      <c r="AC83" t="s">
        <v>61</v>
      </c>
      <c r="AD83" t="s">
        <v>19</v>
      </c>
      <c r="AE83" t="s">
        <v>19</v>
      </c>
      <c r="AF83" t="s">
        <v>1823</v>
      </c>
      <c r="AG83" t="s">
        <v>4745</v>
      </c>
      <c r="AH83" t="s">
        <v>22</v>
      </c>
      <c r="AI83" t="s">
        <v>22</v>
      </c>
      <c r="AJ83" t="s">
        <v>22</v>
      </c>
      <c r="AK83" t="s">
        <v>22</v>
      </c>
    </row>
    <row r="84" spans="1:37" ht="11.25" customHeight="1">
      <c r="A84" t="s">
        <v>22</v>
      </c>
      <c r="B84" t="s">
        <v>48</v>
      </c>
      <c r="C84" t="s">
        <v>50</v>
      </c>
      <c r="D84" t="s">
        <v>22</v>
      </c>
      <c r="E84" t="s">
        <v>4517</v>
      </c>
      <c r="F84" t="s">
        <v>1104</v>
      </c>
      <c r="G84" t="s">
        <v>99</v>
      </c>
      <c r="H84" t="s">
        <v>99</v>
      </c>
      <c r="I84" t="s">
        <v>100</v>
      </c>
      <c r="J84" t="s">
        <v>1059</v>
      </c>
      <c r="K84" t="s">
        <v>1060</v>
      </c>
      <c r="L84" t="s">
        <v>4677</v>
      </c>
      <c r="M84" t="s">
        <v>4746</v>
      </c>
      <c r="N84" t="s">
        <v>114</v>
      </c>
      <c r="O84" t="s">
        <v>4520</v>
      </c>
      <c r="P84" t="s">
        <v>4520</v>
      </c>
      <c r="Q84" t="s">
        <v>100</v>
      </c>
      <c r="R84" t="s">
        <v>1059</v>
      </c>
      <c r="S84" t="s">
        <v>1060</v>
      </c>
      <c r="T84" t="s">
        <v>4467</v>
      </c>
      <c r="U84" t="s">
        <v>4468</v>
      </c>
      <c r="V84" t="s">
        <v>4521</v>
      </c>
      <c r="W84" t="s">
        <v>4470</v>
      </c>
      <c r="X84" t="s">
        <v>4471</v>
      </c>
      <c r="Y84" t="s">
        <v>4468</v>
      </c>
      <c r="Z84" t="s">
        <v>1015</v>
      </c>
      <c r="AA84" t="s">
        <v>4522</v>
      </c>
      <c r="AB84" t="s">
        <v>4521</v>
      </c>
      <c r="AC84" t="s">
        <v>61</v>
      </c>
      <c r="AD84" t="s">
        <v>19</v>
      </c>
      <c r="AE84" t="s">
        <v>19</v>
      </c>
      <c r="AF84" t="s">
        <v>4628</v>
      </c>
      <c r="AG84" t="s">
        <v>4747</v>
      </c>
      <c r="AH84" t="s">
        <v>22</v>
      </c>
      <c r="AI84" t="s">
        <v>22</v>
      </c>
      <c r="AJ84" t="s">
        <v>22</v>
      </c>
      <c r="AK84" t="s">
        <v>22</v>
      </c>
    </row>
    <row r="85" spans="1:37" ht="11.25" customHeight="1">
      <c r="A85" t="s">
        <v>22</v>
      </c>
      <c r="B85" t="s">
        <v>48</v>
      </c>
      <c r="C85" t="s">
        <v>50</v>
      </c>
      <c r="D85" t="s">
        <v>22</v>
      </c>
      <c r="E85" t="s">
        <v>4517</v>
      </c>
      <c r="F85" t="s">
        <v>1104</v>
      </c>
      <c r="G85" t="s">
        <v>99</v>
      </c>
      <c r="H85" t="s">
        <v>99</v>
      </c>
      <c r="I85" t="s">
        <v>100</v>
      </c>
      <c r="J85" t="s">
        <v>1059</v>
      </c>
      <c r="K85" t="s">
        <v>1060</v>
      </c>
      <c r="L85" t="s">
        <v>4748</v>
      </c>
      <c r="M85" t="s">
        <v>4712</v>
      </c>
      <c r="N85" t="s">
        <v>114</v>
      </c>
      <c r="O85" t="s">
        <v>4520</v>
      </c>
      <c r="P85" t="s">
        <v>4520</v>
      </c>
      <c r="Q85" t="s">
        <v>100</v>
      </c>
      <c r="R85" t="s">
        <v>1059</v>
      </c>
      <c r="S85" t="s">
        <v>1060</v>
      </c>
      <c r="T85" t="s">
        <v>4467</v>
      </c>
      <c r="U85" t="s">
        <v>4468</v>
      </c>
      <c r="V85" t="s">
        <v>4521</v>
      </c>
      <c r="W85" t="s">
        <v>4470</v>
      </c>
      <c r="X85" t="s">
        <v>4471</v>
      </c>
      <c r="Y85" t="s">
        <v>4468</v>
      </c>
      <c r="Z85" t="s">
        <v>1015</v>
      </c>
      <c r="AA85" t="s">
        <v>4522</v>
      </c>
      <c r="AB85" t="s">
        <v>4521</v>
      </c>
      <c r="AC85" t="s">
        <v>61</v>
      </c>
      <c r="AD85" t="s">
        <v>19</v>
      </c>
      <c r="AE85" t="s">
        <v>19</v>
      </c>
      <c r="AF85" t="s">
        <v>4550</v>
      </c>
      <c r="AG85" t="s">
        <v>4749</v>
      </c>
      <c r="AH85" t="s">
        <v>22</v>
      </c>
      <c r="AI85" t="s">
        <v>22</v>
      </c>
      <c r="AJ85" t="s">
        <v>22</v>
      </c>
      <c r="AK85" t="s">
        <v>22</v>
      </c>
    </row>
    <row r="86" spans="1:37" ht="11.25" customHeight="1">
      <c r="A86" t="s">
        <v>22</v>
      </c>
      <c r="B86" t="s">
        <v>48</v>
      </c>
      <c r="C86" t="s">
        <v>50</v>
      </c>
      <c r="D86" t="s">
        <v>22</v>
      </c>
      <c r="E86" t="s">
        <v>4517</v>
      </c>
      <c r="F86" t="s">
        <v>1104</v>
      </c>
      <c r="G86" t="s">
        <v>99</v>
      </c>
      <c r="H86" t="s">
        <v>99</v>
      </c>
      <c r="I86" t="s">
        <v>100</v>
      </c>
      <c r="J86" t="s">
        <v>1059</v>
      </c>
      <c r="K86" t="s">
        <v>1060</v>
      </c>
      <c r="L86" t="s">
        <v>4533</v>
      </c>
      <c r="M86" t="s">
        <v>4750</v>
      </c>
      <c r="N86" t="s">
        <v>114</v>
      </c>
      <c r="O86" t="s">
        <v>4520</v>
      </c>
      <c r="P86" t="s">
        <v>4520</v>
      </c>
      <c r="Q86" t="s">
        <v>100</v>
      </c>
      <c r="R86" t="s">
        <v>1059</v>
      </c>
      <c r="S86" t="s">
        <v>1060</v>
      </c>
      <c r="T86" t="s">
        <v>4467</v>
      </c>
      <c r="U86" t="s">
        <v>4527</v>
      </c>
      <c r="V86" t="s">
        <v>4528</v>
      </c>
      <c r="W86" t="s">
        <v>4470</v>
      </c>
      <c r="X86" t="s">
        <v>4529</v>
      </c>
      <c r="Y86" t="s">
        <v>4527</v>
      </c>
      <c r="Z86" t="s">
        <v>4590</v>
      </c>
      <c r="AA86" t="s">
        <v>4531</v>
      </c>
      <c r="AB86" t="s">
        <v>4528</v>
      </c>
      <c r="AC86" t="s">
        <v>61</v>
      </c>
      <c r="AD86" t="s">
        <v>19</v>
      </c>
      <c r="AE86" t="s">
        <v>19</v>
      </c>
      <c r="AF86" t="s">
        <v>4616</v>
      </c>
      <c r="AG86" t="s">
        <v>4751</v>
      </c>
      <c r="AH86" t="s">
        <v>22</v>
      </c>
      <c r="AI86" t="s">
        <v>22</v>
      </c>
      <c r="AJ86" t="s">
        <v>22</v>
      </c>
      <c r="AK86" t="s">
        <v>22</v>
      </c>
    </row>
    <row r="87" spans="1:37" ht="11.25" customHeight="1">
      <c r="A87" t="s">
        <v>22</v>
      </c>
      <c r="B87" t="s">
        <v>48</v>
      </c>
      <c r="C87" t="s">
        <v>50</v>
      </c>
      <c r="D87" t="s">
        <v>22</v>
      </c>
      <c r="E87" t="s">
        <v>4517</v>
      </c>
      <c r="F87" t="s">
        <v>1104</v>
      </c>
      <c r="G87" t="s">
        <v>99</v>
      </c>
      <c r="H87" t="s">
        <v>99</v>
      </c>
      <c r="I87" t="s">
        <v>100</v>
      </c>
      <c r="J87" t="s">
        <v>1059</v>
      </c>
      <c r="K87" t="s">
        <v>1060</v>
      </c>
      <c r="L87" t="s">
        <v>4537</v>
      </c>
      <c r="M87" t="s">
        <v>4752</v>
      </c>
      <c r="N87" t="s">
        <v>114</v>
      </c>
      <c r="O87" t="s">
        <v>4520</v>
      </c>
      <c r="P87" t="s">
        <v>4520</v>
      </c>
      <c r="Q87" t="s">
        <v>100</v>
      </c>
      <c r="R87" t="s">
        <v>1059</v>
      </c>
      <c r="S87" t="s">
        <v>1060</v>
      </c>
      <c r="T87" t="s">
        <v>4467</v>
      </c>
      <c r="U87" t="s">
        <v>4468</v>
      </c>
      <c r="V87" t="s">
        <v>4521</v>
      </c>
      <c r="W87" t="s">
        <v>4470</v>
      </c>
      <c r="X87" t="s">
        <v>4471</v>
      </c>
      <c r="Y87" t="s">
        <v>4468</v>
      </c>
      <c r="Z87" t="s">
        <v>1015</v>
      </c>
      <c r="AA87" t="s">
        <v>4522</v>
      </c>
      <c r="AB87" t="s">
        <v>4521</v>
      </c>
      <c r="AC87" t="s">
        <v>61</v>
      </c>
      <c r="AD87" t="s">
        <v>19</v>
      </c>
      <c r="AE87" t="s">
        <v>19</v>
      </c>
      <c r="AF87" t="s">
        <v>4560</v>
      </c>
      <c r="AG87" t="s">
        <v>4753</v>
      </c>
      <c r="AH87" t="s">
        <v>22</v>
      </c>
      <c r="AI87" t="s">
        <v>22</v>
      </c>
      <c r="AJ87" t="s">
        <v>22</v>
      </c>
      <c r="AK87" t="s">
        <v>22</v>
      </c>
    </row>
    <row r="88" spans="1:37" ht="11.25" customHeight="1">
      <c r="A88" t="s">
        <v>22</v>
      </c>
      <c r="B88" t="s">
        <v>48</v>
      </c>
      <c r="C88" t="s">
        <v>50</v>
      </c>
      <c r="D88" t="s">
        <v>22</v>
      </c>
      <c r="E88" t="s">
        <v>4517</v>
      </c>
      <c r="F88" t="s">
        <v>1104</v>
      </c>
      <c r="G88" t="s">
        <v>99</v>
      </c>
      <c r="H88" t="s">
        <v>99</v>
      </c>
      <c r="I88" t="s">
        <v>100</v>
      </c>
      <c r="J88" t="s">
        <v>1059</v>
      </c>
      <c r="K88" t="s">
        <v>1060</v>
      </c>
      <c r="L88" t="s">
        <v>4558</v>
      </c>
      <c r="M88" t="s">
        <v>4754</v>
      </c>
      <c r="N88" t="s">
        <v>114</v>
      </c>
      <c r="O88" t="s">
        <v>4520</v>
      </c>
      <c r="P88" t="s">
        <v>4520</v>
      </c>
      <c r="Q88" t="s">
        <v>100</v>
      </c>
      <c r="R88" t="s">
        <v>1059</v>
      </c>
      <c r="S88" t="s">
        <v>1060</v>
      </c>
      <c r="T88" t="s">
        <v>4467</v>
      </c>
      <c r="U88" t="s">
        <v>4468</v>
      </c>
      <c r="V88" t="s">
        <v>4521</v>
      </c>
      <c r="W88" t="s">
        <v>4470</v>
      </c>
      <c r="X88" t="s">
        <v>4471</v>
      </c>
      <c r="Y88" t="s">
        <v>4468</v>
      </c>
      <c r="Z88" t="s">
        <v>1015</v>
      </c>
      <c r="AA88" t="s">
        <v>4522</v>
      </c>
      <c r="AB88" t="s">
        <v>4521</v>
      </c>
      <c r="AC88" t="s">
        <v>61</v>
      </c>
      <c r="AD88" t="s">
        <v>19</v>
      </c>
      <c r="AE88" t="s">
        <v>19</v>
      </c>
      <c r="AF88" t="s">
        <v>4523</v>
      </c>
      <c r="AG88" t="s">
        <v>4755</v>
      </c>
      <c r="AH88" t="s">
        <v>22</v>
      </c>
      <c r="AI88" t="s">
        <v>22</v>
      </c>
      <c r="AJ88" t="s">
        <v>22</v>
      </c>
      <c r="AK88" t="s">
        <v>22</v>
      </c>
    </row>
    <row r="89" spans="1:37" ht="11.25" customHeight="1">
      <c r="A89" t="s">
        <v>22</v>
      </c>
      <c r="B89" t="s">
        <v>48</v>
      </c>
      <c r="C89" t="s">
        <v>50</v>
      </c>
      <c r="D89" t="s">
        <v>22</v>
      </c>
      <c r="E89" t="s">
        <v>4517</v>
      </c>
      <c r="F89" t="s">
        <v>1104</v>
      </c>
      <c r="G89" t="s">
        <v>99</v>
      </c>
      <c r="H89" t="s">
        <v>99</v>
      </c>
      <c r="I89" t="s">
        <v>100</v>
      </c>
      <c r="J89" t="s">
        <v>1059</v>
      </c>
      <c r="K89" t="s">
        <v>1060</v>
      </c>
      <c r="L89" t="s">
        <v>4756</v>
      </c>
      <c r="M89" t="s">
        <v>4700</v>
      </c>
      <c r="N89" t="s">
        <v>114</v>
      </c>
      <c r="O89" t="s">
        <v>4520</v>
      </c>
      <c r="P89" t="s">
        <v>4520</v>
      </c>
      <c r="Q89" t="s">
        <v>100</v>
      </c>
      <c r="R89" t="s">
        <v>1059</v>
      </c>
      <c r="S89" t="s">
        <v>1060</v>
      </c>
      <c r="T89" t="s">
        <v>4467</v>
      </c>
      <c r="U89" t="s">
        <v>4468</v>
      </c>
      <c r="V89" t="s">
        <v>4521</v>
      </c>
      <c r="W89" t="s">
        <v>4470</v>
      </c>
      <c r="X89" t="s">
        <v>4471</v>
      </c>
      <c r="Y89" t="s">
        <v>4468</v>
      </c>
      <c r="Z89" t="s">
        <v>1015</v>
      </c>
      <c r="AA89" t="s">
        <v>4522</v>
      </c>
      <c r="AB89" t="s">
        <v>4521</v>
      </c>
      <c r="AC89" t="s">
        <v>61</v>
      </c>
      <c r="AD89" t="s">
        <v>19</v>
      </c>
      <c r="AE89" t="s">
        <v>19</v>
      </c>
      <c r="AF89" t="s">
        <v>4757</v>
      </c>
      <c r="AG89" t="s">
        <v>4758</v>
      </c>
      <c r="AH89" t="s">
        <v>22</v>
      </c>
      <c r="AI89" t="s">
        <v>22</v>
      </c>
      <c r="AJ89" t="s">
        <v>22</v>
      </c>
      <c r="AK89" t="s">
        <v>22</v>
      </c>
    </row>
    <row r="90" spans="1:37" ht="11.25" customHeight="1">
      <c r="A90" t="s">
        <v>22</v>
      </c>
      <c r="B90" t="s">
        <v>48</v>
      </c>
      <c r="C90" t="s">
        <v>50</v>
      </c>
      <c r="D90" t="s">
        <v>22</v>
      </c>
      <c r="E90" t="s">
        <v>4517</v>
      </c>
      <c r="F90" t="s">
        <v>1104</v>
      </c>
      <c r="G90" t="s">
        <v>99</v>
      </c>
      <c r="H90" t="s">
        <v>99</v>
      </c>
      <c r="I90" t="s">
        <v>100</v>
      </c>
      <c r="J90" t="s">
        <v>1059</v>
      </c>
      <c r="K90" t="s">
        <v>1060</v>
      </c>
      <c r="L90" t="s">
        <v>4759</v>
      </c>
      <c r="M90" t="s">
        <v>4760</v>
      </c>
      <c r="N90" t="s">
        <v>114</v>
      </c>
      <c r="O90" t="s">
        <v>4520</v>
      </c>
      <c r="P90" t="s">
        <v>4520</v>
      </c>
      <c r="Q90" t="s">
        <v>100</v>
      </c>
      <c r="R90" t="s">
        <v>1059</v>
      </c>
      <c r="S90" t="s">
        <v>1060</v>
      </c>
      <c r="T90" t="s">
        <v>4467</v>
      </c>
      <c r="U90" t="s">
        <v>4468</v>
      </c>
      <c r="V90" t="s">
        <v>4521</v>
      </c>
      <c r="W90" t="s">
        <v>4470</v>
      </c>
      <c r="X90" t="s">
        <v>4471</v>
      </c>
      <c r="Y90" t="s">
        <v>4468</v>
      </c>
      <c r="Z90" t="s">
        <v>1015</v>
      </c>
      <c r="AA90" t="s">
        <v>4522</v>
      </c>
      <c r="AB90" t="s">
        <v>4521</v>
      </c>
      <c r="AC90" t="s">
        <v>61</v>
      </c>
      <c r="AD90" t="s">
        <v>19</v>
      </c>
      <c r="AE90" t="s">
        <v>19</v>
      </c>
      <c r="AF90" t="s">
        <v>4546</v>
      </c>
      <c r="AG90" t="s">
        <v>1777</v>
      </c>
      <c r="AH90" t="s">
        <v>22</v>
      </c>
      <c r="AI90" t="s">
        <v>22</v>
      </c>
      <c r="AJ90" t="s">
        <v>22</v>
      </c>
      <c r="AK90" t="s">
        <v>22</v>
      </c>
    </row>
    <row r="91" spans="1:37" ht="11.25" customHeight="1">
      <c r="A91" t="s">
        <v>22</v>
      </c>
      <c r="B91" t="s">
        <v>48</v>
      </c>
      <c r="C91" t="s">
        <v>50</v>
      </c>
      <c r="D91" t="s">
        <v>22</v>
      </c>
      <c r="E91" t="s">
        <v>4517</v>
      </c>
      <c r="F91" t="s">
        <v>1104</v>
      </c>
      <c r="G91" t="s">
        <v>99</v>
      </c>
      <c r="H91" t="s">
        <v>99</v>
      </c>
      <c r="I91" t="s">
        <v>100</v>
      </c>
      <c r="J91" t="s">
        <v>1059</v>
      </c>
      <c r="K91" t="s">
        <v>1060</v>
      </c>
      <c r="L91" t="s">
        <v>4761</v>
      </c>
      <c r="M91" t="s">
        <v>4762</v>
      </c>
      <c r="N91" t="s">
        <v>114</v>
      </c>
      <c r="O91" t="s">
        <v>4520</v>
      </c>
      <c r="P91" t="s">
        <v>4520</v>
      </c>
      <c r="Q91" t="s">
        <v>100</v>
      </c>
      <c r="R91" t="s">
        <v>1059</v>
      </c>
      <c r="S91" t="s">
        <v>1060</v>
      </c>
      <c r="T91" t="s">
        <v>4467</v>
      </c>
      <c r="U91" t="s">
        <v>4468</v>
      </c>
      <c r="V91" t="s">
        <v>4521</v>
      </c>
      <c r="W91" t="s">
        <v>4470</v>
      </c>
      <c r="X91" t="s">
        <v>4471</v>
      </c>
      <c r="Y91" t="s">
        <v>4468</v>
      </c>
      <c r="Z91" t="s">
        <v>1015</v>
      </c>
      <c r="AA91" t="s">
        <v>4522</v>
      </c>
      <c r="AB91" t="s">
        <v>4521</v>
      </c>
      <c r="AC91" t="s">
        <v>61</v>
      </c>
      <c r="AD91" t="s">
        <v>19</v>
      </c>
      <c r="AE91" t="s">
        <v>19</v>
      </c>
      <c r="AF91" t="s">
        <v>4722</v>
      </c>
      <c r="AG91" t="s">
        <v>4763</v>
      </c>
      <c r="AH91" t="s">
        <v>22</v>
      </c>
      <c r="AI91" t="s">
        <v>22</v>
      </c>
      <c r="AJ91" t="s">
        <v>22</v>
      </c>
      <c r="AK91" t="s">
        <v>22</v>
      </c>
    </row>
    <row r="92" spans="1:37" ht="11.25" customHeight="1">
      <c r="A92" t="s">
        <v>22</v>
      </c>
      <c r="B92" t="s">
        <v>48</v>
      </c>
      <c r="C92" t="s">
        <v>50</v>
      </c>
      <c r="D92" t="s">
        <v>22</v>
      </c>
      <c r="E92" t="s">
        <v>4517</v>
      </c>
      <c r="F92" t="s">
        <v>1104</v>
      </c>
      <c r="G92" t="s">
        <v>99</v>
      </c>
      <c r="H92" t="s">
        <v>99</v>
      </c>
      <c r="I92" t="s">
        <v>100</v>
      </c>
      <c r="J92" t="s">
        <v>1059</v>
      </c>
      <c r="K92" t="s">
        <v>1060</v>
      </c>
      <c r="L92" t="s">
        <v>4666</v>
      </c>
      <c r="M92" t="s">
        <v>4764</v>
      </c>
      <c r="N92" t="s">
        <v>114</v>
      </c>
      <c r="O92" t="s">
        <v>4520</v>
      </c>
      <c r="P92" t="s">
        <v>4520</v>
      </c>
      <c r="Q92" t="s">
        <v>100</v>
      </c>
      <c r="R92" t="s">
        <v>1059</v>
      </c>
      <c r="S92" t="s">
        <v>1060</v>
      </c>
      <c r="T92" t="s">
        <v>4467</v>
      </c>
      <c r="U92" t="s">
        <v>4468</v>
      </c>
      <c r="V92" t="s">
        <v>4521</v>
      </c>
      <c r="W92" t="s">
        <v>4470</v>
      </c>
      <c r="X92" t="s">
        <v>4471</v>
      </c>
      <c r="Y92" t="s">
        <v>4468</v>
      </c>
      <c r="Z92" t="s">
        <v>1015</v>
      </c>
      <c r="AA92" t="s">
        <v>4522</v>
      </c>
      <c r="AB92" t="s">
        <v>4521</v>
      </c>
      <c r="AC92" t="s">
        <v>61</v>
      </c>
      <c r="AD92" t="s">
        <v>19</v>
      </c>
      <c r="AE92" t="s">
        <v>19</v>
      </c>
      <c r="AF92" t="s">
        <v>4532</v>
      </c>
      <c r="AG92" t="s">
        <v>4765</v>
      </c>
      <c r="AH92" t="s">
        <v>22</v>
      </c>
      <c r="AI92" t="s">
        <v>22</v>
      </c>
      <c r="AJ92" t="s">
        <v>22</v>
      </c>
      <c r="AK92" t="s">
        <v>22</v>
      </c>
    </row>
    <row r="93" spans="1:37" ht="11.25" customHeight="1">
      <c r="A93" t="s">
        <v>22</v>
      </c>
      <c r="B93" t="s">
        <v>48</v>
      </c>
      <c r="C93" t="s">
        <v>50</v>
      </c>
      <c r="D93" t="s">
        <v>22</v>
      </c>
      <c r="E93" t="s">
        <v>4517</v>
      </c>
      <c r="F93" t="s">
        <v>1104</v>
      </c>
      <c r="G93" t="s">
        <v>99</v>
      </c>
      <c r="H93" t="s">
        <v>99</v>
      </c>
      <c r="I93" t="s">
        <v>100</v>
      </c>
      <c r="J93" t="s">
        <v>1059</v>
      </c>
      <c r="K93" t="s">
        <v>1060</v>
      </c>
      <c r="L93" t="s">
        <v>4766</v>
      </c>
      <c r="M93" t="s">
        <v>4519</v>
      </c>
      <c r="N93" t="s">
        <v>114</v>
      </c>
      <c r="O93" t="s">
        <v>4520</v>
      </c>
      <c r="P93" t="s">
        <v>4520</v>
      </c>
      <c r="Q93" t="s">
        <v>100</v>
      </c>
      <c r="R93" t="s">
        <v>1059</v>
      </c>
      <c r="S93" t="s">
        <v>1060</v>
      </c>
      <c r="T93" t="s">
        <v>4467</v>
      </c>
      <c r="U93" t="s">
        <v>4468</v>
      </c>
      <c r="V93" t="s">
        <v>4521</v>
      </c>
      <c r="W93" t="s">
        <v>4470</v>
      </c>
      <c r="X93" t="s">
        <v>4471</v>
      </c>
      <c r="Y93" t="s">
        <v>4468</v>
      </c>
      <c r="Z93" t="s">
        <v>1015</v>
      </c>
      <c r="AA93" t="s">
        <v>4522</v>
      </c>
      <c r="AB93" t="s">
        <v>4521</v>
      </c>
      <c r="AC93" t="s">
        <v>61</v>
      </c>
      <c r="AD93" t="s">
        <v>19</v>
      </c>
      <c r="AE93" t="s">
        <v>19</v>
      </c>
      <c r="AF93" t="s">
        <v>4616</v>
      </c>
      <c r="AG93" t="s">
        <v>4767</v>
      </c>
      <c r="AH93" t="s">
        <v>22</v>
      </c>
      <c r="AI93" t="s">
        <v>22</v>
      </c>
      <c r="AJ93" t="s">
        <v>22</v>
      </c>
      <c r="AK93" t="s">
        <v>22</v>
      </c>
    </row>
    <row r="94" spans="1:37" ht="11.25" customHeight="1">
      <c r="A94" t="s">
        <v>22</v>
      </c>
      <c r="B94" t="s">
        <v>48</v>
      </c>
      <c r="C94" t="s">
        <v>50</v>
      </c>
      <c r="D94" t="s">
        <v>22</v>
      </c>
      <c r="E94" t="s">
        <v>4517</v>
      </c>
      <c r="F94" t="s">
        <v>1104</v>
      </c>
      <c r="G94" t="s">
        <v>99</v>
      </c>
      <c r="H94" t="s">
        <v>99</v>
      </c>
      <c r="I94" t="s">
        <v>100</v>
      </c>
      <c r="J94" t="s">
        <v>1059</v>
      </c>
      <c r="K94" t="s">
        <v>1060</v>
      </c>
      <c r="L94" t="s">
        <v>4768</v>
      </c>
      <c r="M94" t="s">
        <v>4769</v>
      </c>
      <c r="N94" t="s">
        <v>114</v>
      </c>
      <c r="O94" t="s">
        <v>4520</v>
      </c>
      <c r="P94" t="s">
        <v>4520</v>
      </c>
      <c r="Q94" t="s">
        <v>100</v>
      </c>
      <c r="R94" t="s">
        <v>1059</v>
      </c>
      <c r="S94" t="s">
        <v>1060</v>
      </c>
      <c r="T94" t="s">
        <v>4467</v>
      </c>
      <c r="U94" t="s">
        <v>4527</v>
      </c>
      <c r="V94" t="s">
        <v>4528</v>
      </c>
      <c r="W94" t="s">
        <v>4470</v>
      </c>
      <c r="X94" t="s">
        <v>4529</v>
      </c>
      <c r="Y94" t="s">
        <v>4527</v>
      </c>
      <c r="Z94" t="s">
        <v>4590</v>
      </c>
      <c r="AA94" t="s">
        <v>4531</v>
      </c>
      <c r="AB94" t="s">
        <v>4528</v>
      </c>
      <c r="AC94" t="s">
        <v>61</v>
      </c>
      <c r="AD94" t="s">
        <v>19</v>
      </c>
      <c r="AE94" t="s">
        <v>19</v>
      </c>
      <c r="AF94" t="s">
        <v>1823</v>
      </c>
      <c r="AG94" t="s">
        <v>766</v>
      </c>
      <c r="AH94" t="s">
        <v>22</v>
      </c>
      <c r="AI94" t="s">
        <v>22</v>
      </c>
      <c r="AJ94" t="s">
        <v>22</v>
      </c>
      <c r="AK94" t="s">
        <v>22</v>
      </c>
    </row>
    <row r="95" spans="1:37" ht="11.25" customHeight="1">
      <c r="A95" t="s">
        <v>22</v>
      </c>
      <c r="B95" t="s">
        <v>48</v>
      </c>
      <c r="C95" t="s">
        <v>50</v>
      </c>
      <c r="D95" t="s">
        <v>22</v>
      </c>
      <c r="E95" t="s">
        <v>4517</v>
      </c>
      <c r="F95" t="s">
        <v>1104</v>
      </c>
      <c r="G95" t="s">
        <v>99</v>
      </c>
      <c r="H95" t="s">
        <v>99</v>
      </c>
      <c r="I95" t="s">
        <v>100</v>
      </c>
      <c r="J95" t="s">
        <v>1059</v>
      </c>
      <c r="K95" t="s">
        <v>1060</v>
      </c>
      <c r="L95" t="s">
        <v>4770</v>
      </c>
      <c r="M95" t="s">
        <v>4771</v>
      </c>
      <c r="N95" t="s">
        <v>114</v>
      </c>
      <c r="O95" t="s">
        <v>4520</v>
      </c>
      <c r="P95" t="s">
        <v>4520</v>
      </c>
      <c r="Q95" t="s">
        <v>100</v>
      </c>
      <c r="R95" t="s">
        <v>1059</v>
      </c>
      <c r="S95" t="s">
        <v>1060</v>
      </c>
      <c r="T95" t="s">
        <v>4467</v>
      </c>
      <c r="U95" t="s">
        <v>4468</v>
      </c>
      <c r="V95" t="s">
        <v>4521</v>
      </c>
      <c r="W95" t="s">
        <v>4470</v>
      </c>
      <c r="X95" t="s">
        <v>4471</v>
      </c>
      <c r="Y95" t="s">
        <v>4468</v>
      </c>
      <c r="Z95" t="s">
        <v>1015</v>
      </c>
      <c r="AA95" t="s">
        <v>4522</v>
      </c>
      <c r="AB95" t="s">
        <v>4521</v>
      </c>
      <c r="AC95" t="s">
        <v>61</v>
      </c>
      <c r="AD95" t="s">
        <v>19</v>
      </c>
      <c r="AE95" t="s">
        <v>19</v>
      </c>
      <c r="AF95" t="s">
        <v>1784</v>
      </c>
      <c r="AG95" t="s">
        <v>4772</v>
      </c>
      <c r="AH95" t="s">
        <v>22</v>
      </c>
      <c r="AI95" t="s">
        <v>22</v>
      </c>
      <c r="AJ95" t="s">
        <v>22</v>
      </c>
      <c r="AK95" t="s">
        <v>22</v>
      </c>
    </row>
    <row r="96" spans="1:37" ht="11.25" customHeight="1">
      <c r="A96" t="s">
        <v>22</v>
      </c>
      <c r="B96" t="s">
        <v>48</v>
      </c>
      <c r="C96" t="s">
        <v>50</v>
      </c>
      <c r="D96" t="s">
        <v>22</v>
      </c>
      <c r="E96" t="s">
        <v>4517</v>
      </c>
      <c r="F96" t="s">
        <v>1104</v>
      </c>
      <c r="G96" t="s">
        <v>99</v>
      </c>
      <c r="H96" t="s">
        <v>99</v>
      </c>
      <c r="I96" t="s">
        <v>100</v>
      </c>
      <c r="J96" t="s">
        <v>1059</v>
      </c>
      <c r="K96" t="s">
        <v>1060</v>
      </c>
      <c r="L96" t="s">
        <v>4773</v>
      </c>
      <c r="M96" t="s">
        <v>4774</v>
      </c>
      <c r="N96" t="s">
        <v>114</v>
      </c>
      <c r="O96" t="s">
        <v>4520</v>
      </c>
      <c r="P96" t="s">
        <v>4520</v>
      </c>
      <c r="Q96" t="s">
        <v>100</v>
      </c>
      <c r="R96" t="s">
        <v>1059</v>
      </c>
      <c r="S96" t="s">
        <v>1060</v>
      </c>
      <c r="T96" t="s">
        <v>4467</v>
      </c>
      <c r="U96" t="s">
        <v>4468</v>
      </c>
      <c r="V96" t="s">
        <v>4521</v>
      </c>
      <c r="W96" t="s">
        <v>4470</v>
      </c>
      <c r="X96" t="s">
        <v>4471</v>
      </c>
      <c r="Y96" t="s">
        <v>4468</v>
      </c>
      <c r="Z96" t="s">
        <v>1015</v>
      </c>
      <c r="AA96" t="s">
        <v>4522</v>
      </c>
      <c r="AB96" t="s">
        <v>4521</v>
      </c>
      <c r="AC96" t="s">
        <v>61</v>
      </c>
      <c r="AD96" t="s">
        <v>19</v>
      </c>
      <c r="AE96" t="s">
        <v>19</v>
      </c>
      <c r="AF96" t="s">
        <v>1774</v>
      </c>
      <c r="AG96" t="s">
        <v>4775</v>
      </c>
      <c r="AH96" t="s">
        <v>22</v>
      </c>
      <c r="AI96" t="s">
        <v>22</v>
      </c>
      <c r="AJ96" t="s">
        <v>22</v>
      </c>
      <c r="AK96" t="s">
        <v>22</v>
      </c>
    </row>
    <row r="97" spans="1:37" ht="11.25" customHeight="1">
      <c r="A97" t="s">
        <v>22</v>
      </c>
      <c r="B97" t="s">
        <v>48</v>
      </c>
      <c r="C97" t="s">
        <v>50</v>
      </c>
      <c r="D97" t="s">
        <v>22</v>
      </c>
      <c r="E97" t="s">
        <v>4517</v>
      </c>
      <c r="F97" t="s">
        <v>1104</v>
      </c>
      <c r="G97" t="s">
        <v>99</v>
      </c>
      <c r="H97" t="s">
        <v>99</v>
      </c>
      <c r="I97" t="s">
        <v>100</v>
      </c>
      <c r="J97" t="s">
        <v>1059</v>
      </c>
      <c r="K97" t="s">
        <v>1060</v>
      </c>
      <c r="L97" t="s">
        <v>4611</v>
      </c>
      <c r="M97" t="s">
        <v>4776</v>
      </c>
      <c r="N97" t="s">
        <v>114</v>
      </c>
      <c r="O97" t="s">
        <v>4520</v>
      </c>
      <c r="P97" t="s">
        <v>4520</v>
      </c>
      <c r="Q97" t="s">
        <v>100</v>
      </c>
      <c r="R97" t="s">
        <v>1059</v>
      </c>
      <c r="S97" t="s">
        <v>1060</v>
      </c>
      <c r="T97" t="s">
        <v>4467</v>
      </c>
      <c r="U97" t="s">
        <v>4468</v>
      </c>
      <c r="V97" t="s">
        <v>4521</v>
      </c>
      <c r="W97" t="s">
        <v>4470</v>
      </c>
      <c r="X97" t="s">
        <v>4471</v>
      </c>
      <c r="Y97" t="s">
        <v>4468</v>
      </c>
      <c r="Z97" t="s">
        <v>1015</v>
      </c>
      <c r="AA97" t="s">
        <v>4522</v>
      </c>
      <c r="AB97" t="s">
        <v>4521</v>
      </c>
      <c r="AC97" t="s">
        <v>61</v>
      </c>
      <c r="AD97" t="s">
        <v>19</v>
      </c>
      <c r="AE97" t="s">
        <v>19</v>
      </c>
      <c r="AF97" t="s">
        <v>4532</v>
      </c>
      <c r="AG97" t="s">
        <v>1823</v>
      </c>
      <c r="AH97" t="s">
        <v>22</v>
      </c>
      <c r="AI97" t="s">
        <v>22</v>
      </c>
      <c r="AJ97" t="s">
        <v>22</v>
      </c>
      <c r="AK97" t="s">
        <v>22</v>
      </c>
    </row>
    <row r="98" spans="1:37" ht="11.25" customHeight="1">
      <c r="A98" t="s">
        <v>22</v>
      </c>
      <c r="B98" t="s">
        <v>48</v>
      </c>
      <c r="C98" t="s">
        <v>50</v>
      </c>
      <c r="D98" t="s">
        <v>22</v>
      </c>
      <c r="E98" t="s">
        <v>4517</v>
      </c>
      <c r="F98" t="s">
        <v>1104</v>
      </c>
      <c r="G98" t="s">
        <v>99</v>
      </c>
      <c r="H98" t="s">
        <v>99</v>
      </c>
      <c r="I98" t="s">
        <v>100</v>
      </c>
      <c r="J98" t="s">
        <v>1059</v>
      </c>
      <c r="K98" t="s">
        <v>1060</v>
      </c>
      <c r="L98" t="s">
        <v>4777</v>
      </c>
      <c r="M98" t="s">
        <v>4778</v>
      </c>
      <c r="N98" t="s">
        <v>114</v>
      </c>
      <c r="O98" t="s">
        <v>4520</v>
      </c>
      <c r="P98" t="s">
        <v>4520</v>
      </c>
      <c r="Q98" t="s">
        <v>100</v>
      </c>
      <c r="R98" t="s">
        <v>1059</v>
      </c>
      <c r="S98" t="s">
        <v>1060</v>
      </c>
      <c r="T98" t="s">
        <v>4467</v>
      </c>
      <c r="U98" t="s">
        <v>4468</v>
      </c>
      <c r="V98" t="s">
        <v>4521</v>
      </c>
      <c r="W98" t="s">
        <v>4470</v>
      </c>
      <c r="X98" t="s">
        <v>4471</v>
      </c>
      <c r="Y98" t="s">
        <v>4468</v>
      </c>
      <c r="Z98" t="s">
        <v>1015</v>
      </c>
      <c r="AA98" t="s">
        <v>4522</v>
      </c>
      <c r="AB98" t="s">
        <v>4521</v>
      </c>
      <c r="AC98" t="s">
        <v>61</v>
      </c>
      <c r="AD98" t="s">
        <v>19</v>
      </c>
      <c r="AE98" t="s">
        <v>19</v>
      </c>
      <c r="AF98" t="s">
        <v>4523</v>
      </c>
      <c r="AG98" t="s">
        <v>4779</v>
      </c>
      <c r="AH98" t="s">
        <v>22</v>
      </c>
      <c r="AI98" t="s">
        <v>22</v>
      </c>
      <c r="AJ98" t="s">
        <v>22</v>
      </c>
      <c r="AK98" t="s">
        <v>22</v>
      </c>
    </row>
    <row r="99" spans="1:37" ht="11.25" customHeight="1">
      <c r="A99" t="s">
        <v>22</v>
      </c>
      <c r="B99" t="s">
        <v>48</v>
      </c>
      <c r="C99" t="s">
        <v>50</v>
      </c>
      <c r="D99" t="s">
        <v>22</v>
      </c>
      <c r="E99" t="s">
        <v>4517</v>
      </c>
      <c r="F99" t="s">
        <v>1104</v>
      </c>
      <c r="G99" t="s">
        <v>99</v>
      </c>
      <c r="H99" t="s">
        <v>99</v>
      </c>
      <c r="I99" t="s">
        <v>100</v>
      </c>
      <c r="J99" t="s">
        <v>1059</v>
      </c>
      <c r="K99" t="s">
        <v>1060</v>
      </c>
      <c r="L99" t="s">
        <v>4780</v>
      </c>
      <c r="M99" t="s">
        <v>4675</v>
      </c>
      <c r="N99" t="s">
        <v>114</v>
      </c>
      <c r="O99" t="s">
        <v>4520</v>
      </c>
      <c r="P99" t="s">
        <v>4520</v>
      </c>
      <c r="Q99" t="s">
        <v>100</v>
      </c>
      <c r="R99" t="s">
        <v>1059</v>
      </c>
      <c r="S99" t="s">
        <v>1060</v>
      </c>
      <c r="T99" t="s">
        <v>4467</v>
      </c>
      <c r="U99" t="s">
        <v>4468</v>
      </c>
      <c r="V99" t="s">
        <v>4521</v>
      </c>
      <c r="W99" t="s">
        <v>4470</v>
      </c>
      <c r="X99" t="s">
        <v>4471</v>
      </c>
      <c r="Y99" t="s">
        <v>4468</v>
      </c>
      <c r="Z99" t="s">
        <v>1015</v>
      </c>
      <c r="AA99" t="s">
        <v>4522</v>
      </c>
      <c r="AB99" t="s">
        <v>4521</v>
      </c>
      <c r="AC99" t="s">
        <v>61</v>
      </c>
      <c r="AD99" t="s">
        <v>19</v>
      </c>
      <c r="AE99" t="s">
        <v>19</v>
      </c>
      <c r="AF99" t="s">
        <v>4532</v>
      </c>
      <c r="AG99" t="s">
        <v>4781</v>
      </c>
      <c r="AH99" t="s">
        <v>22</v>
      </c>
      <c r="AI99" t="s">
        <v>22</v>
      </c>
      <c r="AJ99" t="s">
        <v>22</v>
      </c>
      <c r="AK99" t="s">
        <v>22</v>
      </c>
    </row>
    <row r="100" spans="1:37" ht="11.25" customHeight="1">
      <c r="A100" t="s">
        <v>22</v>
      </c>
      <c r="B100" t="s">
        <v>48</v>
      </c>
      <c r="C100" t="s">
        <v>50</v>
      </c>
      <c r="D100" t="s">
        <v>22</v>
      </c>
      <c r="E100" t="s">
        <v>4517</v>
      </c>
      <c r="F100" t="s">
        <v>1104</v>
      </c>
      <c r="G100" t="s">
        <v>99</v>
      </c>
      <c r="H100" t="s">
        <v>99</v>
      </c>
      <c r="I100" t="s">
        <v>100</v>
      </c>
      <c r="J100" t="s">
        <v>1059</v>
      </c>
      <c r="K100" t="s">
        <v>1060</v>
      </c>
      <c r="L100" t="s">
        <v>4533</v>
      </c>
      <c r="M100" t="s">
        <v>4782</v>
      </c>
      <c r="N100" t="s">
        <v>114</v>
      </c>
      <c r="O100" t="s">
        <v>4520</v>
      </c>
      <c r="P100" t="s">
        <v>4520</v>
      </c>
      <c r="Q100" t="s">
        <v>100</v>
      </c>
      <c r="R100" t="s">
        <v>1059</v>
      </c>
      <c r="S100" t="s">
        <v>1060</v>
      </c>
      <c r="T100" t="s">
        <v>4467</v>
      </c>
      <c r="U100" t="s">
        <v>4468</v>
      </c>
      <c r="V100" t="s">
        <v>4521</v>
      </c>
      <c r="W100" t="s">
        <v>4470</v>
      </c>
      <c r="X100" t="s">
        <v>4471</v>
      </c>
      <c r="Y100" t="s">
        <v>4468</v>
      </c>
      <c r="Z100" t="s">
        <v>1015</v>
      </c>
      <c r="AA100" t="s">
        <v>4522</v>
      </c>
      <c r="AB100" t="s">
        <v>4521</v>
      </c>
      <c r="AC100" t="s">
        <v>61</v>
      </c>
      <c r="AD100" t="s">
        <v>19</v>
      </c>
      <c r="AE100" t="s">
        <v>19</v>
      </c>
      <c r="AF100" t="s">
        <v>4560</v>
      </c>
      <c r="AG100" t="s">
        <v>4783</v>
      </c>
      <c r="AH100" t="s">
        <v>22</v>
      </c>
      <c r="AI100" t="s">
        <v>22</v>
      </c>
      <c r="AJ100" t="s">
        <v>22</v>
      </c>
      <c r="AK100" t="s">
        <v>22</v>
      </c>
    </row>
    <row r="101" spans="1:37" ht="11.25" customHeight="1">
      <c r="A101" t="s">
        <v>22</v>
      </c>
      <c r="B101" t="s">
        <v>48</v>
      </c>
      <c r="C101" t="s">
        <v>50</v>
      </c>
      <c r="D101" t="s">
        <v>22</v>
      </c>
      <c r="E101" t="s">
        <v>4517</v>
      </c>
      <c r="F101" t="s">
        <v>1104</v>
      </c>
      <c r="G101" t="s">
        <v>99</v>
      </c>
      <c r="H101" t="s">
        <v>99</v>
      </c>
      <c r="I101" t="s">
        <v>100</v>
      </c>
      <c r="J101" t="s">
        <v>1059</v>
      </c>
      <c r="K101" t="s">
        <v>1060</v>
      </c>
      <c r="L101" t="s">
        <v>4784</v>
      </c>
      <c r="M101" t="s">
        <v>4785</v>
      </c>
      <c r="N101" t="s">
        <v>114</v>
      </c>
      <c r="O101" t="s">
        <v>4520</v>
      </c>
      <c r="P101" t="s">
        <v>4520</v>
      </c>
      <c r="Q101" t="s">
        <v>100</v>
      </c>
      <c r="R101" t="s">
        <v>1059</v>
      </c>
      <c r="S101" t="s">
        <v>1060</v>
      </c>
      <c r="T101" t="s">
        <v>4467</v>
      </c>
      <c r="U101" t="s">
        <v>4468</v>
      </c>
      <c r="V101" t="s">
        <v>4521</v>
      </c>
      <c r="W101" t="s">
        <v>4470</v>
      </c>
      <c r="X101" t="s">
        <v>4471</v>
      </c>
      <c r="Y101" t="s">
        <v>4468</v>
      </c>
      <c r="Z101" t="s">
        <v>1015</v>
      </c>
      <c r="AA101" t="s">
        <v>4522</v>
      </c>
      <c r="AB101" t="s">
        <v>4521</v>
      </c>
      <c r="AC101" t="s">
        <v>61</v>
      </c>
      <c r="AD101" t="s">
        <v>19</v>
      </c>
      <c r="AE101" t="s">
        <v>19</v>
      </c>
      <c r="AF101" t="s">
        <v>1774</v>
      </c>
      <c r="AG101" t="s">
        <v>4786</v>
      </c>
      <c r="AH101" t="s">
        <v>22</v>
      </c>
      <c r="AI101" t="s">
        <v>22</v>
      </c>
      <c r="AJ101" t="s">
        <v>22</v>
      </c>
      <c r="AK101" t="s">
        <v>22</v>
      </c>
    </row>
    <row r="102" spans="1:37" ht="11.25" customHeight="1">
      <c r="A102" t="s">
        <v>22</v>
      </c>
      <c r="B102" t="s">
        <v>48</v>
      </c>
      <c r="C102" t="s">
        <v>50</v>
      </c>
      <c r="D102" t="s">
        <v>22</v>
      </c>
      <c r="E102" t="s">
        <v>4517</v>
      </c>
      <c r="F102" t="s">
        <v>1104</v>
      </c>
      <c r="G102" t="s">
        <v>99</v>
      </c>
      <c r="H102" t="s">
        <v>99</v>
      </c>
      <c r="I102" t="s">
        <v>100</v>
      </c>
      <c r="J102" t="s">
        <v>1059</v>
      </c>
      <c r="K102" t="s">
        <v>1060</v>
      </c>
      <c r="L102" t="s">
        <v>4787</v>
      </c>
      <c r="M102" t="s">
        <v>164</v>
      </c>
      <c r="N102" t="s">
        <v>114</v>
      </c>
      <c r="O102" t="s">
        <v>4520</v>
      </c>
      <c r="P102" t="s">
        <v>4520</v>
      </c>
      <c r="Q102" t="s">
        <v>100</v>
      </c>
      <c r="R102" t="s">
        <v>1059</v>
      </c>
      <c r="S102" t="s">
        <v>1060</v>
      </c>
      <c r="T102" t="s">
        <v>4467</v>
      </c>
      <c r="U102" t="s">
        <v>4468</v>
      </c>
      <c r="V102" t="s">
        <v>4521</v>
      </c>
      <c r="W102" t="s">
        <v>4470</v>
      </c>
      <c r="X102" t="s">
        <v>4471</v>
      </c>
      <c r="Y102" t="s">
        <v>4468</v>
      </c>
      <c r="Z102" t="s">
        <v>1015</v>
      </c>
      <c r="AA102" t="s">
        <v>4522</v>
      </c>
      <c r="AB102" t="s">
        <v>4521</v>
      </c>
      <c r="AC102" t="s">
        <v>61</v>
      </c>
      <c r="AD102" t="s">
        <v>19</v>
      </c>
      <c r="AE102" t="s">
        <v>19</v>
      </c>
      <c r="AF102" t="s">
        <v>4788</v>
      </c>
      <c r="AG102" t="s">
        <v>4789</v>
      </c>
      <c r="AH102" t="s">
        <v>22</v>
      </c>
      <c r="AI102" t="s">
        <v>22</v>
      </c>
      <c r="AJ102" t="s">
        <v>22</v>
      </c>
      <c r="AK102" t="s">
        <v>22</v>
      </c>
    </row>
    <row r="103" spans="1:37" ht="11.25" customHeight="1">
      <c r="A103" t="s">
        <v>22</v>
      </c>
      <c r="B103" t="s">
        <v>48</v>
      </c>
      <c r="C103" t="s">
        <v>50</v>
      </c>
      <c r="D103" t="s">
        <v>22</v>
      </c>
      <c r="E103" t="s">
        <v>4517</v>
      </c>
      <c r="F103" t="s">
        <v>1104</v>
      </c>
      <c r="G103" t="s">
        <v>99</v>
      </c>
      <c r="H103" t="s">
        <v>99</v>
      </c>
      <c r="I103" t="s">
        <v>100</v>
      </c>
      <c r="J103" t="s">
        <v>1059</v>
      </c>
      <c r="K103" t="s">
        <v>1060</v>
      </c>
      <c r="L103" t="s">
        <v>4790</v>
      </c>
      <c r="M103" t="s">
        <v>4678</v>
      </c>
      <c r="N103" t="s">
        <v>114</v>
      </c>
      <c r="O103" t="s">
        <v>4520</v>
      </c>
      <c r="P103" t="s">
        <v>4520</v>
      </c>
      <c r="Q103" t="s">
        <v>100</v>
      </c>
      <c r="R103" t="s">
        <v>1059</v>
      </c>
      <c r="S103" t="s">
        <v>1060</v>
      </c>
      <c r="T103" t="s">
        <v>4467</v>
      </c>
      <c r="U103" t="s">
        <v>4468</v>
      </c>
      <c r="V103" t="s">
        <v>4521</v>
      </c>
      <c r="W103" t="s">
        <v>4470</v>
      </c>
      <c r="X103" t="s">
        <v>4471</v>
      </c>
      <c r="Y103" t="s">
        <v>4468</v>
      </c>
      <c r="Z103" t="s">
        <v>1015</v>
      </c>
      <c r="AA103" t="s">
        <v>4522</v>
      </c>
      <c r="AB103" t="s">
        <v>4521</v>
      </c>
      <c r="AC103" t="s">
        <v>61</v>
      </c>
      <c r="AD103" t="s">
        <v>19</v>
      </c>
      <c r="AE103" t="s">
        <v>19</v>
      </c>
      <c r="AF103" t="s">
        <v>1173</v>
      </c>
      <c r="AG103" t="s">
        <v>387</v>
      </c>
      <c r="AH103" t="s">
        <v>22</v>
      </c>
      <c r="AI103" t="s">
        <v>22</v>
      </c>
      <c r="AJ103" t="s">
        <v>22</v>
      </c>
      <c r="AK103" t="s">
        <v>22</v>
      </c>
    </row>
    <row r="104" spans="1:37" ht="11.25" customHeight="1">
      <c r="A104" t="s">
        <v>22</v>
      </c>
      <c r="B104" t="s">
        <v>48</v>
      </c>
      <c r="C104" t="s">
        <v>50</v>
      </c>
      <c r="D104" t="s">
        <v>22</v>
      </c>
      <c r="E104" t="s">
        <v>4517</v>
      </c>
      <c r="F104" t="s">
        <v>1104</v>
      </c>
      <c r="G104" t="s">
        <v>99</v>
      </c>
      <c r="H104" t="s">
        <v>99</v>
      </c>
      <c r="I104" t="s">
        <v>100</v>
      </c>
      <c r="J104" t="s">
        <v>1059</v>
      </c>
      <c r="K104" t="s">
        <v>1060</v>
      </c>
      <c r="L104" t="s">
        <v>4791</v>
      </c>
      <c r="M104" t="s">
        <v>4549</v>
      </c>
      <c r="N104" t="s">
        <v>114</v>
      </c>
      <c r="O104" t="s">
        <v>4520</v>
      </c>
      <c r="P104" t="s">
        <v>4520</v>
      </c>
      <c r="Q104" t="s">
        <v>100</v>
      </c>
      <c r="R104" t="s">
        <v>1059</v>
      </c>
      <c r="S104" t="s">
        <v>1060</v>
      </c>
      <c r="T104" t="s">
        <v>4467</v>
      </c>
      <c r="U104" t="s">
        <v>4468</v>
      </c>
      <c r="V104" t="s">
        <v>4521</v>
      </c>
      <c r="W104" t="s">
        <v>4470</v>
      </c>
      <c r="X104" t="s">
        <v>4471</v>
      </c>
      <c r="Y104" t="s">
        <v>4468</v>
      </c>
      <c r="Z104" t="s">
        <v>1015</v>
      </c>
      <c r="AA104" t="s">
        <v>4522</v>
      </c>
      <c r="AB104" t="s">
        <v>4521</v>
      </c>
      <c r="AC104" t="s">
        <v>61</v>
      </c>
      <c r="AD104" t="s">
        <v>19</v>
      </c>
      <c r="AE104" t="s">
        <v>19</v>
      </c>
      <c r="AF104" t="s">
        <v>1823</v>
      </c>
      <c r="AG104" t="s">
        <v>387</v>
      </c>
      <c r="AH104" t="s">
        <v>22</v>
      </c>
      <c r="AI104" t="s">
        <v>22</v>
      </c>
      <c r="AJ104" t="s">
        <v>22</v>
      </c>
      <c r="AK104" t="s">
        <v>22</v>
      </c>
    </row>
    <row r="105" spans="1:37" ht="11.25" customHeight="1">
      <c r="A105" t="s">
        <v>22</v>
      </c>
      <c r="B105" t="s">
        <v>48</v>
      </c>
      <c r="C105" t="s">
        <v>50</v>
      </c>
      <c r="D105" t="s">
        <v>22</v>
      </c>
      <c r="E105" t="s">
        <v>4517</v>
      </c>
      <c r="F105" t="s">
        <v>1104</v>
      </c>
      <c r="G105" t="s">
        <v>99</v>
      </c>
      <c r="H105" t="s">
        <v>99</v>
      </c>
      <c r="I105" t="s">
        <v>100</v>
      </c>
      <c r="J105" t="s">
        <v>1059</v>
      </c>
      <c r="K105" t="s">
        <v>1060</v>
      </c>
      <c r="L105" t="s">
        <v>4792</v>
      </c>
      <c r="M105" t="s">
        <v>1075</v>
      </c>
      <c r="N105" t="s">
        <v>114</v>
      </c>
      <c r="O105" t="s">
        <v>4520</v>
      </c>
      <c r="P105" t="s">
        <v>4520</v>
      </c>
      <c r="Q105" t="s">
        <v>100</v>
      </c>
      <c r="R105" t="s">
        <v>1059</v>
      </c>
      <c r="S105" t="s">
        <v>1060</v>
      </c>
      <c r="T105" t="s">
        <v>4606</v>
      </c>
      <c r="U105" t="s">
        <v>4793</v>
      </c>
      <c r="V105" t="s">
        <v>4794</v>
      </c>
      <c r="W105" t="s">
        <v>4487</v>
      </c>
      <c r="X105" t="s">
        <v>4795</v>
      </c>
      <c r="Y105" t="s">
        <v>4669</v>
      </c>
      <c r="Z105" t="s">
        <v>4796</v>
      </c>
      <c r="AA105" t="s">
        <v>4797</v>
      </c>
      <c r="AB105" t="s">
        <v>4794</v>
      </c>
      <c r="AC105" t="s">
        <v>61</v>
      </c>
      <c r="AD105" t="s">
        <v>19</v>
      </c>
      <c r="AE105" t="s">
        <v>19</v>
      </c>
      <c r="AF105" t="s">
        <v>4798</v>
      </c>
      <c r="AG105" t="s">
        <v>387</v>
      </c>
      <c r="AH105" t="s">
        <v>22</v>
      </c>
      <c r="AI105" t="s">
        <v>22</v>
      </c>
      <c r="AJ105" t="s">
        <v>22</v>
      </c>
      <c r="AK105" t="s">
        <v>22</v>
      </c>
    </row>
    <row r="106" spans="1:37" ht="11.25" customHeight="1">
      <c r="A106" t="s">
        <v>22</v>
      </c>
      <c r="B106" t="s">
        <v>48</v>
      </c>
      <c r="C106" t="s">
        <v>50</v>
      </c>
      <c r="D106" t="s">
        <v>22</v>
      </c>
      <c r="E106" t="s">
        <v>4517</v>
      </c>
      <c r="F106" t="s">
        <v>1104</v>
      </c>
      <c r="G106" t="s">
        <v>99</v>
      </c>
      <c r="H106" t="s">
        <v>99</v>
      </c>
      <c r="I106" t="s">
        <v>100</v>
      </c>
      <c r="J106" t="s">
        <v>1059</v>
      </c>
      <c r="K106" t="s">
        <v>1060</v>
      </c>
      <c r="L106" t="s">
        <v>4799</v>
      </c>
      <c r="M106" t="s">
        <v>1075</v>
      </c>
      <c r="N106" t="s">
        <v>114</v>
      </c>
      <c r="O106" t="s">
        <v>4520</v>
      </c>
      <c r="P106" t="s">
        <v>4520</v>
      </c>
      <c r="Q106" t="s">
        <v>100</v>
      </c>
      <c r="R106" t="s">
        <v>1059</v>
      </c>
      <c r="S106" t="s">
        <v>1060</v>
      </c>
      <c r="T106" t="s">
        <v>4467</v>
      </c>
      <c r="U106" t="s">
        <v>4468</v>
      </c>
      <c r="V106" t="s">
        <v>4521</v>
      </c>
      <c r="W106" t="s">
        <v>4470</v>
      </c>
      <c r="X106" t="s">
        <v>4471</v>
      </c>
      <c r="Y106" t="s">
        <v>4468</v>
      </c>
      <c r="Z106" t="s">
        <v>1015</v>
      </c>
      <c r="AA106" t="s">
        <v>4522</v>
      </c>
      <c r="AB106" t="s">
        <v>4521</v>
      </c>
      <c r="AC106" t="s">
        <v>61</v>
      </c>
      <c r="AD106" t="s">
        <v>19</v>
      </c>
      <c r="AE106" t="s">
        <v>19</v>
      </c>
      <c r="AF106" t="s">
        <v>1774</v>
      </c>
      <c r="AG106" t="s">
        <v>4800</v>
      </c>
      <c r="AH106" t="s">
        <v>22</v>
      </c>
      <c r="AI106" t="s">
        <v>22</v>
      </c>
      <c r="AJ106" t="s">
        <v>22</v>
      </c>
      <c r="AK106" t="s">
        <v>22</v>
      </c>
    </row>
    <row r="107" spans="1:37" ht="11.25" customHeight="1">
      <c r="A107" t="s">
        <v>22</v>
      </c>
      <c r="B107" t="s">
        <v>48</v>
      </c>
      <c r="C107" t="s">
        <v>50</v>
      </c>
      <c r="D107" t="s">
        <v>22</v>
      </c>
      <c r="E107" t="s">
        <v>4517</v>
      </c>
      <c r="F107" t="s">
        <v>1104</v>
      </c>
      <c r="G107" t="s">
        <v>99</v>
      </c>
      <c r="H107" t="s">
        <v>99</v>
      </c>
      <c r="I107" t="s">
        <v>100</v>
      </c>
      <c r="J107" t="s">
        <v>1059</v>
      </c>
      <c r="K107" t="s">
        <v>1060</v>
      </c>
      <c r="L107" t="s">
        <v>4801</v>
      </c>
      <c r="M107" t="s">
        <v>4760</v>
      </c>
      <c r="N107" t="s">
        <v>114</v>
      </c>
      <c r="O107" t="s">
        <v>4520</v>
      </c>
      <c r="P107" t="s">
        <v>4520</v>
      </c>
      <c r="Q107" t="s">
        <v>100</v>
      </c>
      <c r="R107" t="s">
        <v>1059</v>
      </c>
      <c r="S107" t="s">
        <v>1060</v>
      </c>
      <c r="T107" t="s">
        <v>4467</v>
      </c>
      <c r="U107" t="s">
        <v>4468</v>
      </c>
      <c r="V107" t="s">
        <v>4521</v>
      </c>
      <c r="W107" t="s">
        <v>4470</v>
      </c>
      <c r="X107" t="s">
        <v>4471</v>
      </c>
      <c r="Y107" t="s">
        <v>4468</v>
      </c>
      <c r="Z107" t="s">
        <v>1015</v>
      </c>
      <c r="AA107" t="s">
        <v>4522</v>
      </c>
      <c r="AB107" t="s">
        <v>4521</v>
      </c>
      <c r="AC107" t="s">
        <v>61</v>
      </c>
      <c r="AD107" t="s">
        <v>19</v>
      </c>
      <c r="AE107" t="s">
        <v>19</v>
      </c>
      <c r="AF107" t="s">
        <v>4523</v>
      </c>
      <c r="AG107" t="s">
        <v>387</v>
      </c>
      <c r="AH107" t="s">
        <v>22</v>
      </c>
      <c r="AI107" t="s">
        <v>22</v>
      </c>
      <c r="AJ107" t="s">
        <v>22</v>
      </c>
      <c r="AK107" t="s">
        <v>22</v>
      </c>
    </row>
    <row r="108" spans="1:37" ht="11.25" customHeight="1">
      <c r="A108" t="s">
        <v>22</v>
      </c>
      <c r="B108" t="s">
        <v>48</v>
      </c>
      <c r="C108" t="s">
        <v>50</v>
      </c>
      <c r="D108" t="s">
        <v>22</v>
      </c>
      <c r="E108" t="s">
        <v>4517</v>
      </c>
      <c r="F108" t="s">
        <v>1104</v>
      </c>
      <c r="G108" t="s">
        <v>99</v>
      </c>
      <c r="H108" t="s">
        <v>99</v>
      </c>
      <c r="I108" t="s">
        <v>100</v>
      </c>
      <c r="J108" t="s">
        <v>1059</v>
      </c>
      <c r="K108" t="s">
        <v>1060</v>
      </c>
      <c r="L108" t="s">
        <v>1070</v>
      </c>
      <c r="M108" t="s">
        <v>4802</v>
      </c>
      <c r="N108" t="s">
        <v>114</v>
      </c>
      <c r="O108" t="s">
        <v>4520</v>
      </c>
      <c r="P108" t="s">
        <v>4520</v>
      </c>
      <c r="Q108" t="s">
        <v>100</v>
      </c>
      <c r="R108" t="s">
        <v>1059</v>
      </c>
      <c r="S108" t="s">
        <v>1060</v>
      </c>
      <c r="T108" t="s">
        <v>4467</v>
      </c>
      <c r="U108" t="s">
        <v>4468</v>
      </c>
      <c r="V108" t="s">
        <v>4521</v>
      </c>
      <c r="W108" t="s">
        <v>4470</v>
      </c>
      <c r="X108" t="s">
        <v>4471</v>
      </c>
      <c r="Y108" t="s">
        <v>4468</v>
      </c>
      <c r="Z108" t="s">
        <v>1015</v>
      </c>
      <c r="AA108" t="s">
        <v>4522</v>
      </c>
      <c r="AB108" t="s">
        <v>4521</v>
      </c>
      <c r="AC108" t="s">
        <v>61</v>
      </c>
      <c r="AD108" t="s">
        <v>19</v>
      </c>
      <c r="AE108" t="s">
        <v>19</v>
      </c>
      <c r="AF108" t="s">
        <v>1774</v>
      </c>
      <c r="AG108" t="s">
        <v>4803</v>
      </c>
      <c r="AH108" t="s">
        <v>22</v>
      </c>
      <c r="AI108" t="s">
        <v>22</v>
      </c>
      <c r="AJ108" t="s">
        <v>22</v>
      </c>
      <c r="AK108" t="s">
        <v>22</v>
      </c>
    </row>
    <row r="109" spans="1:37" ht="11.25" customHeight="1">
      <c r="A109" t="s">
        <v>22</v>
      </c>
      <c r="B109" t="s">
        <v>48</v>
      </c>
      <c r="C109" t="s">
        <v>50</v>
      </c>
      <c r="D109" t="s">
        <v>22</v>
      </c>
      <c r="E109" t="s">
        <v>4517</v>
      </c>
      <c r="F109" t="s">
        <v>1104</v>
      </c>
      <c r="G109" t="s">
        <v>99</v>
      </c>
      <c r="H109" t="s">
        <v>99</v>
      </c>
      <c r="I109" t="s">
        <v>100</v>
      </c>
      <c r="J109" t="s">
        <v>1059</v>
      </c>
      <c r="K109" t="s">
        <v>1060</v>
      </c>
      <c r="L109" t="s">
        <v>4533</v>
      </c>
      <c r="M109" t="s">
        <v>4804</v>
      </c>
      <c r="N109" t="s">
        <v>114</v>
      </c>
      <c r="O109" t="s">
        <v>4520</v>
      </c>
      <c r="P109" t="s">
        <v>4520</v>
      </c>
      <c r="Q109" t="s">
        <v>100</v>
      </c>
      <c r="R109" t="s">
        <v>1059</v>
      </c>
      <c r="S109" t="s">
        <v>1060</v>
      </c>
      <c r="T109" t="s">
        <v>4467</v>
      </c>
      <c r="U109" t="s">
        <v>4468</v>
      </c>
      <c r="V109" t="s">
        <v>4521</v>
      </c>
      <c r="W109" t="s">
        <v>4470</v>
      </c>
      <c r="X109" t="s">
        <v>4471</v>
      </c>
      <c r="Y109" t="s">
        <v>4468</v>
      </c>
      <c r="Z109" t="s">
        <v>1015</v>
      </c>
      <c r="AA109" t="s">
        <v>4522</v>
      </c>
      <c r="AB109" t="s">
        <v>4521</v>
      </c>
      <c r="AC109" t="s">
        <v>61</v>
      </c>
      <c r="AD109" t="s">
        <v>19</v>
      </c>
      <c r="AE109" t="s">
        <v>19</v>
      </c>
      <c r="AF109" t="s">
        <v>4523</v>
      </c>
      <c r="AG109" t="s">
        <v>4805</v>
      </c>
      <c r="AH109" t="s">
        <v>22</v>
      </c>
      <c r="AI109" t="s">
        <v>22</v>
      </c>
      <c r="AJ109" t="s">
        <v>22</v>
      </c>
      <c r="AK109" t="s">
        <v>22</v>
      </c>
    </row>
    <row r="110" spans="1:37" ht="11.25" customHeight="1">
      <c r="A110" t="s">
        <v>22</v>
      </c>
      <c r="B110" t="s">
        <v>48</v>
      </c>
      <c r="C110" t="s">
        <v>50</v>
      </c>
      <c r="D110" t="s">
        <v>22</v>
      </c>
      <c r="E110" t="s">
        <v>4517</v>
      </c>
      <c r="F110" t="s">
        <v>1104</v>
      </c>
      <c r="G110" t="s">
        <v>99</v>
      </c>
      <c r="H110" t="s">
        <v>99</v>
      </c>
      <c r="I110" t="s">
        <v>100</v>
      </c>
      <c r="J110" t="s">
        <v>1059</v>
      </c>
      <c r="K110" t="s">
        <v>1060</v>
      </c>
      <c r="L110" t="s">
        <v>4533</v>
      </c>
      <c r="M110" t="s">
        <v>4806</v>
      </c>
      <c r="N110" t="s">
        <v>114</v>
      </c>
      <c r="O110" t="s">
        <v>4520</v>
      </c>
      <c r="P110" t="s">
        <v>4520</v>
      </c>
      <c r="Q110" t="s">
        <v>100</v>
      </c>
      <c r="R110" t="s">
        <v>1059</v>
      </c>
      <c r="S110" t="s">
        <v>1060</v>
      </c>
      <c r="T110" t="s">
        <v>4467</v>
      </c>
      <c r="U110" t="s">
        <v>4468</v>
      </c>
      <c r="V110" t="s">
        <v>4521</v>
      </c>
      <c r="W110" t="s">
        <v>4470</v>
      </c>
      <c r="X110" t="s">
        <v>4471</v>
      </c>
      <c r="Y110" t="s">
        <v>4468</v>
      </c>
      <c r="Z110" t="s">
        <v>1015</v>
      </c>
      <c r="AA110" t="s">
        <v>4522</v>
      </c>
      <c r="AB110" t="s">
        <v>4521</v>
      </c>
      <c r="AC110" t="s">
        <v>61</v>
      </c>
      <c r="AD110" t="s">
        <v>19</v>
      </c>
      <c r="AE110" t="s">
        <v>19</v>
      </c>
      <c r="AF110" t="s">
        <v>4523</v>
      </c>
      <c r="AG110" t="s">
        <v>4807</v>
      </c>
      <c r="AH110" t="s">
        <v>22</v>
      </c>
      <c r="AI110" t="s">
        <v>22</v>
      </c>
      <c r="AJ110" t="s">
        <v>22</v>
      </c>
      <c r="AK110" t="s">
        <v>22</v>
      </c>
    </row>
    <row r="111" spans="1:37" ht="11.25" customHeight="1">
      <c r="A111" t="s">
        <v>22</v>
      </c>
      <c r="B111" t="s">
        <v>48</v>
      </c>
      <c r="C111" t="s">
        <v>50</v>
      </c>
      <c r="D111" t="s">
        <v>22</v>
      </c>
      <c r="E111" t="s">
        <v>4517</v>
      </c>
      <c r="F111" t="s">
        <v>1104</v>
      </c>
      <c r="G111" t="s">
        <v>99</v>
      </c>
      <c r="H111" t="s">
        <v>99</v>
      </c>
      <c r="I111" t="s">
        <v>100</v>
      </c>
      <c r="J111" t="s">
        <v>1059</v>
      </c>
      <c r="K111" t="s">
        <v>1060</v>
      </c>
      <c r="L111" t="s">
        <v>4808</v>
      </c>
      <c r="M111" t="s">
        <v>4809</v>
      </c>
      <c r="N111" t="s">
        <v>114</v>
      </c>
      <c r="O111" t="s">
        <v>4520</v>
      </c>
      <c r="P111" t="s">
        <v>4520</v>
      </c>
      <c r="Q111" t="s">
        <v>100</v>
      </c>
      <c r="R111" t="s">
        <v>1059</v>
      </c>
      <c r="S111" t="s">
        <v>1060</v>
      </c>
      <c r="T111" t="s">
        <v>4467</v>
      </c>
      <c r="U111" t="s">
        <v>4468</v>
      </c>
      <c r="V111" t="s">
        <v>4521</v>
      </c>
      <c r="W111" t="s">
        <v>4470</v>
      </c>
      <c r="X111" t="s">
        <v>4471</v>
      </c>
      <c r="Y111" t="s">
        <v>4468</v>
      </c>
      <c r="Z111" t="s">
        <v>1015</v>
      </c>
      <c r="AA111" t="s">
        <v>4522</v>
      </c>
      <c r="AB111" t="s">
        <v>4521</v>
      </c>
      <c r="AC111" t="s">
        <v>61</v>
      </c>
      <c r="AD111" t="s">
        <v>19</v>
      </c>
      <c r="AE111" t="s">
        <v>19</v>
      </c>
      <c r="AF111" t="s">
        <v>4741</v>
      </c>
      <c r="AG111" t="s">
        <v>4810</v>
      </c>
      <c r="AH111" t="s">
        <v>22</v>
      </c>
      <c r="AI111" t="s">
        <v>22</v>
      </c>
      <c r="AJ111" t="s">
        <v>22</v>
      </c>
      <c r="AK111" t="s">
        <v>22</v>
      </c>
    </row>
    <row r="112" spans="1:37" ht="11.25" customHeight="1">
      <c r="A112" t="s">
        <v>22</v>
      </c>
      <c r="B112" t="s">
        <v>48</v>
      </c>
      <c r="C112" t="s">
        <v>50</v>
      </c>
      <c r="D112" t="s">
        <v>22</v>
      </c>
      <c r="E112" t="s">
        <v>4517</v>
      </c>
      <c r="F112" t="s">
        <v>1104</v>
      </c>
      <c r="G112" t="s">
        <v>99</v>
      </c>
      <c r="H112" t="s">
        <v>99</v>
      </c>
      <c r="I112" t="s">
        <v>100</v>
      </c>
      <c r="J112" t="s">
        <v>1059</v>
      </c>
      <c r="K112" t="s">
        <v>1060</v>
      </c>
      <c r="L112" t="s">
        <v>4811</v>
      </c>
      <c r="M112" t="s">
        <v>1802</v>
      </c>
      <c r="N112" t="s">
        <v>114</v>
      </c>
      <c r="O112" t="s">
        <v>4520</v>
      </c>
      <c r="P112" t="s">
        <v>4520</v>
      </c>
      <c r="Q112" t="s">
        <v>100</v>
      </c>
      <c r="R112" t="s">
        <v>1059</v>
      </c>
      <c r="S112" t="s">
        <v>1060</v>
      </c>
      <c r="T112" t="s">
        <v>4467</v>
      </c>
      <c r="U112" t="s">
        <v>4468</v>
      </c>
      <c r="V112" t="s">
        <v>4521</v>
      </c>
      <c r="W112" t="s">
        <v>4470</v>
      </c>
      <c r="X112" t="s">
        <v>4471</v>
      </c>
      <c r="Y112" t="s">
        <v>4468</v>
      </c>
      <c r="Z112" t="s">
        <v>1015</v>
      </c>
      <c r="AA112" t="s">
        <v>4522</v>
      </c>
      <c r="AB112" t="s">
        <v>4521</v>
      </c>
      <c r="AC112" t="s">
        <v>61</v>
      </c>
      <c r="AD112" t="s">
        <v>19</v>
      </c>
      <c r="AE112" t="s">
        <v>19</v>
      </c>
      <c r="AF112" t="s">
        <v>4523</v>
      </c>
      <c r="AG112" t="s">
        <v>4812</v>
      </c>
      <c r="AH112" t="s">
        <v>22</v>
      </c>
      <c r="AI112" t="s">
        <v>22</v>
      </c>
      <c r="AJ112" t="s">
        <v>22</v>
      </c>
      <c r="AK112" t="s">
        <v>22</v>
      </c>
    </row>
    <row r="113" spans="1:37" ht="11.25" customHeight="1">
      <c r="A113" t="s">
        <v>22</v>
      </c>
      <c r="B113" t="s">
        <v>48</v>
      </c>
      <c r="C113" t="s">
        <v>50</v>
      </c>
      <c r="D113" t="s">
        <v>22</v>
      </c>
      <c r="E113" t="s">
        <v>4517</v>
      </c>
      <c r="F113" t="s">
        <v>1104</v>
      </c>
      <c r="G113" t="s">
        <v>99</v>
      </c>
      <c r="H113" t="s">
        <v>99</v>
      </c>
      <c r="I113" t="s">
        <v>100</v>
      </c>
      <c r="J113" t="s">
        <v>1059</v>
      </c>
      <c r="K113" t="s">
        <v>1060</v>
      </c>
      <c r="L113" t="s">
        <v>4813</v>
      </c>
      <c r="M113" t="s">
        <v>4814</v>
      </c>
      <c r="N113" t="s">
        <v>114</v>
      </c>
      <c r="O113" t="s">
        <v>4520</v>
      </c>
      <c r="P113" t="s">
        <v>4520</v>
      </c>
      <c r="Q113" t="s">
        <v>100</v>
      </c>
      <c r="R113" t="s">
        <v>1059</v>
      </c>
      <c r="S113" t="s">
        <v>1060</v>
      </c>
      <c r="T113" t="s">
        <v>4467</v>
      </c>
      <c r="U113" t="s">
        <v>4468</v>
      </c>
      <c r="V113" t="s">
        <v>4521</v>
      </c>
      <c r="W113" t="s">
        <v>4470</v>
      </c>
      <c r="X113" t="s">
        <v>4471</v>
      </c>
      <c r="Y113" t="s">
        <v>4468</v>
      </c>
      <c r="Z113" t="s">
        <v>1015</v>
      </c>
      <c r="AA113" t="s">
        <v>4522</v>
      </c>
      <c r="AB113" t="s">
        <v>4521</v>
      </c>
      <c r="AC113" t="s">
        <v>61</v>
      </c>
      <c r="AD113" t="s">
        <v>19</v>
      </c>
      <c r="AE113" t="s">
        <v>19</v>
      </c>
      <c r="AF113" t="s">
        <v>4523</v>
      </c>
      <c r="AG113" t="s">
        <v>4815</v>
      </c>
      <c r="AH113" t="s">
        <v>22</v>
      </c>
      <c r="AI113" t="s">
        <v>22</v>
      </c>
      <c r="AJ113" t="s">
        <v>22</v>
      </c>
      <c r="AK113" t="s">
        <v>22</v>
      </c>
    </row>
    <row r="114" spans="1:37" ht="11.25" customHeight="1">
      <c r="A114" t="s">
        <v>22</v>
      </c>
      <c r="B114" t="s">
        <v>48</v>
      </c>
      <c r="C114" t="s">
        <v>50</v>
      </c>
      <c r="D114" t="s">
        <v>22</v>
      </c>
      <c r="E114" t="s">
        <v>4517</v>
      </c>
      <c r="F114" t="s">
        <v>1104</v>
      </c>
      <c r="G114" t="s">
        <v>99</v>
      </c>
      <c r="H114" t="s">
        <v>99</v>
      </c>
      <c r="I114" t="s">
        <v>100</v>
      </c>
      <c r="J114" t="s">
        <v>1059</v>
      </c>
      <c r="K114" t="s">
        <v>1060</v>
      </c>
      <c r="L114" t="s">
        <v>4770</v>
      </c>
      <c r="M114" t="s">
        <v>4728</v>
      </c>
      <c r="N114" t="s">
        <v>114</v>
      </c>
      <c r="O114" t="s">
        <v>4520</v>
      </c>
      <c r="P114" t="s">
        <v>4520</v>
      </c>
      <c r="Q114" t="s">
        <v>100</v>
      </c>
      <c r="R114" t="s">
        <v>1059</v>
      </c>
      <c r="S114" t="s">
        <v>1060</v>
      </c>
      <c r="T114" t="s">
        <v>4467</v>
      </c>
      <c r="U114" t="s">
        <v>4468</v>
      </c>
      <c r="V114" t="s">
        <v>4521</v>
      </c>
      <c r="W114" t="s">
        <v>4470</v>
      </c>
      <c r="X114" t="s">
        <v>4471</v>
      </c>
      <c r="Y114" t="s">
        <v>4468</v>
      </c>
      <c r="Z114" t="s">
        <v>1015</v>
      </c>
      <c r="AA114" t="s">
        <v>4522</v>
      </c>
      <c r="AB114" t="s">
        <v>4521</v>
      </c>
      <c r="AC114" t="s">
        <v>61</v>
      </c>
      <c r="AD114" t="s">
        <v>19</v>
      </c>
      <c r="AE114" t="s">
        <v>19</v>
      </c>
      <c r="AF114" t="s">
        <v>4532</v>
      </c>
      <c r="AG114" t="s">
        <v>4816</v>
      </c>
      <c r="AH114" t="s">
        <v>22</v>
      </c>
      <c r="AI114" t="s">
        <v>22</v>
      </c>
      <c r="AJ114" t="s">
        <v>22</v>
      </c>
      <c r="AK114" t="s">
        <v>22</v>
      </c>
    </row>
    <row r="115" spans="1:37" ht="11.25" customHeight="1">
      <c r="A115" t="s">
        <v>22</v>
      </c>
      <c r="B115" t="s">
        <v>48</v>
      </c>
      <c r="C115" t="s">
        <v>50</v>
      </c>
      <c r="D115" t="s">
        <v>22</v>
      </c>
      <c r="E115" t="s">
        <v>4517</v>
      </c>
      <c r="F115" t="s">
        <v>1104</v>
      </c>
      <c r="G115" t="s">
        <v>99</v>
      </c>
      <c r="H115" t="s">
        <v>99</v>
      </c>
      <c r="I115" t="s">
        <v>100</v>
      </c>
      <c r="J115" t="s">
        <v>1059</v>
      </c>
      <c r="K115" t="s">
        <v>1060</v>
      </c>
      <c r="L115" t="s">
        <v>4817</v>
      </c>
      <c r="M115" t="s">
        <v>4705</v>
      </c>
      <c r="N115" t="s">
        <v>114</v>
      </c>
      <c r="O115" t="s">
        <v>4520</v>
      </c>
      <c r="P115" t="s">
        <v>4520</v>
      </c>
      <c r="Q115" t="s">
        <v>100</v>
      </c>
      <c r="R115" t="s">
        <v>1059</v>
      </c>
      <c r="S115" t="s">
        <v>1060</v>
      </c>
      <c r="T115" t="s">
        <v>4467</v>
      </c>
      <c r="U115" t="s">
        <v>4468</v>
      </c>
      <c r="V115" t="s">
        <v>4521</v>
      </c>
      <c r="W115" t="s">
        <v>4470</v>
      </c>
      <c r="X115" t="s">
        <v>4471</v>
      </c>
      <c r="Y115" t="s">
        <v>4468</v>
      </c>
      <c r="Z115" t="s">
        <v>1015</v>
      </c>
      <c r="AA115" t="s">
        <v>4522</v>
      </c>
      <c r="AB115" t="s">
        <v>4521</v>
      </c>
      <c r="AC115" t="s">
        <v>61</v>
      </c>
      <c r="AD115" t="s">
        <v>19</v>
      </c>
      <c r="AE115" t="s">
        <v>19</v>
      </c>
      <c r="AF115" t="s">
        <v>4532</v>
      </c>
      <c r="AG115" t="s">
        <v>162</v>
      </c>
      <c r="AH115" t="s">
        <v>22</v>
      </c>
      <c r="AI115" t="s">
        <v>22</v>
      </c>
      <c r="AJ115" t="s">
        <v>22</v>
      </c>
      <c r="AK115" t="s">
        <v>22</v>
      </c>
    </row>
    <row r="116" spans="1:37" ht="11.25" customHeight="1">
      <c r="A116" t="s">
        <v>22</v>
      </c>
      <c r="B116" t="s">
        <v>48</v>
      </c>
      <c r="C116" t="s">
        <v>50</v>
      </c>
      <c r="D116" t="s">
        <v>22</v>
      </c>
      <c r="E116" t="s">
        <v>4517</v>
      </c>
      <c r="F116" t="s">
        <v>1104</v>
      </c>
      <c r="G116" t="s">
        <v>99</v>
      </c>
      <c r="H116" t="s">
        <v>99</v>
      </c>
      <c r="I116" t="s">
        <v>100</v>
      </c>
      <c r="J116" t="s">
        <v>1059</v>
      </c>
      <c r="K116" t="s">
        <v>1060</v>
      </c>
      <c r="L116" t="s">
        <v>4818</v>
      </c>
      <c r="M116" t="s">
        <v>4819</v>
      </c>
      <c r="N116" t="s">
        <v>114</v>
      </c>
      <c r="O116" t="s">
        <v>4520</v>
      </c>
      <c r="P116" t="s">
        <v>4520</v>
      </c>
      <c r="Q116" t="s">
        <v>100</v>
      </c>
      <c r="R116" t="s">
        <v>1059</v>
      </c>
      <c r="S116" t="s">
        <v>1060</v>
      </c>
      <c r="T116" t="s">
        <v>4467</v>
      </c>
      <c r="U116" t="s">
        <v>4468</v>
      </c>
      <c r="V116" t="s">
        <v>4521</v>
      </c>
      <c r="W116" t="s">
        <v>4470</v>
      </c>
      <c r="X116" t="s">
        <v>4471</v>
      </c>
      <c r="Y116" t="s">
        <v>4468</v>
      </c>
      <c r="Z116" t="s">
        <v>1015</v>
      </c>
      <c r="AA116" t="s">
        <v>4522</v>
      </c>
      <c r="AB116" t="s">
        <v>4521</v>
      </c>
      <c r="AC116" t="s">
        <v>61</v>
      </c>
      <c r="AD116" t="s">
        <v>19</v>
      </c>
      <c r="AE116" t="s">
        <v>19</v>
      </c>
      <c r="AF116" t="s">
        <v>4820</v>
      </c>
      <c r="AG116" t="s">
        <v>4821</v>
      </c>
      <c r="AH116" t="s">
        <v>22</v>
      </c>
      <c r="AI116" t="s">
        <v>22</v>
      </c>
      <c r="AJ116" t="s">
        <v>22</v>
      </c>
      <c r="AK116" t="s">
        <v>22</v>
      </c>
    </row>
    <row r="117" spans="1:37" ht="11.25" customHeight="1">
      <c r="A117" t="s">
        <v>22</v>
      </c>
      <c r="B117" t="s">
        <v>48</v>
      </c>
      <c r="C117" t="s">
        <v>50</v>
      </c>
      <c r="D117" t="s">
        <v>22</v>
      </c>
      <c r="E117" t="s">
        <v>4517</v>
      </c>
      <c r="F117" t="s">
        <v>1104</v>
      </c>
      <c r="G117" t="s">
        <v>99</v>
      </c>
      <c r="H117" t="s">
        <v>99</v>
      </c>
      <c r="I117" t="s">
        <v>100</v>
      </c>
      <c r="J117" t="s">
        <v>1059</v>
      </c>
      <c r="K117" t="s">
        <v>1060</v>
      </c>
      <c r="L117" t="s">
        <v>4822</v>
      </c>
      <c r="M117" t="s">
        <v>1120</v>
      </c>
      <c r="N117" t="s">
        <v>114</v>
      </c>
      <c r="O117" t="s">
        <v>4520</v>
      </c>
      <c r="P117" t="s">
        <v>4520</v>
      </c>
      <c r="Q117" t="s">
        <v>100</v>
      </c>
      <c r="R117" t="s">
        <v>1059</v>
      </c>
      <c r="S117" t="s">
        <v>1060</v>
      </c>
      <c r="T117" t="s">
        <v>4467</v>
      </c>
      <c r="U117" t="s">
        <v>4468</v>
      </c>
      <c r="V117" t="s">
        <v>4521</v>
      </c>
      <c r="W117" t="s">
        <v>4470</v>
      </c>
      <c r="X117" t="s">
        <v>4471</v>
      </c>
      <c r="Y117" t="s">
        <v>4468</v>
      </c>
      <c r="Z117" t="s">
        <v>1015</v>
      </c>
      <c r="AA117" t="s">
        <v>4522</v>
      </c>
      <c r="AB117" t="s">
        <v>4521</v>
      </c>
      <c r="AC117" t="s">
        <v>61</v>
      </c>
      <c r="AD117" t="s">
        <v>19</v>
      </c>
      <c r="AE117" t="s">
        <v>19</v>
      </c>
      <c r="AF117" t="s">
        <v>4532</v>
      </c>
      <c r="AG117" t="s">
        <v>4823</v>
      </c>
      <c r="AH117" t="s">
        <v>22</v>
      </c>
      <c r="AI117" t="s">
        <v>22</v>
      </c>
      <c r="AJ117" t="s">
        <v>22</v>
      </c>
      <c r="AK117" t="s">
        <v>22</v>
      </c>
    </row>
    <row r="118" spans="1:37" ht="11.25" customHeight="1">
      <c r="A118" t="s">
        <v>22</v>
      </c>
      <c r="B118" t="s">
        <v>48</v>
      </c>
      <c r="C118" t="s">
        <v>50</v>
      </c>
      <c r="D118" t="s">
        <v>22</v>
      </c>
      <c r="E118" t="s">
        <v>4517</v>
      </c>
      <c r="F118" t="s">
        <v>1104</v>
      </c>
      <c r="G118" t="s">
        <v>99</v>
      </c>
      <c r="H118" t="s">
        <v>99</v>
      </c>
      <c r="I118" t="s">
        <v>100</v>
      </c>
      <c r="J118" t="s">
        <v>1059</v>
      </c>
      <c r="K118" t="s">
        <v>1060</v>
      </c>
      <c r="L118" t="s">
        <v>4824</v>
      </c>
      <c r="M118" t="s">
        <v>4825</v>
      </c>
      <c r="N118" t="s">
        <v>114</v>
      </c>
      <c r="O118" t="s">
        <v>4520</v>
      </c>
      <c r="P118" t="s">
        <v>4520</v>
      </c>
      <c r="Q118" t="s">
        <v>100</v>
      </c>
      <c r="R118" t="s">
        <v>1059</v>
      </c>
      <c r="S118" t="s">
        <v>1060</v>
      </c>
      <c r="T118" t="s">
        <v>4467</v>
      </c>
      <c r="U118" t="s">
        <v>4468</v>
      </c>
      <c r="V118" t="s">
        <v>4521</v>
      </c>
      <c r="W118" t="s">
        <v>4470</v>
      </c>
      <c r="X118" t="s">
        <v>4471</v>
      </c>
      <c r="Y118" t="s">
        <v>4468</v>
      </c>
      <c r="Z118" t="s">
        <v>1015</v>
      </c>
      <c r="AA118" t="s">
        <v>4522</v>
      </c>
      <c r="AB118" t="s">
        <v>4521</v>
      </c>
      <c r="AC118" t="s">
        <v>61</v>
      </c>
      <c r="AD118" t="s">
        <v>19</v>
      </c>
      <c r="AE118" t="s">
        <v>19</v>
      </c>
      <c r="AF118" t="s">
        <v>4826</v>
      </c>
      <c r="AG118" t="s">
        <v>387</v>
      </c>
      <c r="AH118" t="s">
        <v>22</v>
      </c>
      <c r="AI118" t="s">
        <v>22</v>
      </c>
      <c r="AJ118" t="s">
        <v>22</v>
      </c>
      <c r="AK118" t="s">
        <v>22</v>
      </c>
    </row>
    <row r="119" spans="1:37" ht="11.25" customHeight="1">
      <c r="A119" t="s">
        <v>22</v>
      </c>
      <c r="B119" t="s">
        <v>48</v>
      </c>
      <c r="C119" t="s">
        <v>50</v>
      </c>
      <c r="D119" t="s">
        <v>22</v>
      </c>
      <c r="E119" t="s">
        <v>4517</v>
      </c>
      <c r="F119" t="s">
        <v>1104</v>
      </c>
      <c r="G119" t="s">
        <v>99</v>
      </c>
      <c r="H119" t="s">
        <v>99</v>
      </c>
      <c r="I119" t="s">
        <v>100</v>
      </c>
      <c r="J119" t="s">
        <v>1059</v>
      </c>
      <c r="K119" t="s">
        <v>1060</v>
      </c>
      <c r="L119" t="s">
        <v>4827</v>
      </c>
      <c r="M119" t="s">
        <v>4828</v>
      </c>
      <c r="N119" t="s">
        <v>114</v>
      </c>
      <c r="O119" t="s">
        <v>4520</v>
      </c>
      <c r="P119" t="s">
        <v>4520</v>
      </c>
      <c r="Q119" t="s">
        <v>100</v>
      </c>
      <c r="R119" t="s">
        <v>1059</v>
      </c>
      <c r="S119" t="s">
        <v>1060</v>
      </c>
      <c r="T119" t="s">
        <v>4467</v>
      </c>
      <c r="U119" t="s">
        <v>4468</v>
      </c>
      <c r="V119" t="s">
        <v>4521</v>
      </c>
      <c r="W119" t="s">
        <v>4470</v>
      </c>
      <c r="X119" t="s">
        <v>4471</v>
      </c>
      <c r="Y119" t="s">
        <v>4468</v>
      </c>
      <c r="Z119" t="s">
        <v>1015</v>
      </c>
      <c r="AA119" t="s">
        <v>4522</v>
      </c>
      <c r="AB119" t="s">
        <v>4521</v>
      </c>
      <c r="AC119" t="s">
        <v>61</v>
      </c>
      <c r="AD119" t="s">
        <v>19</v>
      </c>
      <c r="AE119" t="s">
        <v>19</v>
      </c>
      <c r="AF119" t="s">
        <v>4523</v>
      </c>
      <c r="AG119" t="s">
        <v>4829</v>
      </c>
      <c r="AH119" t="s">
        <v>22</v>
      </c>
      <c r="AI119" t="s">
        <v>22</v>
      </c>
      <c r="AJ119" t="s">
        <v>22</v>
      </c>
      <c r="AK119" t="s">
        <v>22</v>
      </c>
    </row>
    <row r="120" spans="1:37" ht="11.25" customHeight="1">
      <c r="A120" t="s">
        <v>22</v>
      </c>
      <c r="B120" t="s">
        <v>48</v>
      </c>
      <c r="C120" t="s">
        <v>50</v>
      </c>
      <c r="D120" t="s">
        <v>22</v>
      </c>
      <c r="E120" t="s">
        <v>4517</v>
      </c>
      <c r="F120" t="s">
        <v>1104</v>
      </c>
      <c r="G120" t="s">
        <v>99</v>
      </c>
      <c r="H120" t="s">
        <v>99</v>
      </c>
      <c r="I120" t="s">
        <v>100</v>
      </c>
      <c r="J120" t="s">
        <v>1059</v>
      </c>
      <c r="K120" t="s">
        <v>1060</v>
      </c>
      <c r="L120" t="s">
        <v>4824</v>
      </c>
      <c r="M120" t="s">
        <v>4830</v>
      </c>
      <c r="N120" t="s">
        <v>114</v>
      </c>
      <c r="O120" t="s">
        <v>4520</v>
      </c>
      <c r="P120" t="s">
        <v>4520</v>
      </c>
      <c r="Q120" t="s">
        <v>100</v>
      </c>
      <c r="R120" t="s">
        <v>1059</v>
      </c>
      <c r="S120" t="s">
        <v>1060</v>
      </c>
      <c r="T120" t="s">
        <v>4467</v>
      </c>
      <c r="U120" t="s">
        <v>4468</v>
      </c>
      <c r="V120" t="s">
        <v>4521</v>
      </c>
      <c r="W120" t="s">
        <v>4470</v>
      </c>
      <c r="X120" t="s">
        <v>4471</v>
      </c>
      <c r="Y120" t="s">
        <v>4468</v>
      </c>
      <c r="Z120" t="s">
        <v>1015</v>
      </c>
      <c r="AA120" t="s">
        <v>4522</v>
      </c>
      <c r="AB120" t="s">
        <v>4521</v>
      </c>
      <c r="AC120" t="s">
        <v>61</v>
      </c>
      <c r="AD120" t="s">
        <v>19</v>
      </c>
      <c r="AE120" t="s">
        <v>19</v>
      </c>
      <c r="AF120" t="s">
        <v>4679</v>
      </c>
      <c r="AG120" t="s">
        <v>766</v>
      </c>
      <c r="AH120" t="s">
        <v>22</v>
      </c>
      <c r="AI120" t="s">
        <v>22</v>
      </c>
      <c r="AJ120" t="s">
        <v>22</v>
      </c>
      <c r="AK120" t="s">
        <v>22</v>
      </c>
    </row>
    <row r="121" spans="1:37" ht="11.25" customHeight="1">
      <c r="A121" t="s">
        <v>22</v>
      </c>
      <c r="B121" t="s">
        <v>48</v>
      </c>
      <c r="C121" t="s">
        <v>50</v>
      </c>
      <c r="D121" t="s">
        <v>22</v>
      </c>
      <c r="E121" t="s">
        <v>4517</v>
      </c>
      <c r="F121" t="s">
        <v>1104</v>
      </c>
      <c r="G121" t="s">
        <v>99</v>
      </c>
      <c r="H121" t="s">
        <v>99</v>
      </c>
      <c r="I121" t="s">
        <v>100</v>
      </c>
      <c r="J121" t="s">
        <v>1059</v>
      </c>
      <c r="K121" t="s">
        <v>1060</v>
      </c>
      <c r="L121" t="s">
        <v>4654</v>
      </c>
      <c r="M121" t="s">
        <v>4831</v>
      </c>
      <c r="N121" t="s">
        <v>114</v>
      </c>
      <c r="O121" t="s">
        <v>4520</v>
      </c>
      <c r="P121" t="s">
        <v>4520</v>
      </c>
      <c r="Q121" t="s">
        <v>100</v>
      </c>
      <c r="R121" t="s">
        <v>1059</v>
      </c>
      <c r="S121" t="s">
        <v>1060</v>
      </c>
      <c r="T121" t="s">
        <v>4467</v>
      </c>
      <c r="U121" t="s">
        <v>4527</v>
      </c>
      <c r="V121" t="s">
        <v>4528</v>
      </c>
      <c r="W121" t="s">
        <v>4470</v>
      </c>
      <c r="X121" t="s">
        <v>4529</v>
      </c>
      <c r="Y121" t="s">
        <v>4527</v>
      </c>
      <c r="Z121" t="s">
        <v>4590</v>
      </c>
      <c r="AA121" t="s">
        <v>4531</v>
      </c>
      <c r="AB121" t="s">
        <v>4528</v>
      </c>
      <c r="AC121" t="s">
        <v>61</v>
      </c>
      <c r="AD121" t="s">
        <v>19</v>
      </c>
      <c r="AE121" t="s">
        <v>19</v>
      </c>
      <c r="AF121" t="s">
        <v>4656</v>
      </c>
      <c r="AG121" t="s">
        <v>387</v>
      </c>
      <c r="AH121" t="s">
        <v>22</v>
      </c>
      <c r="AI121" t="s">
        <v>22</v>
      </c>
      <c r="AJ121" t="s">
        <v>22</v>
      </c>
      <c r="AK121" t="s">
        <v>22</v>
      </c>
    </row>
    <row r="122" spans="1:37" ht="11.25" customHeight="1">
      <c r="A122" t="s">
        <v>22</v>
      </c>
      <c r="B122" t="s">
        <v>48</v>
      </c>
      <c r="C122" t="s">
        <v>50</v>
      </c>
      <c r="D122" t="s">
        <v>22</v>
      </c>
      <c r="E122" t="s">
        <v>4517</v>
      </c>
      <c r="F122" t="s">
        <v>1104</v>
      </c>
      <c r="G122" t="s">
        <v>99</v>
      </c>
      <c r="H122" t="s">
        <v>99</v>
      </c>
      <c r="I122" t="s">
        <v>100</v>
      </c>
      <c r="J122" t="s">
        <v>1059</v>
      </c>
      <c r="K122" t="s">
        <v>1060</v>
      </c>
      <c r="L122" t="s">
        <v>4832</v>
      </c>
      <c r="M122" t="s">
        <v>4833</v>
      </c>
      <c r="N122" t="s">
        <v>114</v>
      </c>
      <c r="O122" t="s">
        <v>4520</v>
      </c>
      <c r="P122" t="s">
        <v>4520</v>
      </c>
      <c r="Q122" t="s">
        <v>100</v>
      </c>
      <c r="R122" t="s">
        <v>1059</v>
      </c>
      <c r="S122" t="s">
        <v>1060</v>
      </c>
      <c r="T122" t="s">
        <v>4606</v>
      </c>
      <c r="U122" t="s">
        <v>4793</v>
      </c>
      <c r="V122" t="s">
        <v>4733</v>
      </c>
      <c r="W122" t="s">
        <v>4470</v>
      </c>
      <c r="X122" t="s">
        <v>4834</v>
      </c>
      <c r="Y122" t="s">
        <v>4669</v>
      </c>
      <c r="Z122" t="s">
        <v>1015</v>
      </c>
      <c r="AA122" t="s">
        <v>4835</v>
      </c>
      <c r="AB122" t="s">
        <v>4733</v>
      </c>
      <c r="AC122" t="s">
        <v>61</v>
      </c>
      <c r="AD122" t="s">
        <v>19</v>
      </c>
      <c r="AE122" t="s">
        <v>19</v>
      </c>
      <c r="AF122" t="s">
        <v>1173</v>
      </c>
      <c r="AG122" t="s">
        <v>387</v>
      </c>
      <c r="AH122" t="s">
        <v>22</v>
      </c>
      <c r="AI122" t="s">
        <v>22</v>
      </c>
      <c r="AJ122" t="s">
        <v>22</v>
      </c>
      <c r="AK122" t="s">
        <v>22</v>
      </c>
    </row>
    <row r="123" spans="1:37" ht="11.25" customHeight="1">
      <c r="A123" t="s">
        <v>22</v>
      </c>
      <c r="B123" t="s">
        <v>48</v>
      </c>
      <c r="C123" t="s">
        <v>50</v>
      </c>
      <c r="D123" t="s">
        <v>22</v>
      </c>
      <c r="E123" t="s">
        <v>4517</v>
      </c>
      <c r="F123" t="s">
        <v>1104</v>
      </c>
      <c r="G123" t="s">
        <v>99</v>
      </c>
      <c r="H123" t="s">
        <v>99</v>
      </c>
      <c r="I123" t="s">
        <v>100</v>
      </c>
      <c r="J123" t="s">
        <v>1059</v>
      </c>
      <c r="K123" t="s">
        <v>1060</v>
      </c>
      <c r="L123" t="s">
        <v>4537</v>
      </c>
      <c r="M123" t="s">
        <v>4836</v>
      </c>
      <c r="N123" t="s">
        <v>114</v>
      </c>
      <c r="O123" t="s">
        <v>4520</v>
      </c>
      <c r="P123" t="s">
        <v>4520</v>
      </c>
      <c r="Q123" t="s">
        <v>100</v>
      </c>
      <c r="R123" t="s">
        <v>1059</v>
      </c>
      <c r="S123" t="s">
        <v>1060</v>
      </c>
      <c r="T123" t="s">
        <v>4467</v>
      </c>
      <c r="U123" t="s">
        <v>4468</v>
      </c>
      <c r="V123" t="s">
        <v>4521</v>
      </c>
      <c r="W123" t="s">
        <v>4470</v>
      </c>
      <c r="X123" t="s">
        <v>4471</v>
      </c>
      <c r="Y123" t="s">
        <v>4468</v>
      </c>
      <c r="Z123" t="s">
        <v>1015</v>
      </c>
      <c r="AA123" t="s">
        <v>4522</v>
      </c>
      <c r="AB123" t="s">
        <v>4521</v>
      </c>
      <c r="AC123" t="s">
        <v>61</v>
      </c>
      <c r="AD123" t="s">
        <v>19</v>
      </c>
      <c r="AE123" t="s">
        <v>19</v>
      </c>
      <c r="AF123" t="s">
        <v>4532</v>
      </c>
      <c r="AG123" t="s">
        <v>4837</v>
      </c>
      <c r="AH123" t="s">
        <v>22</v>
      </c>
      <c r="AI123" t="s">
        <v>22</v>
      </c>
      <c r="AJ123" t="s">
        <v>22</v>
      </c>
      <c r="AK123" t="s">
        <v>22</v>
      </c>
    </row>
    <row r="124" spans="1:37" ht="11.25" customHeight="1">
      <c r="A124" t="s">
        <v>22</v>
      </c>
      <c r="B124" t="s">
        <v>48</v>
      </c>
      <c r="C124" t="s">
        <v>50</v>
      </c>
      <c r="D124" t="s">
        <v>22</v>
      </c>
      <c r="E124" t="s">
        <v>4517</v>
      </c>
      <c r="F124" t="s">
        <v>1104</v>
      </c>
      <c r="G124" t="s">
        <v>99</v>
      </c>
      <c r="H124" t="s">
        <v>99</v>
      </c>
      <c r="I124" t="s">
        <v>100</v>
      </c>
      <c r="J124" t="s">
        <v>1059</v>
      </c>
      <c r="K124" t="s">
        <v>1060</v>
      </c>
      <c r="L124" t="s">
        <v>4537</v>
      </c>
      <c r="M124" t="s">
        <v>4838</v>
      </c>
      <c r="N124" t="s">
        <v>114</v>
      </c>
      <c r="O124" t="s">
        <v>4520</v>
      </c>
      <c r="P124" t="s">
        <v>4520</v>
      </c>
      <c r="Q124" t="s">
        <v>100</v>
      </c>
      <c r="R124" t="s">
        <v>1059</v>
      </c>
      <c r="S124" t="s">
        <v>1060</v>
      </c>
      <c r="T124" t="s">
        <v>4467</v>
      </c>
      <c r="U124" t="s">
        <v>4468</v>
      </c>
      <c r="V124" t="s">
        <v>4521</v>
      </c>
      <c r="W124" t="s">
        <v>4470</v>
      </c>
      <c r="X124" t="s">
        <v>4471</v>
      </c>
      <c r="Y124" t="s">
        <v>4468</v>
      </c>
      <c r="Z124" t="s">
        <v>1015</v>
      </c>
      <c r="AA124" t="s">
        <v>4522</v>
      </c>
      <c r="AB124" t="s">
        <v>4521</v>
      </c>
      <c r="AC124" t="s">
        <v>61</v>
      </c>
      <c r="AD124" t="s">
        <v>19</v>
      </c>
      <c r="AE124" t="s">
        <v>19</v>
      </c>
      <c r="AF124" t="s">
        <v>4532</v>
      </c>
      <c r="AG124" t="s">
        <v>4839</v>
      </c>
      <c r="AH124" t="s">
        <v>22</v>
      </c>
      <c r="AI124" t="s">
        <v>22</v>
      </c>
      <c r="AJ124" t="s">
        <v>22</v>
      </c>
      <c r="AK124" t="s">
        <v>22</v>
      </c>
    </row>
    <row r="125" spans="1:37" ht="11.25" customHeight="1">
      <c r="A125" t="s">
        <v>22</v>
      </c>
      <c r="B125" t="s">
        <v>48</v>
      </c>
      <c r="C125" t="s">
        <v>50</v>
      </c>
      <c r="D125" t="s">
        <v>22</v>
      </c>
      <c r="E125" t="s">
        <v>4517</v>
      </c>
      <c r="F125" t="s">
        <v>1104</v>
      </c>
      <c r="G125" t="s">
        <v>99</v>
      </c>
      <c r="H125" t="s">
        <v>99</v>
      </c>
      <c r="I125" t="s">
        <v>100</v>
      </c>
      <c r="J125" t="s">
        <v>1059</v>
      </c>
      <c r="K125" t="s">
        <v>1060</v>
      </c>
      <c r="L125" t="s">
        <v>4533</v>
      </c>
      <c r="M125" t="s">
        <v>4840</v>
      </c>
      <c r="N125" t="s">
        <v>114</v>
      </c>
      <c r="O125" t="s">
        <v>4520</v>
      </c>
      <c r="P125" t="s">
        <v>4520</v>
      </c>
      <c r="Q125" t="s">
        <v>100</v>
      </c>
      <c r="R125" t="s">
        <v>1059</v>
      </c>
      <c r="S125" t="s">
        <v>1060</v>
      </c>
      <c r="T125" t="s">
        <v>4467</v>
      </c>
      <c r="U125" t="s">
        <v>4468</v>
      </c>
      <c r="V125" t="s">
        <v>4521</v>
      </c>
      <c r="W125" t="s">
        <v>4470</v>
      </c>
      <c r="X125" t="s">
        <v>4471</v>
      </c>
      <c r="Y125" t="s">
        <v>4468</v>
      </c>
      <c r="Z125" t="s">
        <v>1015</v>
      </c>
      <c r="AA125" t="s">
        <v>4522</v>
      </c>
      <c r="AB125" t="s">
        <v>4521</v>
      </c>
      <c r="AC125" t="s">
        <v>61</v>
      </c>
      <c r="AD125" t="s">
        <v>19</v>
      </c>
      <c r="AE125" t="s">
        <v>19</v>
      </c>
      <c r="AF125" t="s">
        <v>4546</v>
      </c>
      <c r="AG125" t="s">
        <v>4841</v>
      </c>
      <c r="AH125" t="s">
        <v>22</v>
      </c>
      <c r="AI125" t="s">
        <v>22</v>
      </c>
      <c r="AJ125" t="s">
        <v>22</v>
      </c>
      <c r="AK125" t="s">
        <v>22</v>
      </c>
    </row>
    <row r="126" spans="1:37" ht="11.25" customHeight="1">
      <c r="A126" t="s">
        <v>22</v>
      </c>
      <c r="B126" t="s">
        <v>48</v>
      </c>
      <c r="C126" t="s">
        <v>50</v>
      </c>
      <c r="D126" t="s">
        <v>22</v>
      </c>
      <c r="E126" t="s">
        <v>4517</v>
      </c>
      <c r="F126" t="s">
        <v>1104</v>
      </c>
      <c r="G126" t="s">
        <v>99</v>
      </c>
      <c r="H126" t="s">
        <v>99</v>
      </c>
      <c r="I126" t="s">
        <v>100</v>
      </c>
      <c r="J126" t="s">
        <v>1059</v>
      </c>
      <c r="K126" t="s">
        <v>1060</v>
      </c>
      <c r="L126" t="s">
        <v>4842</v>
      </c>
      <c r="M126" t="s">
        <v>4843</v>
      </c>
      <c r="N126" t="s">
        <v>114</v>
      </c>
      <c r="O126" t="s">
        <v>4520</v>
      </c>
      <c r="P126" t="s">
        <v>4520</v>
      </c>
      <c r="Q126" t="s">
        <v>100</v>
      </c>
      <c r="R126" t="s">
        <v>1059</v>
      </c>
      <c r="S126" t="s">
        <v>1060</v>
      </c>
      <c r="T126" t="s">
        <v>4467</v>
      </c>
      <c r="U126" t="s">
        <v>4468</v>
      </c>
      <c r="V126" t="s">
        <v>4521</v>
      </c>
      <c r="W126" t="s">
        <v>4470</v>
      </c>
      <c r="X126" t="s">
        <v>4471</v>
      </c>
      <c r="Y126" t="s">
        <v>4468</v>
      </c>
      <c r="Z126" t="s">
        <v>1015</v>
      </c>
      <c r="AA126" t="s">
        <v>4522</v>
      </c>
      <c r="AB126" t="s">
        <v>4521</v>
      </c>
      <c r="AC126" t="s">
        <v>61</v>
      </c>
      <c r="AD126" t="s">
        <v>19</v>
      </c>
      <c r="AE126" t="s">
        <v>19</v>
      </c>
      <c r="AF126" t="s">
        <v>4697</v>
      </c>
      <c r="AG126" t="s">
        <v>4844</v>
      </c>
      <c r="AH126" t="s">
        <v>22</v>
      </c>
      <c r="AI126" t="s">
        <v>22</v>
      </c>
      <c r="AJ126" t="s">
        <v>22</v>
      </c>
      <c r="AK126" t="s">
        <v>22</v>
      </c>
    </row>
    <row r="127" spans="1:37" ht="11.25" customHeight="1">
      <c r="A127" t="s">
        <v>22</v>
      </c>
      <c r="B127" t="s">
        <v>48</v>
      </c>
      <c r="C127" t="s">
        <v>50</v>
      </c>
      <c r="D127" t="s">
        <v>22</v>
      </c>
      <c r="E127" t="s">
        <v>4517</v>
      </c>
      <c r="F127" t="s">
        <v>1104</v>
      </c>
      <c r="G127" t="s">
        <v>99</v>
      </c>
      <c r="H127" t="s">
        <v>99</v>
      </c>
      <c r="I127" t="s">
        <v>100</v>
      </c>
      <c r="J127" t="s">
        <v>1059</v>
      </c>
      <c r="K127" t="s">
        <v>1060</v>
      </c>
      <c r="L127" t="s">
        <v>4533</v>
      </c>
      <c r="M127" t="s">
        <v>4845</v>
      </c>
      <c r="N127" t="s">
        <v>114</v>
      </c>
      <c r="O127" t="s">
        <v>4520</v>
      </c>
      <c r="P127" t="s">
        <v>4520</v>
      </c>
      <c r="Q127" t="s">
        <v>100</v>
      </c>
      <c r="R127" t="s">
        <v>1059</v>
      </c>
      <c r="S127" t="s">
        <v>1060</v>
      </c>
      <c r="T127" t="s">
        <v>4467</v>
      </c>
      <c r="U127" t="s">
        <v>4468</v>
      </c>
      <c r="V127" t="s">
        <v>4521</v>
      </c>
      <c r="W127" t="s">
        <v>4470</v>
      </c>
      <c r="X127" t="s">
        <v>4471</v>
      </c>
      <c r="Y127" t="s">
        <v>4468</v>
      </c>
      <c r="Z127" t="s">
        <v>1015</v>
      </c>
      <c r="AA127" t="s">
        <v>4522</v>
      </c>
      <c r="AB127" t="s">
        <v>4521</v>
      </c>
      <c r="AC127" t="s">
        <v>61</v>
      </c>
      <c r="AD127" t="s">
        <v>19</v>
      </c>
      <c r="AE127" t="s">
        <v>19</v>
      </c>
      <c r="AF127" t="s">
        <v>4523</v>
      </c>
      <c r="AG127" t="s">
        <v>4846</v>
      </c>
      <c r="AH127" t="s">
        <v>22</v>
      </c>
      <c r="AI127" t="s">
        <v>22</v>
      </c>
      <c r="AJ127" t="s">
        <v>22</v>
      </c>
      <c r="AK127" t="s">
        <v>22</v>
      </c>
    </row>
    <row r="128" spans="1:37" ht="11.25" customHeight="1">
      <c r="A128" t="s">
        <v>22</v>
      </c>
      <c r="B128" t="s">
        <v>48</v>
      </c>
      <c r="C128" t="s">
        <v>50</v>
      </c>
      <c r="D128" t="s">
        <v>22</v>
      </c>
      <c r="E128" t="s">
        <v>4517</v>
      </c>
      <c r="F128" t="s">
        <v>1104</v>
      </c>
      <c r="G128" t="s">
        <v>99</v>
      </c>
      <c r="H128" t="s">
        <v>99</v>
      </c>
      <c r="I128" t="s">
        <v>100</v>
      </c>
      <c r="J128" t="s">
        <v>1059</v>
      </c>
      <c r="K128" t="s">
        <v>1060</v>
      </c>
      <c r="L128" t="s">
        <v>4847</v>
      </c>
      <c r="M128" t="s">
        <v>4843</v>
      </c>
      <c r="N128" t="s">
        <v>114</v>
      </c>
      <c r="O128" t="s">
        <v>4520</v>
      </c>
      <c r="P128" t="s">
        <v>4520</v>
      </c>
      <c r="Q128" t="s">
        <v>100</v>
      </c>
      <c r="R128" t="s">
        <v>1059</v>
      </c>
      <c r="S128" t="s">
        <v>1060</v>
      </c>
      <c r="T128" t="s">
        <v>4467</v>
      </c>
      <c r="U128" t="s">
        <v>4468</v>
      </c>
      <c r="V128" t="s">
        <v>4521</v>
      </c>
      <c r="W128" t="s">
        <v>4470</v>
      </c>
      <c r="X128" t="s">
        <v>4471</v>
      </c>
      <c r="Y128" t="s">
        <v>4468</v>
      </c>
      <c r="Z128" t="s">
        <v>1015</v>
      </c>
      <c r="AA128" t="s">
        <v>4522</v>
      </c>
      <c r="AB128" t="s">
        <v>4521</v>
      </c>
      <c r="AC128" t="s">
        <v>61</v>
      </c>
      <c r="AD128" t="s">
        <v>19</v>
      </c>
      <c r="AE128" t="s">
        <v>19</v>
      </c>
      <c r="AF128" t="s">
        <v>4523</v>
      </c>
      <c r="AG128" t="s">
        <v>4848</v>
      </c>
      <c r="AH128" t="s">
        <v>22</v>
      </c>
      <c r="AI128" t="s">
        <v>22</v>
      </c>
      <c r="AJ128" t="s">
        <v>22</v>
      </c>
      <c r="AK128" t="s">
        <v>22</v>
      </c>
    </row>
    <row r="129" spans="1:37" ht="11.25" customHeight="1">
      <c r="A129" t="s">
        <v>22</v>
      </c>
      <c r="B129" t="s">
        <v>48</v>
      </c>
      <c r="C129" t="s">
        <v>50</v>
      </c>
      <c r="D129" t="s">
        <v>22</v>
      </c>
      <c r="E129" t="s">
        <v>4517</v>
      </c>
      <c r="F129" t="s">
        <v>1104</v>
      </c>
      <c r="G129" t="s">
        <v>99</v>
      </c>
      <c r="H129" t="s">
        <v>99</v>
      </c>
      <c r="I129" t="s">
        <v>100</v>
      </c>
      <c r="J129" t="s">
        <v>1059</v>
      </c>
      <c r="K129" t="s">
        <v>1060</v>
      </c>
      <c r="L129" t="s">
        <v>4849</v>
      </c>
      <c r="M129" t="s">
        <v>4687</v>
      </c>
      <c r="N129" t="s">
        <v>114</v>
      </c>
      <c r="O129" t="s">
        <v>4520</v>
      </c>
      <c r="P129" t="s">
        <v>4520</v>
      </c>
      <c r="Q129" t="s">
        <v>100</v>
      </c>
      <c r="R129" t="s">
        <v>1059</v>
      </c>
      <c r="S129" t="s">
        <v>1060</v>
      </c>
      <c r="T129" t="s">
        <v>4467</v>
      </c>
      <c r="U129" t="s">
        <v>4468</v>
      </c>
      <c r="V129" t="s">
        <v>4521</v>
      </c>
      <c r="W129" t="s">
        <v>4470</v>
      </c>
      <c r="X129" t="s">
        <v>4471</v>
      </c>
      <c r="Y129" t="s">
        <v>4468</v>
      </c>
      <c r="Z129" t="s">
        <v>1015</v>
      </c>
      <c r="AA129" t="s">
        <v>4522</v>
      </c>
      <c r="AB129" t="s">
        <v>4521</v>
      </c>
      <c r="AC129" t="s">
        <v>61</v>
      </c>
      <c r="AD129" t="s">
        <v>19</v>
      </c>
      <c r="AE129" t="s">
        <v>19</v>
      </c>
      <c r="AF129" t="s">
        <v>4850</v>
      </c>
      <c r="AG129" t="s">
        <v>4851</v>
      </c>
      <c r="AH129" t="s">
        <v>22</v>
      </c>
      <c r="AI129" t="s">
        <v>22</v>
      </c>
      <c r="AJ129" t="s">
        <v>22</v>
      </c>
      <c r="AK129" t="s">
        <v>22</v>
      </c>
    </row>
    <row r="130" spans="1:37" ht="11.25" customHeight="1">
      <c r="A130" t="s">
        <v>22</v>
      </c>
      <c r="B130" t="s">
        <v>48</v>
      </c>
      <c r="C130" t="s">
        <v>50</v>
      </c>
      <c r="D130" t="s">
        <v>22</v>
      </c>
      <c r="E130" t="s">
        <v>4517</v>
      </c>
      <c r="F130" t="s">
        <v>1104</v>
      </c>
      <c r="G130" t="s">
        <v>99</v>
      </c>
      <c r="H130" t="s">
        <v>99</v>
      </c>
      <c r="I130" t="s">
        <v>100</v>
      </c>
      <c r="J130" t="s">
        <v>1059</v>
      </c>
      <c r="K130" t="s">
        <v>1060</v>
      </c>
      <c r="L130" t="s">
        <v>1070</v>
      </c>
      <c r="M130" t="s">
        <v>4852</v>
      </c>
      <c r="N130" t="s">
        <v>114</v>
      </c>
      <c r="O130" t="s">
        <v>4520</v>
      </c>
      <c r="P130" t="s">
        <v>4520</v>
      </c>
      <c r="Q130" t="s">
        <v>100</v>
      </c>
      <c r="R130" t="s">
        <v>1059</v>
      </c>
      <c r="S130" t="s">
        <v>1060</v>
      </c>
      <c r="T130" t="s">
        <v>4467</v>
      </c>
      <c r="U130" t="s">
        <v>4527</v>
      </c>
      <c r="V130" t="s">
        <v>4528</v>
      </c>
      <c r="W130" t="s">
        <v>4470</v>
      </c>
      <c r="X130" t="s">
        <v>4529</v>
      </c>
      <c r="Y130" t="s">
        <v>4527</v>
      </c>
      <c r="Z130" t="s">
        <v>4590</v>
      </c>
      <c r="AA130" t="s">
        <v>4531</v>
      </c>
      <c r="AB130" t="s">
        <v>4528</v>
      </c>
      <c r="AC130" t="s">
        <v>61</v>
      </c>
      <c r="AD130" t="s">
        <v>19</v>
      </c>
      <c r="AE130" t="s">
        <v>19</v>
      </c>
      <c r="AF130" t="s">
        <v>4523</v>
      </c>
      <c r="AG130" t="s">
        <v>4561</v>
      </c>
      <c r="AH130" t="s">
        <v>22</v>
      </c>
      <c r="AI130" t="s">
        <v>22</v>
      </c>
      <c r="AJ130" t="s">
        <v>22</v>
      </c>
      <c r="AK130" t="s">
        <v>22</v>
      </c>
    </row>
    <row r="131" spans="1:37" ht="11.25" customHeight="1">
      <c r="A131" t="s">
        <v>22</v>
      </c>
      <c r="B131" t="s">
        <v>48</v>
      </c>
      <c r="C131" t="s">
        <v>50</v>
      </c>
      <c r="D131" t="s">
        <v>22</v>
      </c>
      <c r="E131" t="s">
        <v>4517</v>
      </c>
      <c r="F131" t="s">
        <v>1104</v>
      </c>
      <c r="G131" t="s">
        <v>99</v>
      </c>
      <c r="H131" t="s">
        <v>99</v>
      </c>
      <c r="I131" t="s">
        <v>100</v>
      </c>
      <c r="J131" t="s">
        <v>1059</v>
      </c>
      <c r="K131" t="s">
        <v>1060</v>
      </c>
      <c r="L131" t="s">
        <v>4533</v>
      </c>
      <c r="M131" t="s">
        <v>4760</v>
      </c>
      <c r="N131" t="s">
        <v>114</v>
      </c>
      <c r="O131" t="s">
        <v>4520</v>
      </c>
      <c r="P131" t="s">
        <v>4520</v>
      </c>
      <c r="Q131" t="s">
        <v>100</v>
      </c>
      <c r="R131" t="s">
        <v>1059</v>
      </c>
      <c r="S131" t="s">
        <v>1060</v>
      </c>
      <c r="T131" t="s">
        <v>4467</v>
      </c>
      <c r="U131" t="s">
        <v>4468</v>
      </c>
      <c r="V131" t="s">
        <v>4521</v>
      </c>
      <c r="W131" t="s">
        <v>4470</v>
      </c>
      <c r="X131" t="s">
        <v>4471</v>
      </c>
      <c r="Y131" t="s">
        <v>4468</v>
      </c>
      <c r="Z131" t="s">
        <v>1015</v>
      </c>
      <c r="AA131" t="s">
        <v>4522</v>
      </c>
      <c r="AB131" t="s">
        <v>4521</v>
      </c>
      <c r="AC131" t="s">
        <v>61</v>
      </c>
      <c r="AD131" t="s">
        <v>19</v>
      </c>
      <c r="AE131" t="s">
        <v>19</v>
      </c>
      <c r="AF131" t="s">
        <v>4560</v>
      </c>
      <c r="AG131" t="s">
        <v>4853</v>
      </c>
      <c r="AH131" t="s">
        <v>22</v>
      </c>
      <c r="AI131" t="s">
        <v>22</v>
      </c>
      <c r="AJ131" t="s">
        <v>22</v>
      </c>
      <c r="AK131" t="s">
        <v>22</v>
      </c>
    </row>
    <row r="132" spans="1:37" ht="11.25" customHeight="1">
      <c r="A132" t="s">
        <v>22</v>
      </c>
      <c r="B132" t="s">
        <v>48</v>
      </c>
      <c r="C132" t="s">
        <v>50</v>
      </c>
      <c r="D132" t="s">
        <v>22</v>
      </c>
      <c r="E132" t="s">
        <v>4517</v>
      </c>
      <c r="F132" t="s">
        <v>1104</v>
      </c>
      <c r="G132" t="s">
        <v>99</v>
      </c>
      <c r="H132" t="s">
        <v>99</v>
      </c>
      <c r="I132" t="s">
        <v>100</v>
      </c>
      <c r="J132" t="s">
        <v>1059</v>
      </c>
      <c r="K132" t="s">
        <v>1060</v>
      </c>
      <c r="L132" t="s">
        <v>4854</v>
      </c>
      <c r="M132" t="s">
        <v>4855</v>
      </c>
      <c r="N132" t="s">
        <v>114</v>
      </c>
      <c r="O132" t="s">
        <v>4520</v>
      </c>
      <c r="P132" t="s">
        <v>4520</v>
      </c>
      <c r="Q132" t="s">
        <v>100</v>
      </c>
      <c r="R132" t="s">
        <v>1059</v>
      </c>
      <c r="S132" t="s">
        <v>1060</v>
      </c>
      <c r="T132" t="s">
        <v>4606</v>
      </c>
      <c r="U132" t="s">
        <v>4527</v>
      </c>
      <c r="V132" t="s">
        <v>4856</v>
      </c>
      <c r="W132" t="s">
        <v>4470</v>
      </c>
      <c r="X132" t="s">
        <v>4529</v>
      </c>
      <c r="Y132" t="s">
        <v>4527</v>
      </c>
      <c r="Z132" t="s">
        <v>1106</v>
      </c>
      <c r="AA132" t="s">
        <v>4670</v>
      </c>
      <c r="AB132" t="s">
        <v>4856</v>
      </c>
      <c r="AC132" t="s">
        <v>61</v>
      </c>
      <c r="AD132" t="s">
        <v>19</v>
      </c>
      <c r="AE132" t="s">
        <v>19</v>
      </c>
      <c r="AF132" t="s">
        <v>4857</v>
      </c>
      <c r="AG132" t="s">
        <v>4858</v>
      </c>
      <c r="AH132" t="s">
        <v>22</v>
      </c>
      <c r="AI132" t="s">
        <v>22</v>
      </c>
      <c r="AJ132" t="s">
        <v>22</v>
      </c>
      <c r="AK132" t="s">
        <v>22</v>
      </c>
    </row>
    <row r="133" spans="1:37" ht="11.25" customHeight="1">
      <c r="A133" t="s">
        <v>22</v>
      </c>
      <c r="B133" t="s">
        <v>48</v>
      </c>
      <c r="C133" t="s">
        <v>50</v>
      </c>
      <c r="D133" t="s">
        <v>22</v>
      </c>
      <c r="E133" t="s">
        <v>4517</v>
      </c>
      <c r="F133" t="s">
        <v>1104</v>
      </c>
      <c r="G133" t="s">
        <v>99</v>
      </c>
      <c r="H133" t="s">
        <v>99</v>
      </c>
      <c r="I133" t="s">
        <v>100</v>
      </c>
      <c r="J133" t="s">
        <v>1059</v>
      </c>
      <c r="K133" t="s">
        <v>1060</v>
      </c>
      <c r="L133" t="s">
        <v>4859</v>
      </c>
      <c r="M133" t="s">
        <v>4860</v>
      </c>
      <c r="N133" t="s">
        <v>114</v>
      </c>
      <c r="O133" t="s">
        <v>4520</v>
      </c>
      <c r="P133" t="s">
        <v>4520</v>
      </c>
      <c r="Q133" t="s">
        <v>100</v>
      </c>
      <c r="R133" t="s">
        <v>1059</v>
      </c>
      <c r="S133" t="s">
        <v>1060</v>
      </c>
      <c r="T133" t="s">
        <v>4467</v>
      </c>
      <c r="U133" t="s">
        <v>4468</v>
      </c>
      <c r="V133" t="s">
        <v>4521</v>
      </c>
      <c r="W133" t="s">
        <v>4470</v>
      </c>
      <c r="X133" t="s">
        <v>4471</v>
      </c>
      <c r="Y133" t="s">
        <v>4468</v>
      </c>
      <c r="Z133" t="s">
        <v>1015</v>
      </c>
      <c r="AA133" t="s">
        <v>4522</v>
      </c>
      <c r="AB133" t="s">
        <v>4521</v>
      </c>
      <c r="AC133" t="s">
        <v>61</v>
      </c>
      <c r="AD133" t="s">
        <v>19</v>
      </c>
      <c r="AE133" t="s">
        <v>19</v>
      </c>
      <c r="AF133" t="s">
        <v>4523</v>
      </c>
      <c r="AG133" t="s">
        <v>4861</v>
      </c>
      <c r="AH133" t="s">
        <v>22</v>
      </c>
      <c r="AI133" t="s">
        <v>22</v>
      </c>
      <c r="AJ133" t="s">
        <v>22</v>
      </c>
      <c r="AK133" t="s">
        <v>22</v>
      </c>
    </row>
    <row r="134" spans="1:37" ht="11.25" customHeight="1">
      <c r="A134" t="s">
        <v>22</v>
      </c>
      <c r="B134" t="s">
        <v>48</v>
      </c>
      <c r="C134" t="s">
        <v>50</v>
      </c>
      <c r="D134" t="s">
        <v>22</v>
      </c>
      <c r="E134" t="s">
        <v>4517</v>
      </c>
      <c r="F134" t="s">
        <v>1104</v>
      </c>
      <c r="G134" t="s">
        <v>99</v>
      </c>
      <c r="H134" t="s">
        <v>99</v>
      </c>
      <c r="I134" t="s">
        <v>100</v>
      </c>
      <c r="J134" t="s">
        <v>1059</v>
      </c>
      <c r="K134" t="s">
        <v>1060</v>
      </c>
      <c r="L134" t="s">
        <v>4859</v>
      </c>
      <c r="M134" t="s">
        <v>4862</v>
      </c>
      <c r="N134" t="s">
        <v>114</v>
      </c>
      <c r="O134" t="s">
        <v>4520</v>
      </c>
      <c r="P134" t="s">
        <v>4520</v>
      </c>
      <c r="Q134" t="s">
        <v>100</v>
      </c>
      <c r="R134" t="s">
        <v>1059</v>
      </c>
      <c r="S134" t="s">
        <v>1060</v>
      </c>
      <c r="T134" t="s">
        <v>4467</v>
      </c>
      <c r="U134" t="s">
        <v>4468</v>
      </c>
      <c r="V134" t="s">
        <v>4521</v>
      </c>
      <c r="W134" t="s">
        <v>4470</v>
      </c>
      <c r="X134" t="s">
        <v>4471</v>
      </c>
      <c r="Y134" t="s">
        <v>4468</v>
      </c>
      <c r="Z134" t="s">
        <v>1015</v>
      </c>
      <c r="AA134" t="s">
        <v>4522</v>
      </c>
      <c r="AB134" t="s">
        <v>4521</v>
      </c>
      <c r="AC134" t="s">
        <v>61</v>
      </c>
      <c r="AD134" t="s">
        <v>19</v>
      </c>
      <c r="AE134" t="s">
        <v>19</v>
      </c>
      <c r="AF134" t="s">
        <v>1823</v>
      </c>
      <c r="AG134" t="s">
        <v>102</v>
      </c>
      <c r="AH134" t="s">
        <v>22</v>
      </c>
      <c r="AI134" t="s">
        <v>22</v>
      </c>
      <c r="AJ134" t="s">
        <v>22</v>
      </c>
      <c r="AK134" t="s">
        <v>22</v>
      </c>
    </row>
    <row r="135" spans="1:37" ht="11.25" customHeight="1">
      <c r="A135" t="s">
        <v>22</v>
      </c>
      <c r="B135" t="s">
        <v>48</v>
      </c>
      <c r="C135" t="s">
        <v>50</v>
      </c>
      <c r="D135" t="s">
        <v>22</v>
      </c>
      <c r="E135" t="s">
        <v>4517</v>
      </c>
      <c r="F135" t="s">
        <v>1104</v>
      </c>
      <c r="G135" t="s">
        <v>99</v>
      </c>
      <c r="H135" t="s">
        <v>99</v>
      </c>
      <c r="I135" t="s">
        <v>100</v>
      </c>
      <c r="J135" t="s">
        <v>1059</v>
      </c>
      <c r="K135" t="s">
        <v>1060</v>
      </c>
      <c r="L135" t="s">
        <v>4592</v>
      </c>
      <c r="M135" t="s">
        <v>4559</v>
      </c>
      <c r="N135" t="s">
        <v>114</v>
      </c>
      <c r="O135" t="s">
        <v>4520</v>
      </c>
      <c r="P135" t="s">
        <v>4520</v>
      </c>
      <c r="Q135" t="s">
        <v>100</v>
      </c>
      <c r="R135" t="s">
        <v>1059</v>
      </c>
      <c r="S135" t="s">
        <v>1060</v>
      </c>
      <c r="T135" t="s">
        <v>4467</v>
      </c>
      <c r="U135" t="s">
        <v>4468</v>
      </c>
      <c r="V135" t="s">
        <v>4521</v>
      </c>
      <c r="W135" t="s">
        <v>4470</v>
      </c>
      <c r="X135" t="s">
        <v>4471</v>
      </c>
      <c r="Y135" t="s">
        <v>4468</v>
      </c>
      <c r="Z135" t="s">
        <v>1015</v>
      </c>
      <c r="AA135" t="s">
        <v>4522</v>
      </c>
      <c r="AB135" t="s">
        <v>4521</v>
      </c>
      <c r="AC135" t="s">
        <v>61</v>
      </c>
      <c r="AD135" t="s">
        <v>19</v>
      </c>
      <c r="AE135" t="s">
        <v>19</v>
      </c>
      <c r="AF135" t="s">
        <v>4532</v>
      </c>
      <c r="AG135" t="s">
        <v>4863</v>
      </c>
      <c r="AH135" t="s">
        <v>22</v>
      </c>
      <c r="AI135" t="s">
        <v>22</v>
      </c>
      <c r="AJ135" t="s">
        <v>22</v>
      </c>
      <c r="AK135" t="s">
        <v>22</v>
      </c>
    </row>
    <row r="136" spans="1:37" ht="11.25" customHeight="1">
      <c r="A136" t="s">
        <v>22</v>
      </c>
      <c r="B136" t="s">
        <v>48</v>
      </c>
      <c r="C136" t="s">
        <v>50</v>
      </c>
      <c r="D136" t="s">
        <v>22</v>
      </c>
      <c r="E136" t="s">
        <v>1103</v>
      </c>
      <c r="F136" t="s">
        <v>1104</v>
      </c>
      <c r="G136" t="s">
        <v>99</v>
      </c>
      <c r="H136" t="s">
        <v>99</v>
      </c>
      <c r="I136" t="s">
        <v>100</v>
      </c>
      <c r="J136" t="s">
        <v>1059</v>
      </c>
      <c r="K136" t="s">
        <v>1060</v>
      </c>
      <c r="L136" t="s">
        <v>1105</v>
      </c>
      <c r="M136" t="s">
        <v>1106</v>
      </c>
      <c r="N136" t="s">
        <v>114</v>
      </c>
      <c r="O136" t="s">
        <v>4520</v>
      </c>
      <c r="P136" t="s">
        <v>4520</v>
      </c>
      <c r="Q136" t="s">
        <v>100</v>
      </c>
      <c r="R136" t="s">
        <v>1059</v>
      </c>
      <c r="S136" t="s">
        <v>1060</v>
      </c>
      <c r="T136" t="s">
        <v>4467</v>
      </c>
      <c r="U136" t="s">
        <v>4468</v>
      </c>
      <c r="V136" t="s">
        <v>4521</v>
      </c>
      <c r="W136" t="s">
        <v>4470</v>
      </c>
      <c r="X136" t="s">
        <v>4471</v>
      </c>
      <c r="Y136" t="s">
        <v>4468</v>
      </c>
      <c r="Z136" t="s">
        <v>1015</v>
      </c>
      <c r="AA136" t="s">
        <v>4522</v>
      </c>
      <c r="AB136" t="s">
        <v>4521</v>
      </c>
      <c r="AC136" t="s">
        <v>61</v>
      </c>
      <c r="AD136" t="s">
        <v>19</v>
      </c>
      <c r="AE136" t="s">
        <v>19</v>
      </c>
      <c r="AF136" t="s">
        <v>4864</v>
      </c>
      <c r="AG136" t="s">
        <v>4865</v>
      </c>
      <c r="AH136" t="s">
        <v>22</v>
      </c>
      <c r="AI136" t="s">
        <v>22</v>
      </c>
      <c r="AJ136" t="s">
        <v>22</v>
      </c>
      <c r="AK136" t="s">
        <v>22</v>
      </c>
    </row>
    <row r="137" spans="1:37" ht="11.25" customHeight="1">
      <c r="A137" t="s">
        <v>22</v>
      </c>
      <c r="B137" t="s">
        <v>48</v>
      </c>
      <c r="C137" t="s">
        <v>50</v>
      </c>
      <c r="D137" t="s">
        <v>22</v>
      </c>
      <c r="E137" t="s">
        <v>4866</v>
      </c>
      <c r="F137" t="s">
        <v>1104</v>
      </c>
      <c r="G137" t="s">
        <v>106</v>
      </c>
      <c r="H137" t="s">
        <v>106</v>
      </c>
      <c r="I137" t="s">
        <v>107</v>
      </c>
      <c r="J137" t="s">
        <v>4867</v>
      </c>
      <c r="K137" t="s">
        <v>4868</v>
      </c>
      <c r="L137" t="s">
        <v>4869</v>
      </c>
      <c r="M137" t="s">
        <v>786</v>
      </c>
      <c r="N137" t="s">
        <v>114</v>
      </c>
      <c r="O137" t="s">
        <v>106</v>
      </c>
      <c r="P137" t="s">
        <v>106</v>
      </c>
      <c r="Q137" t="s">
        <v>107</v>
      </c>
      <c r="R137" t="s">
        <v>4867</v>
      </c>
      <c r="S137" t="s">
        <v>4868</v>
      </c>
      <c r="T137" t="s">
        <v>4467</v>
      </c>
      <c r="U137" t="s">
        <v>4468</v>
      </c>
      <c r="V137" t="s">
        <v>4469</v>
      </c>
      <c r="W137" t="s">
        <v>4470</v>
      </c>
      <c r="X137" t="s">
        <v>4471</v>
      </c>
      <c r="Y137" t="s">
        <v>4468</v>
      </c>
      <c r="Z137" t="s">
        <v>1015</v>
      </c>
      <c r="AA137" t="s">
        <v>4472</v>
      </c>
      <c r="AB137" t="s">
        <v>4469</v>
      </c>
      <c r="AC137" t="s">
        <v>61</v>
      </c>
      <c r="AD137" t="s">
        <v>19</v>
      </c>
      <c r="AE137" t="s">
        <v>19</v>
      </c>
      <c r="AF137" t="s">
        <v>1166</v>
      </c>
      <c r="AG137" t="s">
        <v>90</v>
      </c>
      <c r="AH137" t="s">
        <v>22</v>
      </c>
      <c r="AI137" t="s">
        <v>22</v>
      </c>
      <c r="AJ137" t="s">
        <v>22</v>
      </c>
      <c r="AK137" t="s">
        <v>22</v>
      </c>
    </row>
    <row r="138" spans="1:37" ht="11.25" customHeight="1">
      <c r="A138" t="s">
        <v>22</v>
      </c>
      <c r="B138" t="s">
        <v>48</v>
      </c>
      <c r="C138" t="s">
        <v>50</v>
      </c>
      <c r="D138" t="s">
        <v>22</v>
      </c>
      <c r="E138" t="s">
        <v>4870</v>
      </c>
      <c r="F138" t="s">
        <v>1104</v>
      </c>
      <c r="G138" t="s">
        <v>106</v>
      </c>
      <c r="H138" t="s">
        <v>106</v>
      </c>
      <c r="I138" t="s">
        <v>107</v>
      </c>
      <c r="J138" t="s">
        <v>4871</v>
      </c>
      <c r="K138" t="s">
        <v>4872</v>
      </c>
      <c r="L138" t="s">
        <v>4873</v>
      </c>
      <c r="M138" t="s">
        <v>786</v>
      </c>
      <c r="N138" t="s">
        <v>114</v>
      </c>
      <c r="O138" t="s">
        <v>106</v>
      </c>
      <c r="P138" t="s">
        <v>106</v>
      </c>
      <c r="Q138" t="s">
        <v>107</v>
      </c>
      <c r="R138" t="s">
        <v>4871</v>
      </c>
      <c r="S138" t="s">
        <v>4872</v>
      </c>
      <c r="T138" t="s">
        <v>4467</v>
      </c>
      <c r="U138" t="s">
        <v>4468</v>
      </c>
      <c r="V138" t="s">
        <v>4469</v>
      </c>
      <c r="W138" t="s">
        <v>4470</v>
      </c>
      <c r="X138" t="s">
        <v>4471</v>
      </c>
      <c r="Y138" t="s">
        <v>4468</v>
      </c>
      <c r="Z138" t="s">
        <v>1015</v>
      </c>
      <c r="AA138" t="s">
        <v>4472</v>
      </c>
      <c r="AB138" t="s">
        <v>4469</v>
      </c>
      <c r="AC138" t="s">
        <v>61</v>
      </c>
      <c r="AD138" t="s">
        <v>19</v>
      </c>
      <c r="AE138" t="s">
        <v>19</v>
      </c>
      <c r="AF138" t="s">
        <v>1153</v>
      </c>
      <c r="AG138" t="s">
        <v>1206</v>
      </c>
      <c r="AH138" t="s">
        <v>22</v>
      </c>
      <c r="AI138" t="s">
        <v>22</v>
      </c>
      <c r="AJ138" t="s">
        <v>22</v>
      </c>
      <c r="AK138" t="s">
        <v>22</v>
      </c>
    </row>
    <row r="139" spans="1:37" ht="11.25" customHeight="1">
      <c r="A139" t="s">
        <v>22</v>
      </c>
      <c r="B139" t="s">
        <v>48</v>
      </c>
      <c r="C139" t="s">
        <v>50</v>
      </c>
      <c r="D139" t="s">
        <v>22</v>
      </c>
      <c r="E139" t="s">
        <v>4874</v>
      </c>
      <c r="F139" t="s">
        <v>1104</v>
      </c>
      <c r="G139" t="s">
        <v>106</v>
      </c>
      <c r="H139" t="s">
        <v>106</v>
      </c>
      <c r="I139" t="s">
        <v>107</v>
      </c>
      <c r="J139" t="s">
        <v>4492</v>
      </c>
      <c r="K139" t="s">
        <v>4493</v>
      </c>
      <c r="L139" t="s">
        <v>4875</v>
      </c>
      <c r="M139" t="s">
        <v>786</v>
      </c>
      <c r="N139" t="s">
        <v>114</v>
      </c>
      <c r="O139" t="s">
        <v>106</v>
      </c>
      <c r="P139" t="s">
        <v>106</v>
      </c>
      <c r="Q139" t="s">
        <v>107</v>
      </c>
      <c r="R139" t="s">
        <v>4492</v>
      </c>
      <c r="S139" t="s">
        <v>4493</v>
      </c>
      <c r="T139" t="s">
        <v>4467</v>
      </c>
      <c r="U139" t="s">
        <v>4468</v>
      </c>
      <c r="V139" t="s">
        <v>4469</v>
      </c>
      <c r="W139" t="s">
        <v>4470</v>
      </c>
      <c r="X139" t="s">
        <v>4471</v>
      </c>
      <c r="Y139" t="s">
        <v>4468</v>
      </c>
      <c r="Z139" t="s">
        <v>1015</v>
      </c>
      <c r="AA139" t="s">
        <v>4472</v>
      </c>
      <c r="AB139" t="s">
        <v>4469</v>
      </c>
      <c r="AC139" t="s">
        <v>61</v>
      </c>
      <c r="AD139" t="s">
        <v>19</v>
      </c>
      <c r="AE139" t="s">
        <v>19</v>
      </c>
      <c r="AF139" t="s">
        <v>162</v>
      </c>
      <c r="AG139" t="s">
        <v>102</v>
      </c>
      <c r="AH139" t="s">
        <v>22</v>
      </c>
      <c r="AI139" t="s">
        <v>22</v>
      </c>
      <c r="AJ139" t="s">
        <v>22</v>
      </c>
      <c r="AK139" t="s">
        <v>22</v>
      </c>
    </row>
    <row r="140" spans="1:37" ht="11.25" customHeight="1">
      <c r="A140" t="s">
        <v>22</v>
      </c>
      <c r="B140" t="s">
        <v>48</v>
      </c>
      <c r="C140" t="s">
        <v>50</v>
      </c>
      <c r="D140" t="s">
        <v>22</v>
      </c>
      <c r="E140" t="s">
        <v>4876</v>
      </c>
      <c r="F140" t="s">
        <v>1104</v>
      </c>
      <c r="G140" t="s">
        <v>106</v>
      </c>
      <c r="H140" t="s">
        <v>106</v>
      </c>
      <c r="I140" t="s">
        <v>107</v>
      </c>
      <c r="J140" t="s">
        <v>4877</v>
      </c>
      <c r="K140" t="s">
        <v>4878</v>
      </c>
      <c r="L140" t="s">
        <v>4879</v>
      </c>
      <c r="M140" t="s">
        <v>786</v>
      </c>
      <c r="N140" t="s">
        <v>114</v>
      </c>
      <c r="O140" t="s">
        <v>106</v>
      </c>
      <c r="P140" t="s">
        <v>106</v>
      </c>
      <c r="Q140" t="s">
        <v>107</v>
      </c>
      <c r="R140" t="s">
        <v>4877</v>
      </c>
      <c r="S140" t="s">
        <v>4878</v>
      </c>
      <c r="T140" t="s">
        <v>4467</v>
      </c>
      <c r="U140" t="s">
        <v>4468</v>
      </c>
      <c r="V140" t="s">
        <v>4469</v>
      </c>
      <c r="W140" t="s">
        <v>4470</v>
      </c>
      <c r="X140" t="s">
        <v>4471</v>
      </c>
      <c r="Y140" t="s">
        <v>4468</v>
      </c>
      <c r="Z140" t="s">
        <v>1015</v>
      </c>
      <c r="AA140" t="s">
        <v>4472</v>
      </c>
      <c r="AB140" t="s">
        <v>4469</v>
      </c>
      <c r="AC140" t="s">
        <v>61</v>
      </c>
      <c r="AD140" t="s">
        <v>19</v>
      </c>
      <c r="AE140" t="s">
        <v>19</v>
      </c>
      <c r="AF140" t="s">
        <v>162</v>
      </c>
      <c r="AG140" t="s">
        <v>102</v>
      </c>
      <c r="AH140" t="s">
        <v>22</v>
      </c>
      <c r="AI140" t="s">
        <v>22</v>
      </c>
      <c r="AJ140" t="s">
        <v>22</v>
      </c>
      <c r="AK140" t="s">
        <v>22</v>
      </c>
    </row>
    <row r="141" spans="1:37" ht="11.25" customHeight="1">
      <c r="A141" t="s">
        <v>22</v>
      </c>
      <c r="B141" t="s">
        <v>48</v>
      </c>
      <c r="C141" t="s">
        <v>50</v>
      </c>
      <c r="D141" t="s">
        <v>22</v>
      </c>
      <c r="E141" t="s">
        <v>4880</v>
      </c>
      <c r="F141" t="s">
        <v>1104</v>
      </c>
      <c r="G141" t="s">
        <v>106</v>
      </c>
      <c r="H141" t="s">
        <v>106</v>
      </c>
      <c r="I141" t="s">
        <v>107</v>
      </c>
      <c r="J141" t="s">
        <v>4881</v>
      </c>
      <c r="K141" t="s">
        <v>4882</v>
      </c>
      <c r="L141" t="s">
        <v>4883</v>
      </c>
      <c r="M141" t="s">
        <v>786</v>
      </c>
      <c r="N141" t="s">
        <v>114</v>
      </c>
      <c r="O141" t="s">
        <v>106</v>
      </c>
      <c r="P141" t="s">
        <v>106</v>
      </c>
      <c r="Q141" t="s">
        <v>107</v>
      </c>
      <c r="R141" t="s">
        <v>4881</v>
      </c>
      <c r="S141" t="s">
        <v>4882</v>
      </c>
      <c r="T141" t="s">
        <v>4467</v>
      </c>
      <c r="U141" t="s">
        <v>4468</v>
      </c>
      <c r="V141" t="s">
        <v>4469</v>
      </c>
      <c r="W141" t="s">
        <v>4470</v>
      </c>
      <c r="X141" t="s">
        <v>4471</v>
      </c>
      <c r="Y141" t="s">
        <v>4468</v>
      </c>
      <c r="Z141" t="s">
        <v>1015</v>
      </c>
      <c r="AA141" t="s">
        <v>4472</v>
      </c>
      <c r="AB141" t="s">
        <v>4469</v>
      </c>
      <c r="AC141" t="s">
        <v>61</v>
      </c>
      <c r="AD141" t="s">
        <v>19</v>
      </c>
      <c r="AE141" t="s">
        <v>19</v>
      </c>
      <c r="AF141" t="s">
        <v>4481</v>
      </c>
      <c r="AG141" t="s">
        <v>4884</v>
      </c>
      <c r="AH141" t="s">
        <v>22</v>
      </c>
      <c r="AI141" t="s">
        <v>22</v>
      </c>
      <c r="AJ141" t="s">
        <v>22</v>
      </c>
      <c r="AK141" t="s">
        <v>22</v>
      </c>
    </row>
    <row r="142" spans="1:37" ht="11.25" customHeight="1">
      <c r="A142" t="s">
        <v>22</v>
      </c>
      <c r="B142" t="s">
        <v>48</v>
      </c>
      <c r="C142" t="s">
        <v>50</v>
      </c>
      <c r="D142" t="s">
        <v>22</v>
      </c>
      <c r="E142" t="s">
        <v>4885</v>
      </c>
      <c r="F142" t="s">
        <v>1104</v>
      </c>
      <c r="G142" t="s">
        <v>106</v>
      </c>
      <c r="H142" t="s">
        <v>106</v>
      </c>
      <c r="I142" t="s">
        <v>107</v>
      </c>
      <c r="J142" t="s">
        <v>4886</v>
      </c>
      <c r="K142" t="s">
        <v>4887</v>
      </c>
      <c r="L142" t="s">
        <v>4888</v>
      </c>
      <c r="M142" t="s">
        <v>786</v>
      </c>
      <c r="N142" t="s">
        <v>114</v>
      </c>
      <c r="O142" t="s">
        <v>106</v>
      </c>
      <c r="P142" t="s">
        <v>106</v>
      </c>
      <c r="Q142" t="s">
        <v>107</v>
      </c>
      <c r="R142" t="s">
        <v>4886</v>
      </c>
      <c r="S142" t="s">
        <v>4887</v>
      </c>
      <c r="T142" t="s">
        <v>4467</v>
      </c>
      <c r="U142" t="s">
        <v>4468</v>
      </c>
      <c r="V142" t="s">
        <v>4469</v>
      </c>
      <c r="W142" t="s">
        <v>4470</v>
      </c>
      <c r="X142" t="s">
        <v>4471</v>
      </c>
      <c r="Y142" t="s">
        <v>4468</v>
      </c>
      <c r="Z142" t="s">
        <v>1015</v>
      </c>
      <c r="AA142" t="s">
        <v>4472</v>
      </c>
      <c r="AB142" t="s">
        <v>4469</v>
      </c>
      <c r="AC142" t="s">
        <v>61</v>
      </c>
      <c r="AD142" t="s">
        <v>19</v>
      </c>
      <c r="AE142" t="s">
        <v>19</v>
      </c>
      <c r="AF142" t="s">
        <v>162</v>
      </c>
      <c r="AG142" t="s">
        <v>102</v>
      </c>
      <c r="AH142" t="s">
        <v>22</v>
      </c>
      <c r="AI142" t="s">
        <v>22</v>
      </c>
      <c r="AJ142" t="s">
        <v>22</v>
      </c>
      <c r="AK142" t="s">
        <v>22</v>
      </c>
    </row>
    <row r="143" spans="1:37" ht="11.25" customHeight="1">
      <c r="A143" t="s">
        <v>22</v>
      </c>
      <c r="B143" t="s">
        <v>48</v>
      </c>
      <c r="C143" t="s">
        <v>50</v>
      </c>
      <c r="D143" t="s">
        <v>22</v>
      </c>
      <c r="E143" t="s">
        <v>4889</v>
      </c>
      <c r="F143" t="s">
        <v>1104</v>
      </c>
      <c r="G143" t="s">
        <v>106</v>
      </c>
      <c r="H143" t="s">
        <v>106</v>
      </c>
      <c r="I143" t="s">
        <v>107</v>
      </c>
      <c r="J143" t="s">
        <v>4890</v>
      </c>
      <c r="K143" t="s">
        <v>4891</v>
      </c>
      <c r="L143" t="s">
        <v>4892</v>
      </c>
      <c r="M143" t="s">
        <v>786</v>
      </c>
      <c r="N143" t="s">
        <v>114</v>
      </c>
      <c r="O143" t="s">
        <v>106</v>
      </c>
      <c r="P143" t="s">
        <v>106</v>
      </c>
      <c r="Q143" t="s">
        <v>107</v>
      </c>
      <c r="R143" t="s">
        <v>4890</v>
      </c>
      <c r="S143" t="s">
        <v>4891</v>
      </c>
      <c r="T143" t="s">
        <v>4467</v>
      </c>
      <c r="U143" t="s">
        <v>4468</v>
      </c>
      <c r="V143" t="s">
        <v>4469</v>
      </c>
      <c r="W143" t="s">
        <v>4470</v>
      </c>
      <c r="X143" t="s">
        <v>4471</v>
      </c>
      <c r="Y143" t="s">
        <v>4468</v>
      </c>
      <c r="Z143" t="s">
        <v>1015</v>
      </c>
      <c r="AA143" t="s">
        <v>4472</v>
      </c>
      <c r="AB143" t="s">
        <v>4469</v>
      </c>
      <c r="AC143" t="s">
        <v>61</v>
      </c>
      <c r="AD143" t="s">
        <v>19</v>
      </c>
      <c r="AE143" t="s">
        <v>19</v>
      </c>
      <c r="AF143" t="s">
        <v>1766</v>
      </c>
      <c r="AG143" t="s">
        <v>4893</v>
      </c>
      <c r="AH143" t="s">
        <v>22</v>
      </c>
      <c r="AI143" t="s">
        <v>22</v>
      </c>
      <c r="AJ143" t="s">
        <v>22</v>
      </c>
      <c r="AK143" t="s">
        <v>22</v>
      </c>
    </row>
    <row r="144" spans="1:37" ht="11.25" customHeight="1">
      <c r="A144" t="s">
        <v>22</v>
      </c>
      <c r="B144" t="s">
        <v>48</v>
      </c>
      <c r="C144" t="s">
        <v>50</v>
      </c>
      <c r="D144" t="s">
        <v>22</v>
      </c>
      <c r="E144" t="s">
        <v>4894</v>
      </c>
      <c r="F144" t="s">
        <v>1104</v>
      </c>
      <c r="G144" t="s">
        <v>106</v>
      </c>
      <c r="H144" t="s">
        <v>106</v>
      </c>
      <c r="I144" t="s">
        <v>107</v>
      </c>
      <c r="J144" t="s">
        <v>4497</v>
      </c>
      <c r="K144" t="s">
        <v>4498</v>
      </c>
      <c r="L144" t="s">
        <v>4499</v>
      </c>
      <c r="M144" t="s">
        <v>786</v>
      </c>
      <c r="N144" t="s">
        <v>114</v>
      </c>
      <c r="O144" t="s">
        <v>106</v>
      </c>
      <c r="P144" t="s">
        <v>106</v>
      </c>
      <c r="Q144" t="s">
        <v>107</v>
      </c>
      <c r="R144" t="s">
        <v>4497</v>
      </c>
      <c r="S144" t="s">
        <v>4498</v>
      </c>
      <c r="T144" t="s">
        <v>4467</v>
      </c>
      <c r="U144" t="s">
        <v>4468</v>
      </c>
      <c r="V144" t="s">
        <v>4469</v>
      </c>
      <c r="W144" t="s">
        <v>4470</v>
      </c>
      <c r="X144" t="s">
        <v>4471</v>
      </c>
      <c r="Y144" t="s">
        <v>4468</v>
      </c>
      <c r="Z144" t="s">
        <v>1015</v>
      </c>
      <c r="AA144" t="s">
        <v>4472</v>
      </c>
      <c r="AB144" t="s">
        <v>4469</v>
      </c>
      <c r="AC144" t="s">
        <v>61</v>
      </c>
      <c r="AD144" t="s">
        <v>19</v>
      </c>
      <c r="AE144" t="s">
        <v>19</v>
      </c>
      <c r="AF144" t="s">
        <v>162</v>
      </c>
      <c r="AG144" t="s">
        <v>1206</v>
      </c>
      <c r="AH144" t="s">
        <v>22</v>
      </c>
      <c r="AI144" t="s">
        <v>22</v>
      </c>
      <c r="AJ144" t="s">
        <v>22</v>
      </c>
      <c r="AK144" t="s">
        <v>22</v>
      </c>
    </row>
    <row r="145" spans="1:37" ht="11.25" customHeight="1">
      <c r="A145" t="s">
        <v>22</v>
      </c>
      <c r="B145" t="s">
        <v>48</v>
      </c>
      <c r="C145" t="s">
        <v>50</v>
      </c>
      <c r="D145" t="s">
        <v>22</v>
      </c>
      <c r="E145" t="s">
        <v>4895</v>
      </c>
      <c r="F145" t="s">
        <v>1104</v>
      </c>
      <c r="G145" t="s">
        <v>106</v>
      </c>
      <c r="H145" t="s">
        <v>106</v>
      </c>
      <c r="I145" t="s">
        <v>107</v>
      </c>
      <c r="J145" t="s">
        <v>4896</v>
      </c>
      <c r="K145" t="s">
        <v>4897</v>
      </c>
      <c r="L145" t="s">
        <v>4898</v>
      </c>
      <c r="M145" t="s">
        <v>786</v>
      </c>
      <c r="N145" t="s">
        <v>114</v>
      </c>
      <c r="O145" t="s">
        <v>106</v>
      </c>
      <c r="P145" t="s">
        <v>106</v>
      </c>
      <c r="Q145" t="s">
        <v>107</v>
      </c>
      <c r="R145" t="s">
        <v>4896</v>
      </c>
      <c r="S145" t="s">
        <v>4897</v>
      </c>
      <c r="T145" t="s">
        <v>4467</v>
      </c>
      <c r="U145" t="s">
        <v>4468</v>
      </c>
      <c r="V145" t="s">
        <v>4469</v>
      </c>
      <c r="W145" t="s">
        <v>4470</v>
      </c>
      <c r="X145" t="s">
        <v>4471</v>
      </c>
      <c r="Y145" t="s">
        <v>4468</v>
      </c>
      <c r="Z145" t="s">
        <v>1015</v>
      </c>
      <c r="AA145" t="s">
        <v>4472</v>
      </c>
      <c r="AB145" t="s">
        <v>4469</v>
      </c>
      <c r="AC145" t="s">
        <v>61</v>
      </c>
      <c r="AD145" t="s">
        <v>19</v>
      </c>
      <c r="AE145" t="s">
        <v>19</v>
      </c>
      <c r="AF145" t="s">
        <v>4481</v>
      </c>
      <c r="AG145" t="s">
        <v>4899</v>
      </c>
      <c r="AH145" t="s">
        <v>22</v>
      </c>
      <c r="AI145" t="s">
        <v>22</v>
      </c>
      <c r="AJ145" t="s">
        <v>22</v>
      </c>
      <c r="AK145" t="s">
        <v>22</v>
      </c>
    </row>
    <row r="146" spans="1:37" ht="11.25" customHeight="1">
      <c r="A146" t="s">
        <v>22</v>
      </c>
      <c r="B146" t="s">
        <v>48</v>
      </c>
      <c r="C146" t="s">
        <v>50</v>
      </c>
      <c r="D146" t="s">
        <v>22</v>
      </c>
      <c r="E146" t="s">
        <v>4900</v>
      </c>
      <c r="F146" t="s">
        <v>1104</v>
      </c>
      <c r="G146" t="s">
        <v>106</v>
      </c>
      <c r="H146" t="s">
        <v>106</v>
      </c>
      <c r="I146" t="s">
        <v>107</v>
      </c>
      <c r="J146" t="s">
        <v>4890</v>
      </c>
      <c r="K146" t="s">
        <v>4891</v>
      </c>
      <c r="L146" t="s">
        <v>4901</v>
      </c>
      <c r="M146" t="s">
        <v>786</v>
      </c>
      <c r="N146" t="s">
        <v>114</v>
      </c>
      <c r="O146" t="s">
        <v>106</v>
      </c>
      <c r="P146" t="s">
        <v>106</v>
      </c>
      <c r="Q146" t="s">
        <v>107</v>
      </c>
      <c r="R146" t="s">
        <v>4890</v>
      </c>
      <c r="S146" t="s">
        <v>4891</v>
      </c>
      <c r="T146" t="s">
        <v>4467</v>
      </c>
      <c r="U146" t="s">
        <v>4468</v>
      </c>
      <c r="V146" t="s">
        <v>4469</v>
      </c>
      <c r="W146" t="s">
        <v>4470</v>
      </c>
      <c r="X146" t="s">
        <v>4471</v>
      </c>
      <c r="Y146" t="s">
        <v>4468</v>
      </c>
      <c r="Z146" t="s">
        <v>1015</v>
      </c>
      <c r="AA146" t="s">
        <v>4472</v>
      </c>
      <c r="AB146" t="s">
        <v>4469</v>
      </c>
      <c r="AC146" t="s">
        <v>61</v>
      </c>
      <c r="AD146" t="s">
        <v>19</v>
      </c>
      <c r="AE146" t="s">
        <v>19</v>
      </c>
      <c r="AF146" t="s">
        <v>1766</v>
      </c>
      <c r="AG146" t="s">
        <v>4902</v>
      </c>
      <c r="AH146" t="s">
        <v>22</v>
      </c>
      <c r="AI146" t="s">
        <v>22</v>
      </c>
      <c r="AJ146" t="s">
        <v>22</v>
      </c>
      <c r="AK146" t="s">
        <v>22</v>
      </c>
    </row>
    <row r="147" spans="1:37" ht="11.25" customHeight="1">
      <c r="A147" t="s">
        <v>22</v>
      </c>
      <c r="B147" t="s">
        <v>48</v>
      </c>
      <c r="C147" t="s">
        <v>50</v>
      </c>
      <c r="D147" t="s">
        <v>22</v>
      </c>
      <c r="E147" t="s">
        <v>4903</v>
      </c>
      <c r="F147" t="s">
        <v>1104</v>
      </c>
      <c r="G147" t="s">
        <v>106</v>
      </c>
      <c r="H147" t="s">
        <v>106</v>
      </c>
      <c r="I147" t="s">
        <v>107</v>
      </c>
      <c r="J147" t="s">
        <v>4904</v>
      </c>
      <c r="K147" t="s">
        <v>4905</v>
      </c>
      <c r="L147" t="s">
        <v>4906</v>
      </c>
      <c r="M147" t="s">
        <v>786</v>
      </c>
      <c r="N147" t="s">
        <v>114</v>
      </c>
      <c r="O147" t="s">
        <v>106</v>
      </c>
      <c r="P147" t="s">
        <v>106</v>
      </c>
      <c r="Q147" t="s">
        <v>107</v>
      </c>
      <c r="R147" t="s">
        <v>4904</v>
      </c>
      <c r="S147" t="s">
        <v>4905</v>
      </c>
      <c r="T147" t="s">
        <v>4467</v>
      </c>
      <c r="U147" t="s">
        <v>4468</v>
      </c>
      <c r="V147" t="s">
        <v>4469</v>
      </c>
      <c r="W147" t="s">
        <v>4470</v>
      </c>
      <c r="X147" t="s">
        <v>4471</v>
      </c>
      <c r="Y147" t="s">
        <v>4468</v>
      </c>
      <c r="Z147" t="s">
        <v>1015</v>
      </c>
      <c r="AA147" t="s">
        <v>4472</v>
      </c>
      <c r="AB147" t="s">
        <v>4469</v>
      </c>
      <c r="AC147" t="s">
        <v>61</v>
      </c>
      <c r="AD147" t="s">
        <v>19</v>
      </c>
      <c r="AE147" t="s">
        <v>19</v>
      </c>
      <c r="AF147" t="s">
        <v>162</v>
      </c>
      <c r="AG147" t="s">
        <v>4907</v>
      </c>
      <c r="AH147" t="s">
        <v>22</v>
      </c>
      <c r="AI147" t="s">
        <v>22</v>
      </c>
      <c r="AJ147" t="s">
        <v>22</v>
      </c>
      <c r="AK147" t="s">
        <v>22</v>
      </c>
    </row>
    <row r="148" spans="1:37" ht="11.25" customHeight="1">
      <c r="A148" t="s">
        <v>22</v>
      </c>
      <c r="B148" t="s">
        <v>48</v>
      </c>
      <c r="C148" t="s">
        <v>50</v>
      </c>
      <c r="D148" t="s">
        <v>22</v>
      </c>
      <c r="E148" t="s">
        <v>4908</v>
      </c>
      <c r="F148" t="s">
        <v>1104</v>
      </c>
      <c r="G148" t="s">
        <v>106</v>
      </c>
      <c r="H148" t="s">
        <v>106</v>
      </c>
      <c r="I148" t="s">
        <v>107</v>
      </c>
      <c r="J148" t="s">
        <v>4909</v>
      </c>
      <c r="K148" t="s">
        <v>4910</v>
      </c>
      <c r="L148" t="s">
        <v>4911</v>
      </c>
      <c r="M148" t="s">
        <v>1015</v>
      </c>
      <c r="N148" t="s">
        <v>114</v>
      </c>
      <c r="O148" t="s">
        <v>106</v>
      </c>
      <c r="P148" t="s">
        <v>106</v>
      </c>
      <c r="Q148" t="s">
        <v>107</v>
      </c>
      <c r="R148" t="s">
        <v>4909</v>
      </c>
      <c r="S148" t="s">
        <v>4910</v>
      </c>
      <c r="T148" t="s">
        <v>4467</v>
      </c>
      <c r="U148" t="s">
        <v>4468</v>
      </c>
      <c r="V148" t="s">
        <v>4469</v>
      </c>
      <c r="W148" t="s">
        <v>4487</v>
      </c>
      <c r="X148" t="s">
        <v>4471</v>
      </c>
      <c r="Y148" t="s">
        <v>4468</v>
      </c>
      <c r="Z148" t="s">
        <v>1015</v>
      </c>
      <c r="AA148" t="s">
        <v>4472</v>
      </c>
      <c r="AB148" t="s">
        <v>4469</v>
      </c>
      <c r="AC148" t="s">
        <v>61</v>
      </c>
      <c r="AD148" t="s">
        <v>19</v>
      </c>
      <c r="AE148" t="s">
        <v>19</v>
      </c>
      <c r="AF148" t="s">
        <v>1766</v>
      </c>
      <c r="AG148" t="s">
        <v>387</v>
      </c>
      <c r="AH148" t="s">
        <v>22</v>
      </c>
      <c r="AI148" t="s">
        <v>22</v>
      </c>
      <c r="AJ148" t="s">
        <v>22</v>
      </c>
      <c r="AK148" t="s">
        <v>22</v>
      </c>
    </row>
    <row r="149" spans="1:37" ht="11.25" customHeight="1">
      <c r="A149" t="s">
        <v>22</v>
      </c>
      <c r="B149" t="s">
        <v>48</v>
      </c>
      <c r="C149" t="s">
        <v>50</v>
      </c>
      <c r="D149" t="s">
        <v>22</v>
      </c>
      <c r="E149" t="s">
        <v>4912</v>
      </c>
      <c r="F149" t="s">
        <v>1104</v>
      </c>
      <c r="G149" t="s">
        <v>106</v>
      </c>
      <c r="H149" t="s">
        <v>106</v>
      </c>
      <c r="I149" t="s">
        <v>107</v>
      </c>
      <c r="J149" t="s">
        <v>4913</v>
      </c>
      <c r="K149" t="s">
        <v>4914</v>
      </c>
      <c r="L149" t="s">
        <v>4915</v>
      </c>
      <c r="M149" t="s">
        <v>1015</v>
      </c>
      <c r="N149" t="s">
        <v>114</v>
      </c>
      <c r="O149" t="s">
        <v>106</v>
      </c>
      <c r="P149" t="s">
        <v>106</v>
      </c>
      <c r="Q149" t="s">
        <v>107</v>
      </c>
      <c r="R149" t="s">
        <v>4913</v>
      </c>
      <c r="S149" t="s">
        <v>4914</v>
      </c>
      <c r="T149" t="s">
        <v>4467</v>
      </c>
      <c r="U149" t="s">
        <v>4468</v>
      </c>
      <c r="V149" t="s">
        <v>4469</v>
      </c>
      <c r="W149" t="s">
        <v>4487</v>
      </c>
      <c r="X149" t="s">
        <v>4471</v>
      </c>
      <c r="Y149" t="s">
        <v>4468</v>
      </c>
      <c r="Z149" t="s">
        <v>1015</v>
      </c>
      <c r="AA149" t="s">
        <v>4472</v>
      </c>
      <c r="AB149" t="s">
        <v>4469</v>
      </c>
      <c r="AC149" t="s">
        <v>61</v>
      </c>
      <c r="AD149" t="s">
        <v>19</v>
      </c>
      <c r="AE149" t="s">
        <v>19</v>
      </c>
      <c r="AF149" t="s">
        <v>1166</v>
      </c>
      <c r="AG149" t="s">
        <v>387</v>
      </c>
      <c r="AH149" t="s">
        <v>22</v>
      </c>
      <c r="AI149" t="s">
        <v>22</v>
      </c>
      <c r="AJ149" t="s">
        <v>22</v>
      </c>
      <c r="AK149" t="s">
        <v>22</v>
      </c>
    </row>
    <row r="150" spans="1:37" ht="11.25" customHeight="1">
      <c r="A150" t="s">
        <v>22</v>
      </c>
      <c r="B150" t="s">
        <v>48</v>
      </c>
      <c r="C150" t="s">
        <v>50</v>
      </c>
      <c r="D150" t="s">
        <v>22</v>
      </c>
      <c r="E150" t="s">
        <v>4916</v>
      </c>
      <c r="F150" t="s">
        <v>1104</v>
      </c>
      <c r="G150" t="s">
        <v>106</v>
      </c>
      <c r="H150" t="s">
        <v>106</v>
      </c>
      <c r="I150" t="s">
        <v>107</v>
      </c>
      <c r="J150" t="s">
        <v>4917</v>
      </c>
      <c r="K150" t="s">
        <v>4918</v>
      </c>
      <c r="L150" t="s">
        <v>4919</v>
      </c>
      <c r="M150" t="s">
        <v>786</v>
      </c>
      <c r="N150" t="s">
        <v>114</v>
      </c>
      <c r="O150" t="s">
        <v>106</v>
      </c>
      <c r="P150" t="s">
        <v>106</v>
      </c>
      <c r="Q150" t="s">
        <v>107</v>
      </c>
      <c r="R150" t="s">
        <v>4917</v>
      </c>
      <c r="S150" t="s">
        <v>4918</v>
      </c>
      <c r="T150" t="s">
        <v>4467</v>
      </c>
      <c r="U150" t="s">
        <v>4468</v>
      </c>
      <c r="V150" t="s">
        <v>4469</v>
      </c>
      <c r="W150" t="s">
        <v>4470</v>
      </c>
      <c r="X150" t="s">
        <v>4471</v>
      </c>
      <c r="Y150" t="s">
        <v>4468</v>
      </c>
      <c r="Z150" t="s">
        <v>1015</v>
      </c>
      <c r="AA150" t="s">
        <v>4472</v>
      </c>
      <c r="AB150" t="s">
        <v>4469</v>
      </c>
      <c r="AC150" t="s">
        <v>61</v>
      </c>
      <c r="AD150" t="s">
        <v>19</v>
      </c>
      <c r="AE150" t="s">
        <v>19</v>
      </c>
      <c r="AF150" t="s">
        <v>162</v>
      </c>
      <c r="AG150" t="s">
        <v>4920</v>
      </c>
      <c r="AH150" t="s">
        <v>22</v>
      </c>
      <c r="AI150" t="s">
        <v>22</v>
      </c>
      <c r="AJ150" t="s">
        <v>22</v>
      </c>
      <c r="AK150" t="s">
        <v>22</v>
      </c>
    </row>
    <row r="151" spans="1:37" ht="11.25" customHeight="1">
      <c r="A151" t="s">
        <v>22</v>
      </c>
      <c r="B151" t="s">
        <v>48</v>
      </c>
      <c r="C151" t="s">
        <v>50</v>
      </c>
      <c r="D151" t="s">
        <v>22</v>
      </c>
      <c r="E151" t="s">
        <v>4921</v>
      </c>
      <c r="F151" t="s">
        <v>1104</v>
      </c>
      <c r="G151" t="s">
        <v>106</v>
      </c>
      <c r="H151" t="s">
        <v>106</v>
      </c>
      <c r="I151" t="s">
        <v>107</v>
      </c>
      <c r="J151" t="s">
        <v>4909</v>
      </c>
      <c r="K151" t="s">
        <v>4910</v>
      </c>
      <c r="L151" t="s">
        <v>4911</v>
      </c>
      <c r="M151" t="s">
        <v>1015</v>
      </c>
      <c r="N151" t="s">
        <v>114</v>
      </c>
      <c r="O151" t="s">
        <v>106</v>
      </c>
      <c r="P151" t="s">
        <v>106</v>
      </c>
      <c r="Q151" t="s">
        <v>107</v>
      </c>
      <c r="R151" t="s">
        <v>4909</v>
      </c>
      <c r="S151" t="s">
        <v>4910</v>
      </c>
      <c r="T151" t="s">
        <v>4467</v>
      </c>
      <c r="U151" t="s">
        <v>4468</v>
      </c>
      <c r="V151" t="s">
        <v>4469</v>
      </c>
      <c r="W151" t="s">
        <v>4487</v>
      </c>
      <c r="X151" t="s">
        <v>4471</v>
      </c>
      <c r="Y151" t="s">
        <v>4468</v>
      </c>
      <c r="Z151" t="s">
        <v>1015</v>
      </c>
      <c r="AA151" t="s">
        <v>4472</v>
      </c>
      <c r="AB151" t="s">
        <v>4469</v>
      </c>
      <c r="AC151" t="s">
        <v>61</v>
      </c>
      <c r="AD151" t="s">
        <v>19</v>
      </c>
      <c r="AE151" t="s">
        <v>19</v>
      </c>
      <c r="AF151" t="s">
        <v>1766</v>
      </c>
      <c r="AG151" t="s">
        <v>387</v>
      </c>
      <c r="AH151" t="s">
        <v>22</v>
      </c>
      <c r="AI151" t="s">
        <v>22</v>
      </c>
      <c r="AJ151" t="s">
        <v>22</v>
      </c>
      <c r="AK151" t="s">
        <v>22</v>
      </c>
    </row>
    <row r="152" spans="1:37" ht="11.25" customHeight="1">
      <c r="A152" t="s">
        <v>22</v>
      </c>
      <c r="B152" t="s">
        <v>48</v>
      </c>
      <c r="C152" t="s">
        <v>50</v>
      </c>
      <c r="D152" t="s">
        <v>22</v>
      </c>
      <c r="E152" t="s">
        <v>4922</v>
      </c>
      <c r="F152" t="s">
        <v>1104</v>
      </c>
      <c r="G152" t="s">
        <v>106</v>
      </c>
      <c r="H152" t="s">
        <v>106</v>
      </c>
      <c r="I152" t="s">
        <v>107</v>
      </c>
      <c r="J152" t="s">
        <v>4923</v>
      </c>
      <c r="K152" t="s">
        <v>4924</v>
      </c>
      <c r="L152" t="s">
        <v>4925</v>
      </c>
      <c r="M152" t="s">
        <v>786</v>
      </c>
      <c r="N152" t="s">
        <v>114</v>
      </c>
      <c r="O152" t="s">
        <v>106</v>
      </c>
      <c r="P152" t="s">
        <v>106</v>
      </c>
      <c r="Q152" t="s">
        <v>107</v>
      </c>
      <c r="R152" t="s">
        <v>4923</v>
      </c>
      <c r="S152" t="s">
        <v>4924</v>
      </c>
      <c r="T152" t="s">
        <v>4467</v>
      </c>
      <c r="U152" t="s">
        <v>4468</v>
      </c>
      <c r="V152" t="s">
        <v>4469</v>
      </c>
      <c r="W152" t="s">
        <v>4470</v>
      </c>
      <c r="X152" t="s">
        <v>4471</v>
      </c>
      <c r="Y152" t="s">
        <v>4468</v>
      </c>
      <c r="Z152" t="s">
        <v>1015</v>
      </c>
      <c r="AA152" t="s">
        <v>4472</v>
      </c>
      <c r="AB152" t="s">
        <v>4469</v>
      </c>
      <c r="AC152" t="s">
        <v>61</v>
      </c>
      <c r="AD152" t="s">
        <v>19</v>
      </c>
      <c r="AE152" t="s">
        <v>19</v>
      </c>
      <c r="AF152" t="s">
        <v>162</v>
      </c>
      <c r="AG152" t="s">
        <v>162</v>
      </c>
      <c r="AH152" t="s">
        <v>22</v>
      </c>
      <c r="AI152" t="s">
        <v>22</v>
      </c>
      <c r="AJ152" t="s">
        <v>22</v>
      </c>
      <c r="AK152" t="s">
        <v>22</v>
      </c>
    </row>
    <row r="153" spans="1:37" ht="11.25" customHeight="1">
      <c r="A153" t="s">
        <v>22</v>
      </c>
      <c r="B153" t="s">
        <v>48</v>
      </c>
      <c r="C153" t="s">
        <v>50</v>
      </c>
      <c r="D153" t="s">
        <v>22</v>
      </c>
      <c r="E153" t="s">
        <v>4926</v>
      </c>
      <c r="F153" t="s">
        <v>1104</v>
      </c>
      <c r="G153" t="s">
        <v>106</v>
      </c>
      <c r="H153" t="s">
        <v>106</v>
      </c>
      <c r="I153" t="s">
        <v>107</v>
      </c>
      <c r="J153" t="s">
        <v>4927</v>
      </c>
      <c r="K153" t="s">
        <v>4928</v>
      </c>
      <c r="L153" t="s">
        <v>4929</v>
      </c>
      <c r="M153" t="s">
        <v>786</v>
      </c>
      <c r="N153" t="s">
        <v>114</v>
      </c>
      <c r="O153" t="s">
        <v>106</v>
      </c>
      <c r="P153" t="s">
        <v>106</v>
      </c>
      <c r="Q153" t="s">
        <v>107</v>
      </c>
      <c r="R153" t="s">
        <v>4927</v>
      </c>
      <c r="S153" t="s">
        <v>4928</v>
      </c>
      <c r="T153" t="s">
        <v>4467</v>
      </c>
      <c r="U153" t="s">
        <v>4468</v>
      </c>
      <c r="V153" t="s">
        <v>4469</v>
      </c>
      <c r="W153" t="s">
        <v>4470</v>
      </c>
      <c r="X153" t="s">
        <v>4471</v>
      </c>
      <c r="Y153" t="s">
        <v>4468</v>
      </c>
      <c r="Z153" t="s">
        <v>1015</v>
      </c>
      <c r="AA153" t="s">
        <v>4472</v>
      </c>
      <c r="AB153" t="s">
        <v>4469</v>
      </c>
      <c r="AC153" t="s">
        <v>61</v>
      </c>
      <c r="AD153" t="s">
        <v>19</v>
      </c>
      <c r="AE153" t="s">
        <v>19</v>
      </c>
      <c r="AF153" t="s">
        <v>1752</v>
      </c>
      <c r="AG153" t="s">
        <v>89</v>
      </c>
      <c r="AH153" t="s">
        <v>22</v>
      </c>
      <c r="AI153" t="s">
        <v>22</v>
      </c>
      <c r="AJ153" t="s">
        <v>22</v>
      </c>
      <c r="AK153" t="s">
        <v>22</v>
      </c>
    </row>
    <row r="154" spans="1:37" ht="11.25" customHeight="1">
      <c r="A154" t="s">
        <v>22</v>
      </c>
      <c r="B154" t="s">
        <v>48</v>
      </c>
      <c r="C154" t="s">
        <v>50</v>
      </c>
      <c r="D154" t="s">
        <v>22</v>
      </c>
      <c r="E154" t="s">
        <v>4930</v>
      </c>
      <c r="F154" t="s">
        <v>1104</v>
      </c>
      <c r="G154" t="s">
        <v>99</v>
      </c>
      <c r="H154" t="s">
        <v>99</v>
      </c>
      <c r="I154" t="s">
        <v>100</v>
      </c>
      <c r="J154" t="s">
        <v>1059</v>
      </c>
      <c r="K154" t="s">
        <v>1060</v>
      </c>
      <c r="L154" t="s">
        <v>4696</v>
      </c>
      <c r="M154" t="s">
        <v>4931</v>
      </c>
      <c r="N154" t="s">
        <v>114</v>
      </c>
      <c r="O154" t="s">
        <v>4520</v>
      </c>
      <c r="P154" t="s">
        <v>4520</v>
      </c>
      <c r="Q154" t="s">
        <v>100</v>
      </c>
      <c r="R154" t="s">
        <v>1059</v>
      </c>
      <c r="S154" t="s">
        <v>1060</v>
      </c>
      <c r="T154" t="s">
        <v>4467</v>
      </c>
      <c r="U154" t="s">
        <v>4468</v>
      </c>
      <c r="V154" t="s">
        <v>4521</v>
      </c>
      <c r="W154" t="s">
        <v>4470</v>
      </c>
      <c r="X154" t="s">
        <v>4471</v>
      </c>
      <c r="Y154" t="s">
        <v>4468</v>
      </c>
      <c r="Z154" t="s">
        <v>1015</v>
      </c>
      <c r="AA154" t="s">
        <v>4522</v>
      </c>
      <c r="AB154" t="s">
        <v>4521</v>
      </c>
      <c r="AC154" t="s">
        <v>61</v>
      </c>
      <c r="AD154" t="s">
        <v>19</v>
      </c>
      <c r="AE154" t="s">
        <v>19</v>
      </c>
      <c r="AF154" t="s">
        <v>4523</v>
      </c>
      <c r="AG154" t="s">
        <v>4932</v>
      </c>
      <c r="AH154" t="s">
        <v>22</v>
      </c>
      <c r="AI154" t="s">
        <v>22</v>
      </c>
      <c r="AJ154" t="s">
        <v>22</v>
      </c>
      <c r="AK154" t="s">
        <v>22</v>
      </c>
    </row>
    <row r="155" spans="1:37" ht="11.25" customHeight="1">
      <c r="A155" t="s">
        <v>22</v>
      </c>
      <c r="B155" t="s">
        <v>48</v>
      </c>
      <c r="C155" t="s">
        <v>50</v>
      </c>
      <c r="D155" t="s">
        <v>22</v>
      </c>
      <c r="E155" t="s">
        <v>4930</v>
      </c>
      <c r="F155" t="s">
        <v>1104</v>
      </c>
      <c r="G155" t="s">
        <v>99</v>
      </c>
      <c r="H155" t="s">
        <v>99</v>
      </c>
      <c r="I155" t="s">
        <v>100</v>
      </c>
      <c r="J155" t="s">
        <v>1059</v>
      </c>
      <c r="K155" t="s">
        <v>1060</v>
      </c>
      <c r="L155" t="s">
        <v>4933</v>
      </c>
      <c r="M155" t="s">
        <v>4687</v>
      </c>
      <c r="N155" t="s">
        <v>114</v>
      </c>
      <c r="O155" t="s">
        <v>4520</v>
      </c>
      <c r="P155" t="s">
        <v>4520</v>
      </c>
      <c r="Q155" t="s">
        <v>100</v>
      </c>
      <c r="R155" t="s">
        <v>1059</v>
      </c>
      <c r="S155" t="s">
        <v>1060</v>
      </c>
      <c r="T155" t="s">
        <v>4467</v>
      </c>
      <c r="U155" t="s">
        <v>4468</v>
      </c>
      <c r="V155" t="s">
        <v>4521</v>
      </c>
      <c r="W155" t="s">
        <v>4470</v>
      </c>
      <c r="X155" t="s">
        <v>4471</v>
      </c>
      <c r="Y155" t="s">
        <v>4468</v>
      </c>
      <c r="Z155" t="s">
        <v>1015</v>
      </c>
      <c r="AA155" t="s">
        <v>4522</v>
      </c>
      <c r="AB155" t="s">
        <v>4521</v>
      </c>
      <c r="AC155" t="s">
        <v>61</v>
      </c>
      <c r="AD155" t="s">
        <v>19</v>
      </c>
      <c r="AE155" t="s">
        <v>19</v>
      </c>
      <c r="AF155" t="s">
        <v>4579</v>
      </c>
      <c r="AG155" t="s">
        <v>387</v>
      </c>
      <c r="AH155" t="s">
        <v>22</v>
      </c>
      <c r="AI155" t="s">
        <v>22</v>
      </c>
      <c r="AJ155" t="s">
        <v>22</v>
      </c>
      <c r="AK155" t="s">
        <v>22</v>
      </c>
    </row>
    <row r="156" spans="1:37" ht="11.25" customHeight="1">
      <c r="A156" t="s">
        <v>22</v>
      </c>
      <c r="B156" t="s">
        <v>48</v>
      </c>
      <c r="C156" t="s">
        <v>50</v>
      </c>
      <c r="D156" t="s">
        <v>22</v>
      </c>
      <c r="E156" t="s">
        <v>4930</v>
      </c>
      <c r="F156" t="s">
        <v>1104</v>
      </c>
      <c r="G156" t="s">
        <v>99</v>
      </c>
      <c r="H156" t="s">
        <v>99</v>
      </c>
      <c r="I156" t="s">
        <v>100</v>
      </c>
      <c r="J156" t="s">
        <v>1059</v>
      </c>
      <c r="K156" t="s">
        <v>1060</v>
      </c>
      <c r="L156" t="s">
        <v>4666</v>
      </c>
      <c r="M156" t="s">
        <v>4934</v>
      </c>
      <c r="N156" t="s">
        <v>114</v>
      </c>
      <c r="O156" t="s">
        <v>4520</v>
      </c>
      <c r="P156" t="s">
        <v>4520</v>
      </c>
      <c r="Q156" t="s">
        <v>100</v>
      </c>
      <c r="R156" t="s">
        <v>1059</v>
      </c>
      <c r="S156" t="s">
        <v>1060</v>
      </c>
      <c r="T156" t="s">
        <v>4467</v>
      </c>
      <c r="U156" t="s">
        <v>4468</v>
      </c>
      <c r="V156" t="s">
        <v>4521</v>
      </c>
      <c r="W156" t="s">
        <v>4470</v>
      </c>
      <c r="X156" t="s">
        <v>4471</v>
      </c>
      <c r="Y156" t="s">
        <v>4468</v>
      </c>
      <c r="Z156" t="s">
        <v>1015</v>
      </c>
      <c r="AA156" t="s">
        <v>4522</v>
      </c>
      <c r="AB156" t="s">
        <v>4521</v>
      </c>
      <c r="AC156" t="s">
        <v>61</v>
      </c>
      <c r="AD156" t="s">
        <v>19</v>
      </c>
      <c r="AE156" t="s">
        <v>19</v>
      </c>
      <c r="AF156" t="s">
        <v>4935</v>
      </c>
      <c r="AG156" t="s">
        <v>4665</v>
      </c>
      <c r="AH156" t="s">
        <v>22</v>
      </c>
      <c r="AI156" t="s">
        <v>22</v>
      </c>
      <c r="AJ156" t="s">
        <v>22</v>
      </c>
      <c r="AK156" t="s">
        <v>22</v>
      </c>
    </row>
    <row r="157" spans="1:37" ht="11.25" customHeight="1">
      <c r="A157" t="s">
        <v>22</v>
      </c>
      <c r="B157" t="s">
        <v>48</v>
      </c>
      <c r="C157" t="s">
        <v>50</v>
      </c>
      <c r="D157" t="s">
        <v>22</v>
      </c>
      <c r="E157" t="s">
        <v>4930</v>
      </c>
      <c r="F157" t="s">
        <v>1104</v>
      </c>
      <c r="G157" t="s">
        <v>99</v>
      </c>
      <c r="H157" t="s">
        <v>99</v>
      </c>
      <c r="I157" t="s">
        <v>100</v>
      </c>
      <c r="J157" t="s">
        <v>1059</v>
      </c>
      <c r="K157" t="s">
        <v>1060</v>
      </c>
      <c r="L157" t="s">
        <v>4784</v>
      </c>
      <c r="M157" t="s">
        <v>4687</v>
      </c>
      <c r="N157" t="s">
        <v>114</v>
      </c>
      <c r="O157" t="s">
        <v>4520</v>
      </c>
      <c r="P157" t="s">
        <v>4520</v>
      </c>
      <c r="Q157" t="s">
        <v>100</v>
      </c>
      <c r="R157" t="s">
        <v>1059</v>
      </c>
      <c r="S157" t="s">
        <v>1060</v>
      </c>
      <c r="T157" t="s">
        <v>4467</v>
      </c>
      <c r="U157" t="s">
        <v>4468</v>
      </c>
      <c r="V157" t="s">
        <v>4521</v>
      </c>
      <c r="W157" t="s">
        <v>4470</v>
      </c>
      <c r="X157" t="s">
        <v>4471</v>
      </c>
      <c r="Y157" t="s">
        <v>4468</v>
      </c>
      <c r="Z157" t="s">
        <v>1015</v>
      </c>
      <c r="AA157" t="s">
        <v>4522</v>
      </c>
      <c r="AB157" t="s">
        <v>4521</v>
      </c>
      <c r="AC157" t="s">
        <v>61</v>
      </c>
      <c r="AD157" t="s">
        <v>19</v>
      </c>
      <c r="AE157" t="s">
        <v>19</v>
      </c>
      <c r="AF157" t="s">
        <v>4550</v>
      </c>
      <c r="AG157" t="s">
        <v>4936</v>
      </c>
      <c r="AH157" t="s">
        <v>22</v>
      </c>
      <c r="AI157" t="s">
        <v>22</v>
      </c>
      <c r="AJ157" t="s">
        <v>22</v>
      </c>
      <c r="AK157" t="s">
        <v>22</v>
      </c>
    </row>
    <row r="158" spans="1:37" ht="11.25" customHeight="1">
      <c r="A158" t="s">
        <v>22</v>
      </c>
      <c r="B158" t="s">
        <v>48</v>
      </c>
      <c r="C158" t="s">
        <v>50</v>
      </c>
      <c r="D158" t="s">
        <v>22</v>
      </c>
      <c r="E158" t="s">
        <v>4930</v>
      </c>
      <c r="F158" t="s">
        <v>1104</v>
      </c>
      <c r="G158" t="s">
        <v>99</v>
      </c>
      <c r="H158" t="s">
        <v>99</v>
      </c>
      <c r="I158" t="s">
        <v>100</v>
      </c>
      <c r="J158" t="s">
        <v>1059</v>
      </c>
      <c r="K158" t="s">
        <v>1060</v>
      </c>
      <c r="L158" t="s">
        <v>4937</v>
      </c>
      <c r="M158" t="s">
        <v>4712</v>
      </c>
      <c r="N158" t="s">
        <v>114</v>
      </c>
      <c r="O158" t="s">
        <v>4520</v>
      </c>
      <c r="P158" t="s">
        <v>4520</v>
      </c>
      <c r="Q158" t="s">
        <v>100</v>
      </c>
      <c r="R158" t="s">
        <v>1059</v>
      </c>
      <c r="S158" t="s">
        <v>1060</v>
      </c>
      <c r="T158" t="s">
        <v>4467</v>
      </c>
      <c r="U158" t="s">
        <v>4468</v>
      </c>
      <c r="V158" t="s">
        <v>4521</v>
      </c>
      <c r="W158" t="s">
        <v>4470</v>
      </c>
      <c r="X158" t="s">
        <v>4471</v>
      </c>
      <c r="Y158" t="s">
        <v>4468</v>
      </c>
      <c r="Z158" t="s">
        <v>1015</v>
      </c>
      <c r="AA158" t="s">
        <v>4522</v>
      </c>
      <c r="AB158" t="s">
        <v>4521</v>
      </c>
      <c r="AC158" t="s">
        <v>61</v>
      </c>
      <c r="AD158" t="s">
        <v>19</v>
      </c>
      <c r="AE158" t="s">
        <v>19</v>
      </c>
      <c r="AF158" t="s">
        <v>4650</v>
      </c>
      <c r="AG158" t="s">
        <v>387</v>
      </c>
      <c r="AH158" t="s">
        <v>22</v>
      </c>
      <c r="AI158" t="s">
        <v>22</v>
      </c>
      <c r="AJ158" t="s">
        <v>22</v>
      </c>
      <c r="AK158" t="s">
        <v>22</v>
      </c>
    </row>
    <row r="159" spans="1:37" ht="11.25" customHeight="1">
      <c r="A159" t="s">
        <v>22</v>
      </c>
      <c r="B159" t="s">
        <v>48</v>
      </c>
      <c r="C159" t="s">
        <v>50</v>
      </c>
      <c r="D159" t="s">
        <v>22</v>
      </c>
      <c r="E159" t="s">
        <v>4930</v>
      </c>
      <c r="F159" t="s">
        <v>1104</v>
      </c>
      <c r="G159" t="s">
        <v>99</v>
      </c>
      <c r="H159" t="s">
        <v>99</v>
      </c>
      <c r="I159" t="s">
        <v>100</v>
      </c>
      <c r="J159" t="s">
        <v>1059</v>
      </c>
      <c r="K159" t="s">
        <v>1060</v>
      </c>
      <c r="L159" t="s">
        <v>4938</v>
      </c>
      <c r="M159" t="s">
        <v>4939</v>
      </c>
      <c r="N159" t="s">
        <v>114</v>
      </c>
      <c r="O159" t="s">
        <v>4520</v>
      </c>
      <c r="P159" t="s">
        <v>4520</v>
      </c>
      <c r="Q159" t="s">
        <v>100</v>
      </c>
      <c r="R159" t="s">
        <v>1059</v>
      </c>
      <c r="S159" t="s">
        <v>1060</v>
      </c>
      <c r="T159" t="s">
        <v>4606</v>
      </c>
      <c r="U159" t="s">
        <v>4527</v>
      </c>
      <c r="V159" t="s">
        <v>4940</v>
      </c>
      <c r="W159" t="s">
        <v>4470</v>
      </c>
      <c r="X159" t="s">
        <v>4529</v>
      </c>
      <c r="Y159" t="s">
        <v>4527</v>
      </c>
      <c r="Z159" t="s">
        <v>4941</v>
      </c>
      <c r="AA159" t="s">
        <v>4670</v>
      </c>
      <c r="AB159" t="s">
        <v>4940</v>
      </c>
      <c r="AC159" t="s">
        <v>61</v>
      </c>
      <c r="AD159" t="s">
        <v>19</v>
      </c>
      <c r="AE159" t="s">
        <v>19</v>
      </c>
      <c r="AF159" t="s">
        <v>4942</v>
      </c>
      <c r="AG159" t="s">
        <v>387</v>
      </c>
      <c r="AH159" t="s">
        <v>22</v>
      </c>
      <c r="AI159" t="s">
        <v>22</v>
      </c>
      <c r="AJ159" t="s">
        <v>22</v>
      </c>
      <c r="AK159" t="s">
        <v>22</v>
      </c>
    </row>
    <row r="160" spans="1:37" ht="11.25" customHeight="1">
      <c r="A160" t="s">
        <v>22</v>
      </c>
      <c r="B160" t="s">
        <v>48</v>
      </c>
      <c r="C160" t="s">
        <v>50</v>
      </c>
      <c r="D160" t="s">
        <v>22</v>
      </c>
      <c r="E160" t="s">
        <v>4930</v>
      </c>
      <c r="F160" t="s">
        <v>1104</v>
      </c>
      <c r="G160" t="s">
        <v>99</v>
      </c>
      <c r="H160" t="s">
        <v>99</v>
      </c>
      <c r="I160" t="s">
        <v>100</v>
      </c>
      <c r="J160" t="s">
        <v>1059</v>
      </c>
      <c r="K160" t="s">
        <v>1060</v>
      </c>
      <c r="L160" t="s">
        <v>4943</v>
      </c>
      <c r="M160" t="s">
        <v>4944</v>
      </c>
      <c r="N160" t="s">
        <v>114</v>
      </c>
      <c r="O160" t="s">
        <v>4520</v>
      </c>
      <c r="P160" t="s">
        <v>4520</v>
      </c>
      <c r="Q160" t="s">
        <v>100</v>
      </c>
      <c r="R160" t="s">
        <v>1059</v>
      </c>
      <c r="S160" t="s">
        <v>1060</v>
      </c>
      <c r="T160" t="s">
        <v>4467</v>
      </c>
      <c r="U160" t="s">
        <v>4468</v>
      </c>
      <c r="V160" t="s">
        <v>4521</v>
      </c>
      <c r="W160" t="s">
        <v>4470</v>
      </c>
      <c r="X160" t="s">
        <v>4471</v>
      </c>
      <c r="Y160" t="s">
        <v>4468</v>
      </c>
      <c r="Z160" t="s">
        <v>1015</v>
      </c>
      <c r="AA160" t="s">
        <v>4522</v>
      </c>
      <c r="AB160" t="s">
        <v>4521</v>
      </c>
      <c r="AC160" t="s">
        <v>61</v>
      </c>
      <c r="AD160" t="s">
        <v>19</v>
      </c>
      <c r="AE160" t="s">
        <v>19</v>
      </c>
      <c r="AF160" t="s">
        <v>4945</v>
      </c>
      <c r="AG160" t="s">
        <v>387</v>
      </c>
      <c r="AH160" t="s">
        <v>22</v>
      </c>
      <c r="AI160" t="s">
        <v>22</v>
      </c>
      <c r="AJ160" t="s">
        <v>22</v>
      </c>
      <c r="AK160" t="s">
        <v>22</v>
      </c>
    </row>
    <row r="161" spans="1:37" ht="11.25" customHeight="1">
      <c r="A161" t="s">
        <v>22</v>
      </c>
      <c r="B161" t="s">
        <v>48</v>
      </c>
      <c r="C161" t="s">
        <v>50</v>
      </c>
      <c r="D161" t="s">
        <v>22</v>
      </c>
      <c r="E161" t="s">
        <v>4930</v>
      </c>
      <c r="F161" t="s">
        <v>1104</v>
      </c>
      <c r="G161" t="s">
        <v>99</v>
      </c>
      <c r="H161" t="s">
        <v>99</v>
      </c>
      <c r="I161" t="s">
        <v>100</v>
      </c>
      <c r="J161" t="s">
        <v>1059</v>
      </c>
      <c r="K161" t="s">
        <v>1060</v>
      </c>
      <c r="L161" t="s">
        <v>4946</v>
      </c>
      <c r="M161" t="s">
        <v>4947</v>
      </c>
      <c r="N161" t="s">
        <v>114</v>
      </c>
      <c r="O161" t="s">
        <v>4520</v>
      </c>
      <c r="P161" t="s">
        <v>4520</v>
      </c>
      <c r="Q161" t="s">
        <v>100</v>
      </c>
      <c r="R161" t="s">
        <v>1059</v>
      </c>
      <c r="S161" t="s">
        <v>1060</v>
      </c>
      <c r="T161" t="s">
        <v>4467</v>
      </c>
      <c r="U161" t="s">
        <v>4468</v>
      </c>
      <c r="V161" t="s">
        <v>4521</v>
      </c>
      <c r="W161" t="s">
        <v>4470</v>
      </c>
      <c r="X161" t="s">
        <v>4471</v>
      </c>
      <c r="Y161" t="s">
        <v>4468</v>
      </c>
      <c r="Z161" t="s">
        <v>1015</v>
      </c>
      <c r="AA161" t="s">
        <v>4522</v>
      </c>
      <c r="AB161" t="s">
        <v>4521</v>
      </c>
      <c r="AC161" t="s">
        <v>61</v>
      </c>
      <c r="AD161" t="s">
        <v>19</v>
      </c>
      <c r="AE161" t="s">
        <v>19</v>
      </c>
      <c r="AF161" t="s">
        <v>1118</v>
      </c>
      <c r="AG161" t="s">
        <v>116</v>
      </c>
      <c r="AH161" t="s">
        <v>22</v>
      </c>
      <c r="AI161" t="s">
        <v>22</v>
      </c>
      <c r="AJ161" t="s">
        <v>22</v>
      </c>
      <c r="AK161" t="s">
        <v>22</v>
      </c>
    </row>
    <row r="162" spans="1:37" ht="11.25" customHeight="1">
      <c r="A162" t="s">
        <v>22</v>
      </c>
      <c r="B162" t="s">
        <v>48</v>
      </c>
      <c r="C162" t="s">
        <v>50</v>
      </c>
      <c r="D162" t="s">
        <v>22</v>
      </c>
      <c r="E162" t="s">
        <v>4930</v>
      </c>
      <c r="F162" t="s">
        <v>1104</v>
      </c>
      <c r="G162" t="s">
        <v>99</v>
      </c>
      <c r="H162" t="s">
        <v>99</v>
      </c>
      <c r="I162" t="s">
        <v>100</v>
      </c>
      <c r="J162" t="s">
        <v>1059</v>
      </c>
      <c r="K162" t="s">
        <v>1060</v>
      </c>
      <c r="L162" t="s">
        <v>4948</v>
      </c>
      <c r="M162" t="s">
        <v>4949</v>
      </c>
      <c r="N162" t="s">
        <v>114</v>
      </c>
      <c r="O162" t="s">
        <v>4520</v>
      </c>
      <c r="P162" t="s">
        <v>4520</v>
      </c>
      <c r="Q162" t="s">
        <v>100</v>
      </c>
      <c r="R162" t="s">
        <v>1059</v>
      </c>
      <c r="S162" t="s">
        <v>1060</v>
      </c>
      <c r="T162" t="s">
        <v>4467</v>
      </c>
      <c r="U162" t="s">
        <v>4468</v>
      </c>
      <c r="V162" t="s">
        <v>4521</v>
      </c>
      <c r="W162" t="s">
        <v>4470</v>
      </c>
      <c r="X162" t="s">
        <v>4471</v>
      </c>
      <c r="Y162" t="s">
        <v>4468</v>
      </c>
      <c r="Z162" t="s">
        <v>1015</v>
      </c>
      <c r="AA162" t="s">
        <v>4522</v>
      </c>
      <c r="AB162" t="s">
        <v>4521</v>
      </c>
      <c r="AC162" t="s">
        <v>61</v>
      </c>
      <c r="AD162" t="s">
        <v>19</v>
      </c>
      <c r="AE162" t="s">
        <v>19</v>
      </c>
      <c r="AF162" t="s">
        <v>4560</v>
      </c>
      <c r="AG162" t="s">
        <v>2206</v>
      </c>
      <c r="AH162" t="s">
        <v>22</v>
      </c>
      <c r="AI162" t="s">
        <v>22</v>
      </c>
      <c r="AJ162" t="s">
        <v>22</v>
      </c>
      <c r="AK162" t="s">
        <v>22</v>
      </c>
    </row>
    <row r="163" spans="1:37" ht="11.25" customHeight="1">
      <c r="A163" t="s">
        <v>22</v>
      </c>
      <c r="B163" t="s">
        <v>48</v>
      </c>
      <c r="C163" t="s">
        <v>50</v>
      </c>
      <c r="D163" t="s">
        <v>22</v>
      </c>
      <c r="E163" t="s">
        <v>4930</v>
      </c>
      <c r="F163" t="s">
        <v>1104</v>
      </c>
      <c r="G163" t="s">
        <v>99</v>
      </c>
      <c r="H163" t="s">
        <v>99</v>
      </c>
      <c r="I163" t="s">
        <v>100</v>
      </c>
      <c r="J163" t="s">
        <v>1059</v>
      </c>
      <c r="K163" t="s">
        <v>1060</v>
      </c>
      <c r="L163" t="s">
        <v>4950</v>
      </c>
      <c r="M163" t="s">
        <v>1106</v>
      </c>
      <c r="N163" t="s">
        <v>114</v>
      </c>
      <c r="O163" t="s">
        <v>4520</v>
      </c>
      <c r="P163" t="s">
        <v>4520</v>
      </c>
      <c r="Q163" t="s">
        <v>100</v>
      </c>
      <c r="R163" t="s">
        <v>1059</v>
      </c>
      <c r="S163" t="s">
        <v>1060</v>
      </c>
      <c r="T163" t="s">
        <v>4467</v>
      </c>
      <c r="U163" t="s">
        <v>4468</v>
      </c>
      <c r="V163" t="s">
        <v>4521</v>
      </c>
      <c r="W163" t="s">
        <v>4470</v>
      </c>
      <c r="X163" t="s">
        <v>4471</v>
      </c>
      <c r="Y163" t="s">
        <v>4468</v>
      </c>
      <c r="Z163" t="s">
        <v>1015</v>
      </c>
      <c r="AA163" t="s">
        <v>4522</v>
      </c>
      <c r="AB163" t="s">
        <v>4521</v>
      </c>
      <c r="AC163" t="s">
        <v>61</v>
      </c>
      <c r="AD163" t="s">
        <v>19</v>
      </c>
      <c r="AE163" t="s">
        <v>19</v>
      </c>
      <c r="AF163" t="s">
        <v>4951</v>
      </c>
      <c r="AG163" t="s">
        <v>4952</v>
      </c>
      <c r="AH163" t="s">
        <v>22</v>
      </c>
      <c r="AI163" t="s">
        <v>22</v>
      </c>
      <c r="AJ163" t="s">
        <v>22</v>
      </c>
      <c r="AK163" t="s">
        <v>22</v>
      </c>
    </row>
    <row r="164" spans="1:37" ht="11.25" customHeight="1">
      <c r="A164" t="s">
        <v>22</v>
      </c>
      <c r="B164" t="s">
        <v>48</v>
      </c>
      <c r="C164" t="s">
        <v>50</v>
      </c>
      <c r="D164" t="s">
        <v>22</v>
      </c>
      <c r="E164" t="s">
        <v>4930</v>
      </c>
      <c r="F164" t="s">
        <v>1104</v>
      </c>
      <c r="G164" t="s">
        <v>99</v>
      </c>
      <c r="H164" t="s">
        <v>99</v>
      </c>
      <c r="I164" t="s">
        <v>100</v>
      </c>
      <c r="J164" t="s">
        <v>1059</v>
      </c>
      <c r="K164" t="s">
        <v>1060</v>
      </c>
      <c r="L164" t="s">
        <v>4953</v>
      </c>
      <c r="M164" t="s">
        <v>4954</v>
      </c>
      <c r="N164" t="s">
        <v>114</v>
      </c>
      <c r="O164" t="s">
        <v>4520</v>
      </c>
      <c r="P164" t="s">
        <v>4520</v>
      </c>
      <c r="Q164" t="s">
        <v>100</v>
      </c>
      <c r="R164" t="s">
        <v>1059</v>
      </c>
      <c r="S164" t="s">
        <v>1060</v>
      </c>
      <c r="T164" t="s">
        <v>4467</v>
      </c>
      <c r="U164" t="s">
        <v>4468</v>
      </c>
      <c r="V164" t="s">
        <v>4521</v>
      </c>
      <c r="W164" t="s">
        <v>4470</v>
      </c>
      <c r="X164" t="s">
        <v>4471</v>
      </c>
      <c r="Y164" t="s">
        <v>4468</v>
      </c>
      <c r="Z164" t="s">
        <v>1015</v>
      </c>
      <c r="AA164" t="s">
        <v>4522</v>
      </c>
      <c r="AB164" t="s">
        <v>4521</v>
      </c>
      <c r="AC164" t="s">
        <v>61</v>
      </c>
      <c r="AD164" t="s">
        <v>19</v>
      </c>
      <c r="AE164" t="s">
        <v>19</v>
      </c>
      <c r="AF164" t="s">
        <v>4942</v>
      </c>
      <c r="AG164" t="s">
        <v>4955</v>
      </c>
      <c r="AH164" t="s">
        <v>22</v>
      </c>
      <c r="AI164" t="s">
        <v>22</v>
      </c>
      <c r="AJ164" t="s">
        <v>22</v>
      </c>
      <c r="AK164" t="s">
        <v>22</v>
      </c>
    </row>
    <row r="165" spans="1:37" ht="11.25" customHeight="1">
      <c r="A165" t="s">
        <v>22</v>
      </c>
      <c r="B165" t="s">
        <v>48</v>
      </c>
      <c r="C165" t="s">
        <v>50</v>
      </c>
      <c r="D165" t="s">
        <v>22</v>
      </c>
      <c r="E165" t="s">
        <v>4930</v>
      </c>
      <c r="F165" t="s">
        <v>1104</v>
      </c>
      <c r="G165" t="s">
        <v>99</v>
      </c>
      <c r="H165" t="s">
        <v>99</v>
      </c>
      <c r="I165" t="s">
        <v>100</v>
      </c>
      <c r="J165" t="s">
        <v>1059</v>
      </c>
      <c r="K165" t="s">
        <v>1060</v>
      </c>
      <c r="L165" t="s">
        <v>4956</v>
      </c>
      <c r="M165" t="s">
        <v>4574</v>
      </c>
      <c r="N165" t="s">
        <v>114</v>
      </c>
      <c r="O165" t="s">
        <v>4520</v>
      </c>
      <c r="P165" t="s">
        <v>4520</v>
      </c>
      <c r="Q165" t="s">
        <v>100</v>
      </c>
      <c r="R165" t="s">
        <v>1059</v>
      </c>
      <c r="S165" t="s">
        <v>1060</v>
      </c>
      <c r="T165" t="s">
        <v>4467</v>
      </c>
      <c r="U165" t="s">
        <v>4468</v>
      </c>
      <c r="V165" t="s">
        <v>4521</v>
      </c>
      <c r="W165" t="s">
        <v>4470</v>
      </c>
      <c r="X165" t="s">
        <v>4471</v>
      </c>
      <c r="Y165" t="s">
        <v>4468</v>
      </c>
      <c r="Z165" t="s">
        <v>1015</v>
      </c>
      <c r="AA165" t="s">
        <v>4522</v>
      </c>
      <c r="AB165" t="s">
        <v>4521</v>
      </c>
      <c r="AC165" t="s">
        <v>61</v>
      </c>
      <c r="AD165" t="s">
        <v>19</v>
      </c>
      <c r="AE165" t="s">
        <v>19</v>
      </c>
      <c r="AF165" t="s">
        <v>4560</v>
      </c>
      <c r="AG165" t="s">
        <v>4957</v>
      </c>
      <c r="AH165" t="s">
        <v>22</v>
      </c>
      <c r="AI165" t="s">
        <v>22</v>
      </c>
      <c r="AJ165" t="s">
        <v>22</v>
      </c>
      <c r="AK165" t="s">
        <v>22</v>
      </c>
    </row>
    <row r="166" spans="1:37" ht="11.25" customHeight="1">
      <c r="A166" t="s">
        <v>22</v>
      </c>
      <c r="B166" t="s">
        <v>48</v>
      </c>
      <c r="C166" t="s">
        <v>50</v>
      </c>
      <c r="D166" t="s">
        <v>22</v>
      </c>
      <c r="E166" t="s">
        <v>4930</v>
      </c>
      <c r="F166" t="s">
        <v>1104</v>
      </c>
      <c r="G166" t="s">
        <v>99</v>
      </c>
      <c r="H166" t="s">
        <v>99</v>
      </c>
      <c r="I166" t="s">
        <v>100</v>
      </c>
      <c r="J166" t="s">
        <v>1059</v>
      </c>
      <c r="K166" t="s">
        <v>1060</v>
      </c>
      <c r="L166" t="s">
        <v>4958</v>
      </c>
      <c r="M166" t="s">
        <v>4959</v>
      </c>
      <c r="N166" t="s">
        <v>114</v>
      </c>
      <c r="O166" t="s">
        <v>4520</v>
      </c>
      <c r="P166" t="s">
        <v>4520</v>
      </c>
      <c r="Q166" t="s">
        <v>100</v>
      </c>
      <c r="R166" t="s">
        <v>1059</v>
      </c>
      <c r="S166" t="s">
        <v>1060</v>
      </c>
      <c r="T166" t="s">
        <v>4467</v>
      </c>
      <c r="U166" t="s">
        <v>4468</v>
      </c>
      <c r="V166" t="s">
        <v>4521</v>
      </c>
      <c r="W166" t="s">
        <v>4470</v>
      </c>
      <c r="X166" t="s">
        <v>4471</v>
      </c>
      <c r="Y166" t="s">
        <v>4468</v>
      </c>
      <c r="Z166" t="s">
        <v>1015</v>
      </c>
      <c r="AA166" t="s">
        <v>4522</v>
      </c>
      <c r="AB166" t="s">
        <v>4521</v>
      </c>
      <c r="AC166" t="s">
        <v>61</v>
      </c>
      <c r="AD166" t="s">
        <v>19</v>
      </c>
      <c r="AE166" t="s">
        <v>19</v>
      </c>
      <c r="AF166" t="s">
        <v>4960</v>
      </c>
      <c r="AG166" t="s">
        <v>4961</v>
      </c>
      <c r="AH166" t="s">
        <v>22</v>
      </c>
      <c r="AI166" t="s">
        <v>22</v>
      </c>
      <c r="AJ166" t="s">
        <v>22</v>
      </c>
      <c r="AK166" t="s">
        <v>22</v>
      </c>
    </row>
    <row r="167" spans="1:37" ht="11.25" customHeight="1">
      <c r="A167" t="s">
        <v>22</v>
      </c>
      <c r="B167" t="s">
        <v>48</v>
      </c>
      <c r="C167" t="s">
        <v>50</v>
      </c>
      <c r="D167" t="s">
        <v>22</v>
      </c>
      <c r="E167" t="s">
        <v>4930</v>
      </c>
      <c r="F167" t="s">
        <v>1104</v>
      </c>
      <c r="G167" t="s">
        <v>99</v>
      </c>
      <c r="H167" t="s">
        <v>99</v>
      </c>
      <c r="I167" t="s">
        <v>100</v>
      </c>
      <c r="J167" t="s">
        <v>1059</v>
      </c>
      <c r="K167" t="s">
        <v>1060</v>
      </c>
      <c r="L167" t="s">
        <v>4953</v>
      </c>
      <c r="M167" t="s">
        <v>4962</v>
      </c>
      <c r="N167" t="s">
        <v>114</v>
      </c>
      <c r="O167" t="s">
        <v>4520</v>
      </c>
      <c r="P167" t="s">
        <v>4520</v>
      </c>
      <c r="Q167" t="s">
        <v>100</v>
      </c>
      <c r="R167" t="s">
        <v>1059</v>
      </c>
      <c r="S167" t="s">
        <v>1060</v>
      </c>
      <c r="T167" t="s">
        <v>4467</v>
      </c>
      <c r="U167" t="s">
        <v>4468</v>
      </c>
      <c r="V167" t="s">
        <v>4521</v>
      </c>
      <c r="W167" t="s">
        <v>4470</v>
      </c>
      <c r="X167" t="s">
        <v>4471</v>
      </c>
      <c r="Y167" t="s">
        <v>4468</v>
      </c>
      <c r="Z167" t="s">
        <v>1015</v>
      </c>
      <c r="AA167" t="s">
        <v>4522</v>
      </c>
      <c r="AB167" t="s">
        <v>4521</v>
      </c>
      <c r="AC167" t="s">
        <v>61</v>
      </c>
      <c r="AD167" t="s">
        <v>19</v>
      </c>
      <c r="AE167" t="s">
        <v>19</v>
      </c>
      <c r="AF167" t="s">
        <v>4963</v>
      </c>
      <c r="AG167" t="s">
        <v>4964</v>
      </c>
      <c r="AH167" t="s">
        <v>22</v>
      </c>
      <c r="AI167" t="s">
        <v>22</v>
      </c>
      <c r="AJ167" t="s">
        <v>22</v>
      </c>
      <c r="AK167" t="s">
        <v>22</v>
      </c>
    </row>
    <row r="168" spans="1:37" ht="11.25" customHeight="1">
      <c r="A168" t="s">
        <v>22</v>
      </c>
      <c r="B168" t="s">
        <v>48</v>
      </c>
      <c r="C168" t="s">
        <v>50</v>
      </c>
      <c r="D168" t="s">
        <v>22</v>
      </c>
      <c r="E168" t="s">
        <v>4965</v>
      </c>
      <c r="F168" t="s">
        <v>1104</v>
      </c>
      <c r="G168" t="s">
        <v>99</v>
      </c>
      <c r="H168" t="s">
        <v>99</v>
      </c>
      <c r="I168" t="s">
        <v>100</v>
      </c>
      <c r="J168" t="s">
        <v>1059</v>
      </c>
      <c r="K168" t="s">
        <v>1060</v>
      </c>
      <c r="L168" t="s">
        <v>4792</v>
      </c>
      <c r="M168" t="s">
        <v>1153</v>
      </c>
      <c r="N168" t="s">
        <v>114</v>
      </c>
      <c r="O168" t="s">
        <v>4520</v>
      </c>
      <c r="P168" t="s">
        <v>4520</v>
      </c>
      <c r="Q168" t="s">
        <v>100</v>
      </c>
      <c r="R168" t="s">
        <v>1059</v>
      </c>
      <c r="S168" t="s">
        <v>1060</v>
      </c>
      <c r="T168" t="s">
        <v>4467</v>
      </c>
      <c r="U168" t="s">
        <v>4468</v>
      </c>
      <c r="V168" t="s">
        <v>4521</v>
      </c>
      <c r="W168" t="s">
        <v>4470</v>
      </c>
      <c r="X168" t="s">
        <v>4471</v>
      </c>
      <c r="Y168" t="s">
        <v>4468</v>
      </c>
      <c r="Z168" t="s">
        <v>1015</v>
      </c>
      <c r="AA168" t="s">
        <v>4522</v>
      </c>
      <c r="AB168" t="s">
        <v>4521</v>
      </c>
      <c r="AC168" t="s">
        <v>61</v>
      </c>
      <c r="AD168" t="s">
        <v>19</v>
      </c>
      <c r="AE168" t="s">
        <v>19</v>
      </c>
      <c r="AF168" t="s">
        <v>4966</v>
      </c>
      <c r="AG168" t="s">
        <v>4967</v>
      </c>
      <c r="AH168" t="s">
        <v>22</v>
      </c>
      <c r="AI168" t="s">
        <v>22</v>
      </c>
      <c r="AJ168" t="s">
        <v>22</v>
      </c>
      <c r="AK168" t="s">
        <v>22</v>
      </c>
    </row>
    <row r="169" spans="1:37" ht="11.25" customHeight="1">
      <c r="A169" t="s">
        <v>22</v>
      </c>
      <c r="B169" t="s">
        <v>48</v>
      </c>
      <c r="C169" t="s">
        <v>50</v>
      </c>
      <c r="D169" t="s">
        <v>22</v>
      </c>
      <c r="E169" t="s">
        <v>4968</v>
      </c>
      <c r="F169" t="s">
        <v>1104</v>
      </c>
      <c r="G169" t="s">
        <v>99</v>
      </c>
      <c r="H169" t="s">
        <v>99</v>
      </c>
      <c r="I169" t="s">
        <v>100</v>
      </c>
      <c r="J169" t="s">
        <v>1059</v>
      </c>
      <c r="K169" t="s">
        <v>1060</v>
      </c>
      <c r="L169" t="s">
        <v>4969</v>
      </c>
      <c r="M169" t="s">
        <v>1793</v>
      </c>
      <c r="N169" t="s">
        <v>114</v>
      </c>
      <c r="O169" t="s">
        <v>4520</v>
      </c>
      <c r="P169" t="s">
        <v>4520</v>
      </c>
      <c r="Q169" t="s">
        <v>100</v>
      </c>
      <c r="R169" t="s">
        <v>1059</v>
      </c>
      <c r="S169" t="s">
        <v>1060</v>
      </c>
      <c r="T169" t="s">
        <v>4467</v>
      </c>
      <c r="U169" t="s">
        <v>4468</v>
      </c>
      <c r="V169" t="s">
        <v>4521</v>
      </c>
      <c r="W169" t="s">
        <v>4470</v>
      </c>
      <c r="X169" t="s">
        <v>4471</v>
      </c>
      <c r="Y169" t="s">
        <v>4468</v>
      </c>
      <c r="Z169" t="s">
        <v>1015</v>
      </c>
      <c r="AA169" t="s">
        <v>4522</v>
      </c>
      <c r="AB169" t="s">
        <v>4521</v>
      </c>
      <c r="AC169" t="s">
        <v>61</v>
      </c>
      <c r="AD169" t="s">
        <v>19</v>
      </c>
      <c r="AE169" t="s">
        <v>19</v>
      </c>
      <c r="AF169" t="s">
        <v>4820</v>
      </c>
      <c r="AG169" t="s">
        <v>4970</v>
      </c>
      <c r="AH169" t="s">
        <v>22</v>
      </c>
      <c r="AI169" t="s">
        <v>22</v>
      </c>
      <c r="AJ169" t="s">
        <v>22</v>
      </c>
      <c r="AK169" t="s">
        <v>22</v>
      </c>
    </row>
    <row r="170" spans="1:37" ht="11.25" customHeight="1">
      <c r="A170" t="s">
        <v>22</v>
      </c>
      <c r="B170" t="s">
        <v>48</v>
      </c>
      <c r="C170" t="s">
        <v>50</v>
      </c>
      <c r="D170" t="s">
        <v>22</v>
      </c>
      <c r="E170" t="s">
        <v>4971</v>
      </c>
      <c r="F170" t="s">
        <v>4972</v>
      </c>
      <c r="G170" t="s">
        <v>106</v>
      </c>
      <c r="H170" t="s">
        <v>106</v>
      </c>
      <c r="I170" t="s">
        <v>107</v>
      </c>
      <c r="J170" t="s">
        <v>4909</v>
      </c>
      <c r="K170" t="s">
        <v>4910</v>
      </c>
      <c r="L170" t="s">
        <v>4911</v>
      </c>
      <c r="M170" t="s">
        <v>1015</v>
      </c>
      <c r="N170" t="s">
        <v>114</v>
      </c>
      <c r="O170" t="s">
        <v>106</v>
      </c>
      <c r="P170" t="s">
        <v>106</v>
      </c>
      <c r="Q170" t="s">
        <v>107</v>
      </c>
      <c r="R170" t="s">
        <v>4909</v>
      </c>
      <c r="S170" t="s">
        <v>4910</v>
      </c>
      <c r="T170" t="s">
        <v>4467</v>
      </c>
      <c r="U170" t="s">
        <v>4468</v>
      </c>
      <c r="V170" t="s">
        <v>4469</v>
      </c>
      <c r="W170" t="s">
        <v>4487</v>
      </c>
      <c r="X170" t="s">
        <v>4471</v>
      </c>
      <c r="Y170" t="s">
        <v>4468</v>
      </c>
      <c r="Z170" t="s">
        <v>1015</v>
      </c>
      <c r="AA170" t="s">
        <v>4472</v>
      </c>
      <c r="AB170" t="s">
        <v>4469</v>
      </c>
      <c r="AC170" t="s">
        <v>19</v>
      </c>
      <c r="AD170" t="s">
        <v>19</v>
      </c>
      <c r="AE170" t="s">
        <v>61</v>
      </c>
      <c r="AF170" t="s">
        <v>22</v>
      </c>
      <c r="AG170" t="s">
        <v>22</v>
      </c>
      <c r="AH170" t="s">
        <v>22</v>
      </c>
      <c r="AI170" t="s">
        <v>22</v>
      </c>
      <c r="AJ170" t="s">
        <v>1766</v>
      </c>
      <c r="AK170" t="s">
        <v>387</v>
      </c>
    </row>
    <row r="171" spans="1:37" ht="11.25" customHeight="1">
      <c r="A171" t="s">
        <v>22</v>
      </c>
      <c r="B171" t="s">
        <v>48</v>
      </c>
      <c r="C171" t="s">
        <v>50</v>
      </c>
      <c r="D171" t="s">
        <v>22</v>
      </c>
      <c r="E171" t="s">
        <v>4973</v>
      </c>
      <c r="F171" t="s">
        <v>4972</v>
      </c>
      <c r="G171" t="s">
        <v>106</v>
      </c>
      <c r="H171" t="s">
        <v>106</v>
      </c>
      <c r="I171" t="s">
        <v>107</v>
      </c>
      <c r="J171" t="s">
        <v>4909</v>
      </c>
      <c r="K171" t="s">
        <v>4910</v>
      </c>
      <c r="L171" t="s">
        <v>4911</v>
      </c>
      <c r="M171" t="s">
        <v>1015</v>
      </c>
      <c r="N171" t="s">
        <v>114</v>
      </c>
      <c r="O171" t="s">
        <v>106</v>
      </c>
      <c r="P171" t="s">
        <v>106</v>
      </c>
      <c r="Q171" t="s">
        <v>107</v>
      </c>
      <c r="R171" t="s">
        <v>4909</v>
      </c>
      <c r="S171" t="s">
        <v>4910</v>
      </c>
      <c r="T171" t="s">
        <v>4467</v>
      </c>
      <c r="U171" t="s">
        <v>4468</v>
      </c>
      <c r="V171" t="s">
        <v>4469</v>
      </c>
      <c r="W171" t="s">
        <v>4487</v>
      </c>
      <c r="X171" t="s">
        <v>4471</v>
      </c>
      <c r="Y171" t="s">
        <v>4468</v>
      </c>
      <c r="Z171" t="s">
        <v>1015</v>
      </c>
      <c r="AA171" t="s">
        <v>4472</v>
      </c>
      <c r="AB171" t="s">
        <v>4469</v>
      </c>
      <c r="AC171" t="s">
        <v>19</v>
      </c>
      <c r="AD171" t="s">
        <v>19</v>
      </c>
      <c r="AE171" t="s">
        <v>61</v>
      </c>
      <c r="AF171" t="s">
        <v>22</v>
      </c>
      <c r="AG171" t="s">
        <v>22</v>
      </c>
      <c r="AH171" t="s">
        <v>22</v>
      </c>
      <c r="AI171" t="s">
        <v>22</v>
      </c>
      <c r="AJ171" t="s">
        <v>1766</v>
      </c>
      <c r="AK171" t="s">
        <v>387</v>
      </c>
    </row>
    <row r="172" spans="1:37" ht="11.25" customHeight="1">
      <c r="A172" t="s">
        <v>22</v>
      </c>
      <c r="B172" t="s">
        <v>48</v>
      </c>
      <c r="C172" t="s">
        <v>50</v>
      </c>
      <c r="D172" t="s">
        <v>22</v>
      </c>
      <c r="E172" t="s">
        <v>4974</v>
      </c>
      <c r="F172" t="s">
        <v>1104</v>
      </c>
      <c r="G172" t="s">
        <v>106</v>
      </c>
      <c r="H172" t="s">
        <v>106</v>
      </c>
      <c r="I172" t="s">
        <v>107</v>
      </c>
      <c r="J172" t="s">
        <v>4975</v>
      </c>
      <c r="K172" t="s">
        <v>4976</v>
      </c>
      <c r="L172" t="s">
        <v>4977</v>
      </c>
      <c r="M172" t="s">
        <v>786</v>
      </c>
      <c r="N172" t="s">
        <v>114</v>
      </c>
      <c r="O172" t="s">
        <v>106</v>
      </c>
      <c r="P172" t="s">
        <v>106</v>
      </c>
      <c r="Q172" t="s">
        <v>107</v>
      </c>
      <c r="R172" t="s">
        <v>4975</v>
      </c>
      <c r="S172" t="s">
        <v>4976</v>
      </c>
      <c r="T172" t="s">
        <v>4467</v>
      </c>
      <c r="U172" t="s">
        <v>4468</v>
      </c>
      <c r="V172" t="s">
        <v>4469</v>
      </c>
      <c r="W172" t="s">
        <v>4470</v>
      </c>
      <c r="X172" t="s">
        <v>4471</v>
      </c>
      <c r="Y172" t="s">
        <v>4468</v>
      </c>
      <c r="Z172" t="s">
        <v>1015</v>
      </c>
      <c r="AA172" t="s">
        <v>4472</v>
      </c>
      <c r="AB172" t="s">
        <v>4469</v>
      </c>
      <c r="AC172" t="s">
        <v>61</v>
      </c>
      <c r="AD172" t="s">
        <v>19</v>
      </c>
      <c r="AE172" t="s">
        <v>19</v>
      </c>
      <c r="AF172" t="s">
        <v>1802</v>
      </c>
      <c r="AG172" t="s">
        <v>1802</v>
      </c>
      <c r="AH172" t="s">
        <v>22</v>
      </c>
      <c r="AI172" t="s">
        <v>22</v>
      </c>
      <c r="AJ172" t="s">
        <v>22</v>
      </c>
      <c r="AK172" t="s">
        <v>22</v>
      </c>
    </row>
    <row r="173" spans="1:37" ht="11.25" customHeight="1">
      <c r="A173" t="s">
        <v>22</v>
      </c>
      <c r="B173" t="s">
        <v>48</v>
      </c>
      <c r="C173" t="s">
        <v>50</v>
      </c>
      <c r="D173" t="s">
        <v>22</v>
      </c>
      <c r="E173" t="s">
        <v>4978</v>
      </c>
      <c r="F173" t="s">
        <v>1104</v>
      </c>
      <c r="G173" t="s">
        <v>106</v>
      </c>
      <c r="H173" t="s">
        <v>106</v>
      </c>
      <c r="I173" t="s">
        <v>107</v>
      </c>
      <c r="J173" t="s">
        <v>4979</v>
      </c>
      <c r="K173" t="s">
        <v>4980</v>
      </c>
      <c r="L173" t="s">
        <v>4981</v>
      </c>
      <c r="M173" t="s">
        <v>786</v>
      </c>
      <c r="N173" t="s">
        <v>114</v>
      </c>
      <c r="O173" t="s">
        <v>106</v>
      </c>
      <c r="P173" t="s">
        <v>106</v>
      </c>
      <c r="Q173" t="s">
        <v>107</v>
      </c>
      <c r="R173" t="s">
        <v>4979</v>
      </c>
      <c r="S173" t="s">
        <v>4980</v>
      </c>
      <c r="T173" t="s">
        <v>4467</v>
      </c>
      <c r="U173" t="s">
        <v>4468</v>
      </c>
      <c r="V173" t="s">
        <v>4469</v>
      </c>
      <c r="W173" t="s">
        <v>4470</v>
      </c>
      <c r="X173" t="s">
        <v>4471</v>
      </c>
      <c r="Y173" t="s">
        <v>4468</v>
      </c>
      <c r="Z173" t="s">
        <v>1015</v>
      </c>
      <c r="AA173" t="s">
        <v>4472</v>
      </c>
      <c r="AB173" t="s">
        <v>4469</v>
      </c>
      <c r="AC173" t="s">
        <v>61</v>
      </c>
      <c r="AD173" t="s">
        <v>19</v>
      </c>
      <c r="AE173" t="s">
        <v>19</v>
      </c>
      <c r="AF173" t="s">
        <v>1823</v>
      </c>
      <c r="AG173" t="s">
        <v>1166</v>
      </c>
      <c r="AH173" t="s">
        <v>22</v>
      </c>
      <c r="AI173" t="s">
        <v>22</v>
      </c>
      <c r="AJ173" t="s">
        <v>22</v>
      </c>
      <c r="AK173" t="s">
        <v>22</v>
      </c>
    </row>
    <row r="174" spans="1:37" ht="11.25" customHeight="1">
      <c r="A174" t="s">
        <v>22</v>
      </c>
      <c r="B174" t="s">
        <v>48</v>
      </c>
      <c r="C174" t="s">
        <v>50</v>
      </c>
      <c r="D174" t="s">
        <v>22</v>
      </c>
      <c r="E174" t="s">
        <v>4982</v>
      </c>
      <c r="F174" t="s">
        <v>1104</v>
      </c>
      <c r="G174" t="s">
        <v>106</v>
      </c>
      <c r="H174" t="s">
        <v>106</v>
      </c>
      <c r="I174" t="s">
        <v>107</v>
      </c>
      <c r="J174" t="s">
        <v>4983</v>
      </c>
      <c r="K174" t="s">
        <v>4984</v>
      </c>
      <c r="L174" t="s">
        <v>4985</v>
      </c>
      <c r="M174" t="s">
        <v>786</v>
      </c>
      <c r="N174" t="s">
        <v>114</v>
      </c>
      <c r="O174" t="s">
        <v>106</v>
      </c>
      <c r="P174" t="s">
        <v>106</v>
      </c>
      <c r="Q174" t="s">
        <v>107</v>
      </c>
      <c r="R174" t="s">
        <v>4983</v>
      </c>
      <c r="S174" t="s">
        <v>4984</v>
      </c>
      <c r="T174" t="s">
        <v>4467</v>
      </c>
      <c r="U174" t="s">
        <v>4468</v>
      </c>
      <c r="V174" t="s">
        <v>4469</v>
      </c>
      <c r="W174" t="s">
        <v>4487</v>
      </c>
      <c r="X174" t="s">
        <v>4471</v>
      </c>
      <c r="Y174" t="s">
        <v>4468</v>
      </c>
      <c r="Z174" t="s">
        <v>1015</v>
      </c>
      <c r="AA174" t="s">
        <v>4472</v>
      </c>
      <c r="AB174" t="s">
        <v>4469</v>
      </c>
      <c r="AC174" t="s">
        <v>61</v>
      </c>
      <c r="AD174" t="s">
        <v>19</v>
      </c>
      <c r="AE174" t="s">
        <v>19</v>
      </c>
      <c r="AF174" t="s">
        <v>1157</v>
      </c>
      <c r="AG174" t="s">
        <v>4495</v>
      </c>
      <c r="AH174" t="s">
        <v>22</v>
      </c>
      <c r="AI174" t="s">
        <v>22</v>
      </c>
      <c r="AJ174" t="s">
        <v>22</v>
      </c>
      <c r="AK174" t="s">
        <v>22</v>
      </c>
    </row>
    <row r="175" spans="1:37" ht="11.25" customHeight="1">
      <c r="A175" t="s">
        <v>22</v>
      </c>
      <c r="B175" t="s">
        <v>48</v>
      </c>
      <c r="C175" t="s">
        <v>50</v>
      </c>
      <c r="D175" t="s">
        <v>22</v>
      </c>
      <c r="E175" t="s">
        <v>4986</v>
      </c>
      <c r="F175" t="s">
        <v>1104</v>
      </c>
      <c r="G175" t="s">
        <v>106</v>
      </c>
      <c r="H175" t="s">
        <v>106</v>
      </c>
      <c r="I175" t="s">
        <v>107</v>
      </c>
      <c r="J175" t="s">
        <v>4987</v>
      </c>
      <c r="K175" t="s">
        <v>4988</v>
      </c>
      <c r="L175" t="s">
        <v>4989</v>
      </c>
      <c r="M175" t="s">
        <v>1015</v>
      </c>
      <c r="N175" t="s">
        <v>114</v>
      </c>
      <c r="O175" t="s">
        <v>106</v>
      </c>
      <c r="P175" t="s">
        <v>106</v>
      </c>
      <c r="Q175" t="s">
        <v>107</v>
      </c>
      <c r="R175" t="s">
        <v>4987</v>
      </c>
      <c r="S175" t="s">
        <v>4988</v>
      </c>
      <c r="T175" t="s">
        <v>4467</v>
      </c>
      <c r="U175" t="s">
        <v>4468</v>
      </c>
      <c r="V175" t="s">
        <v>4469</v>
      </c>
      <c r="W175" t="s">
        <v>4487</v>
      </c>
      <c r="X175" t="s">
        <v>4471</v>
      </c>
      <c r="Y175" t="s">
        <v>4468</v>
      </c>
      <c r="Z175" t="s">
        <v>1015</v>
      </c>
      <c r="AA175" t="s">
        <v>4472</v>
      </c>
      <c r="AB175" t="s">
        <v>4469</v>
      </c>
      <c r="AC175" t="s">
        <v>61</v>
      </c>
      <c r="AD175" t="s">
        <v>19</v>
      </c>
      <c r="AE175" t="s">
        <v>19</v>
      </c>
      <c r="AF175" t="s">
        <v>1166</v>
      </c>
      <c r="AG175" t="s">
        <v>387</v>
      </c>
      <c r="AH175" t="s">
        <v>22</v>
      </c>
      <c r="AI175" t="s">
        <v>22</v>
      </c>
      <c r="AJ175" t="s">
        <v>22</v>
      </c>
      <c r="AK175" t="s">
        <v>22</v>
      </c>
    </row>
    <row r="176" spans="1:37" ht="11.25" customHeight="1">
      <c r="A176" t="s">
        <v>22</v>
      </c>
      <c r="B176" t="s">
        <v>48</v>
      </c>
      <c r="C176" t="s">
        <v>50</v>
      </c>
      <c r="D176" t="s">
        <v>22</v>
      </c>
      <c r="E176" t="s">
        <v>4990</v>
      </c>
      <c r="F176" t="s">
        <v>1104</v>
      </c>
      <c r="G176" t="s">
        <v>106</v>
      </c>
      <c r="H176" t="s">
        <v>106</v>
      </c>
      <c r="I176" t="s">
        <v>107</v>
      </c>
      <c r="J176" t="s">
        <v>4917</v>
      </c>
      <c r="K176" t="s">
        <v>4918</v>
      </c>
      <c r="L176" t="s">
        <v>4919</v>
      </c>
      <c r="M176" t="s">
        <v>786</v>
      </c>
      <c r="N176" t="s">
        <v>114</v>
      </c>
      <c r="O176" t="s">
        <v>106</v>
      </c>
      <c r="P176" t="s">
        <v>106</v>
      </c>
      <c r="Q176" t="s">
        <v>107</v>
      </c>
      <c r="R176" t="s">
        <v>4917</v>
      </c>
      <c r="S176" t="s">
        <v>4918</v>
      </c>
      <c r="T176" t="s">
        <v>4467</v>
      </c>
      <c r="U176" t="s">
        <v>4468</v>
      </c>
      <c r="V176" t="s">
        <v>4469</v>
      </c>
      <c r="W176" t="s">
        <v>4470</v>
      </c>
      <c r="X176" t="s">
        <v>4471</v>
      </c>
      <c r="Y176" t="s">
        <v>4468</v>
      </c>
      <c r="Z176" t="s">
        <v>1015</v>
      </c>
      <c r="AA176" t="s">
        <v>4472</v>
      </c>
      <c r="AB176" t="s">
        <v>4469</v>
      </c>
      <c r="AC176" t="s">
        <v>61</v>
      </c>
      <c r="AD176" t="s">
        <v>19</v>
      </c>
      <c r="AE176" t="s">
        <v>19</v>
      </c>
      <c r="AF176" t="s">
        <v>162</v>
      </c>
      <c r="AG176" t="s">
        <v>4920</v>
      </c>
      <c r="AH176" t="s">
        <v>22</v>
      </c>
      <c r="AI176" t="s">
        <v>22</v>
      </c>
      <c r="AJ176" t="s">
        <v>22</v>
      </c>
      <c r="AK176" t="s">
        <v>22</v>
      </c>
    </row>
    <row r="177" spans="1:37" ht="11.25" customHeight="1">
      <c r="A177" t="s">
        <v>22</v>
      </c>
      <c r="B177" t="s">
        <v>48</v>
      </c>
      <c r="C177" t="s">
        <v>50</v>
      </c>
      <c r="D177" t="s">
        <v>22</v>
      </c>
      <c r="E177" t="s">
        <v>4990</v>
      </c>
      <c r="F177" t="s">
        <v>1104</v>
      </c>
      <c r="G177" t="s">
        <v>106</v>
      </c>
      <c r="H177" t="s">
        <v>106</v>
      </c>
      <c r="I177" t="s">
        <v>107</v>
      </c>
      <c r="J177" t="s">
        <v>4991</v>
      </c>
      <c r="K177" t="s">
        <v>4992</v>
      </c>
      <c r="L177" t="s">
        <v>4993</v>
      </c>
      <c r="M177" t="s">
        <v>786</v>
      </c>
      <c r="N177" t="s">
        <v>114</v>
      </c>
      <c r="O177" t="s">
        <v>106</v>
      </c>
      <c r="P177" t="s">
        <v>106</v>
      </c>
      <c r="Q177" t="s">
        <v>107</v>
      </c>
      <c r="R177" t="s">
        <v>4991</v>
      </c>
      <c r="S177" t="s">
        <v>4992</v>
      </c>
      <c r="T177" t="s">
        <v>4467</v>
      </c>
      <c r="U177" t="s">
        <v>4468</v>
      </c>
      <c r="V177" t="s">
        <v>4469</v>
      </c>
      <c r="W177" t="s">
        <v>4487</v>
      </c>
      <c r="X177" t="s">
        <v>4471</v>
      </c>
      <c r="Y177" t="s">
        <v>4468</v>
      </c>
      <c r="Z177" t="s">
        <v>1015</v>
      </c>
      <c r="AA177" t="s">
        <v>4472</v>
      </c>
      <c r="AB177" t="s">
        <v>4469</v>
      </c>
      <c r="AC177" t="s">
        <v>61</v>
      </c>
      <c r="AD177" t="s">
        <v>19</v>
      </c>
      <c r="AE177" t="s">
        <v>19</v>
      </c>
      <c r="AF177" t="s">
        <v>162</v>
      </c>
      <c r="AG177" t="s">
        <v>102</v>
      </c>
      <c r="AH177" t="s">
        <v>22</v>
      </c>
      <c r="AI177" t="s">
        <v>22</v>
      </c>
      <c r="AJ177" t="s">
        <v>22</v>
      </c>
      <c r="AK177" t="s">
        <v>22</v>
      </c>
    </row>
    <row r="178" spans="1:37" ht="11.25" customHeight="1">
      <c r="A178" t="s">
        <v>22</v>
      </c>
      <c r="B178" t="s">
        <v>48</v>
      </c>
      <c r="C178" t="s">
        <v>50</v>
      </c>
      <c r="D178" t="s">
        <v>22</v>
      </c>
      <c r="E178" t="s">
        <v>4990</v>
      </c>
      <c r="F178" t="s">
        <v>1104</v>
      </c>
      <c r="G178" t="s">
        <v>106</v>
      </c>
      <c r="H178" t="s">
        <v>106</v>
      </c>
      <c r="I178" t="s">
        <v>107</v>
      </c>
      <c r="J178" t="s">
        <v>4994</v>
      </c>
      <c r="K178" t="s">
        <v>4995</v>
      </c>
      <c r="L178" t="s">
        <v>4996</v>
      </c>
      <c r="M178" t="s">
        <v>786</v>
      </c>
      <c r="N178" t="s">
        <v>114</v>
      </c>
      <c r="O178" t="s">
        <v>106</v>
      </c>
      <c r="P178" t="s">
        <v>106</v>
      </c>
      <c r="Q178" t="s">
        <v>107</v>
      </c>
      <c r="R178" t="s">
        <v>4994</v>
      </c>
      <c r="S178" t="s">
        <v>4995</v>
      </c>
      <c r="T178" t="s">
        <v>4467</v>
      </c>
      <c r="U178" t="s">
        <v>4468</v>
      </c>
      <c r="V178" t="s">
        <v>4469</v>
      </c>
      <c r="W178" t="s">
        <v>4487</v>
      </c>
      <c r="X178" t="s">
        <v>4471</v>
      </c>
      <c r="Y178" t="s">
        <v>4468</v>
      </c>
      <c r="Z178" t="s">
        <v>1015</v>
      </c>
      <c r="AA178" t="s">
        <v>4472</v>
      </c>
      <c r="AB178" t="s">
        <v>4469</v>
      </c>
      <c r="AC178" t="s">
        <v>61</v>
      </c>
      <c r="AD178" t="s">
        <v>19</v>
      </c>
      <c r="AE178" t="s">
        <v>19</v>
      </c>
      <c r="AF178" t="s">
        <v>4481</v>
      </c>
      <c r="AG178" t="s">
        <v>4997</v>
      </c>
      <c r="AH178" t="s">
        <v>22</v>
      </c>
      <c r="AI178" t="s">
        <v>22</v>
      </c>
      <c r="AJ178" t="s">
        <v>22</v>
      </c>
      <c r="AK178" t="s">
        <v>22</v>
      </c>
    </row>
    <row r="179" spans="1:37" ht="11.25" customHeight="1">
      <c r="A179" t="s">
        <v>22</v>
      </c>
      <c r="B179" t="s">
        <v>48</v>
      </c>
      <c r="C179" t="s">
        <v>50</v>
      </c>
      <c r="D179" t="s">
        <v>22</v>
      </c>
      <c r="E179" t="s">
        <v>4990</v>
      </c>
      <c r="F179" t="s">
        <v>1104</v>
      </c>
      <c r="G179" t="s">
        <v>106</v>
      </c>
      <c r="H179" t="s">
        <v>106</v>
      </c>
      <c r="I179" t="s">
        <v>107</v>
      </c>
      <c r="J179" t="s">
        <v>4492</v>
      </c>
      <c r="K179" t="s">
        <v>4493</v>
      </c>
      <c r="L179" t="s">
        <v>4998</v>
      </c>
      <c r="M179" t="s">
        <v>786</v>
      </c>
      <c r="N179" t="s">
        <v>114</v>
      </c>
      <c r="O179" t="s">
        <v>106</v>
      </c>
      <c r="P179" t="s">
        <v>106</v>
      </c>
      <c r="Q179" t="s">
        <v>107</v>
      </c>
      <c r="R179" t="s">
        <v>4492</v>
      </c>
      <c r="S179" t="s">
        <v>4493</v>
      </c>
      <c r="T179" t="s">
        <v>4467</v>
      </c>
      <c r="U179" t="s">
        <v>4468</v>
      </c>
      <c r="V179" t="s">
        <v>4469</v>
      </c>
      <c r="W179" t="s">
        <v>4470</v>
      </c>
      <c r="X179" t="s">
        <v>4471</v>
      </c>
      <c r="Y179" t="s">
        <v>4468</v>
      </c>
      <c r="Z179" t="s">
        <v>1015</v>
      </c>
      <c r="AA179" t="s">
        <v>4472</v>
      </c>
      <c r="AB179" t="s">
        <v>4469</v>
      </c>
      <c r="AC179" t="s">
        <v>61</v>
      </c>
      <c r="AD179" t="s">
        <v>19</v>
      </c>
      <c r="AE179" t="s">
        <v>19</v>
      </c>
      <c r="AF179" t="s">
        <v>162</v>
      </c>
      <c r="AG179" t="s">
        <v>102</v>
      </c>
      <c r="AH179" t="s">
        <v>22</v>
      </c>
      <c r="AI179" t="s">
        <v>22</v>
      </c>
      <c r="AJ179" t="s">
        <v>22</v>
      </c>
      <c r="AK179" t="s">
        <v>22</v>
      </c>
    </row>
    <row r="180" spans="1:37" ht="11.25" customHeight="1">
      <c r="A180" t="s">
        <v>22</v>
      </c>
      <c r="B180" t="s">
        <v>48</v>
      </c>
      <c r="C180" t="s">
        <v>50</v>
      </c>
      <c r="D180" t="s">
        <v>22</v>
      </c>
      <c r="E180" t="s">
        <v>4999</v>
      </c>
      <c r="F180" t="s">
        <v>1104</v>
      </c>
      <c r="G180" t="s">
        <v>106</v>
      </c>
      <c r="H180" t="s">
        <v>106</v>
      </c>
      <c r="I180" t="s">
        <v>107</v>
      </c>
      <c r="J180" t="s">
        <v>4514</v>
      </c>
      <c r="K180" t="s">
        <v>4515</v>
      </c>
      <c r="L180" t="s">
        <v>5000</v>
      </c>
      <c r="M180" t="s">
        <v>1015</v>
      </c>
      <c r="N180" t="s">
        <v>114</v>
      </c>
      <c r="O180" t="s">
        <v>106</v>
      </c>
      <c r="P180" t="s">
        <v>106</v>
      </c>
      <c r="Q180" t="s">
        <v>107</v>
      </c>
      <c r="R180" t="s">
        <v>4514</v>
      </c>
      <c r="S180" t="s">
        <v>4515</v>
      </c>
      <c r="T180" t="s">
        <v>4467</v>
      </c>
      <c r="U180" t="s">
        <v>4468</v>
      </c>
      <c r="V180" t="s">
        <v>4469</v>
      </c>
      <c r="W180" t="s">
        <v>4487</v>
      </c>
      <c r="X180" t="s">
        <v>4471</v>
      </c>
      <c r="Y180" t="s">
        <v>4468</v>
      </c>
      <c r="Z180" t="s">
        <v>1015</v>
      </c>
      <c r="AA180" t="s">
        <v>4472</v>
      </c>
      <c r="AB180" t="s">
        <v>4469</v>
      </c>
      <c r="AC180" t="s">
        <v>61</v>
      </c>
      <c r="AD180" t="s">
        <v>19</v>
      </c>
      <c r="AE180" t="s">
        <v>19</v>
      </c>
      <c r="AF180" t="s">
        <v>1166</v>
      </c>
      <c r="AG180" t="s">
        <v>387</v>
      </c>
      <c r="AH180" t="s">
        <v>22</v>
      </c>
      <c r="AI180" t="s">
        <v>22</v>
      </c>
      <c r="AJ180" t="s">
        <v>22</v>
      </c>
      <c r="AK180" t="s">
        <v>22</v>
      </c>
    </row>
    <row r="181" spans="1:37" ht="11.25" customHeight="1">
      <c r="A181" t="s">
        <v>22</v>
      </c>
      <c r="B181" t="s">
        <v>48</v>
      </c>
      <c r="C181" t="s">
        <v>50</v>
      </c>
      <c r="D181" t="s">
        <v>22</v>
      </c>
      <c r="E181" t="s">
        <v>5001</v>
      </c>
      <c r="F181" t="s">
        <v>1104</v>
      </c>
      <c r="G181" t="s">
        <v>106</v>
      </c>
      <c r="H181" t="s">
        <v>106</v>
      </c>
      <c r="I181" t="s">
        <v>107</v>
      </c>
      <c r="J181" t="s">
        <v>4474</v>
      </c>
      <c r="K181" t="s">
        <v>4475</v>
      </c>
      <c r="L181" t="s">
        <v>4476</v>
      </c>
      <c r="M181" t="s">
        <v>786</v>
      </c>
      <c r="N181" t="s">
        <v>114</v>
      </c>
      <c r="O181" t="s">
        <v>106</v>
      </c>
      <c r="P181" t="s">
        <v>106</v>
      </c>
      <c r="Q181" t="s">
        <v>107</v>
      </c>
      <c r="R181" t="s">
        <v>4474</v>
      </c>
      <c r="S181" t="s">
        <v>4475</v>
      </c>
      <c r="T181" t="s">
        <v>4467</v>
      </c>
      <c r="U181" t="s">
        <v>4468</v>
      </c>
      <c r="V181" t="s">
        <v>4469</v>
      </c>
      <c r="W181" t="s">
        <v>4487</v>
      </c>
      <c r="X181" t="s">
        <v>4471</v>
      </c>
      <c r="Y181" t="s">
        <v>4468</v>
      </c>
      <c r="Z181" t="s">
        <v>1015</v>
      </c>
      <c r="AA181" t="s">
        <v>4472</v>
      </c>
      <c r="AB181" t="s">
        <v>4469</v>
      </c>
      <c r="AC181" t="s">
        <v>61</v>
      </c>
      <c r="AD181" t="s">
        <v>19</v>
      </c>
      <c r="AE181" t="s">
        <v>19</v>
      </c>
      <c r="AF181" t="s">
        <v>162</v>
      </c>
      <c r="AG181" t="s">
        <v>899</v>
      </c>
      <c r="AH181" t="s">
        <v>22</v>
      </c>
      <c r="AI181" t="s">
        <v>22</v>
      </c>
      <c r="AJ181" t="s">
        <v>22</v>
      </c>
      <c r="AK181" t="s">
        <v>22</v>
      </c>
    </row>
    <row r="182" spans="1:37" ht="11.25" customHeight="1">
      <c r="A182" t="s">
        <v>22</v>
      </c>
      <c r="B182" t="s">
        <v>48</v>
      </c>
      <c r="C182" t="s">
        <v>50</v>
      </c>
      <c r="D182" t="s">
        <v>22</v>
      </c>
      <c r="E182" t="s">
        <v>5002</v>
      </c>
      <c r="F182" t="s">
        <v>1104</v>
      </c>
      <c r="G182" t="s">
        <v>106</v>
      </c>
      <c r="H182" t="s">
        <v>106</v>
      </c>
      <c r="I182" t="s">
        <v>107</v>
      </c>
      <c r="J182" t="s">
        <v>4896</v>
      </c>
      <c r="K182" t="s">
        <v>4897</v>
      </c>
      <c r="L182" t="s">
        <v>5003</v>
      </c>
      <c r="M182" t="s">
        <v>786</v>
      </c>
      <c r="N182" t="s">
        <v>114</v>
      </c>
      <c r="O182" t="s">
        <v>106</v>
      </c>
      <c r="P182" t="s">
        <v>106</v>
      </c>
      <c r="Q182" t="s">
        <v>107</v>
      </c>
      <c r="R182" t="s">
        <v>4896</v>
      </c>
      <c r="S182" t="s">
        <v>4897</v>
      </c>
      <c r="T182" t="s">
        <v>4467</v>
      </c>
      <c r="U182" t="s">
        <v>4468</v>
      </c>
      <c r="V182" t="s">
        <v>4469</v>
      </c>
      <c r="W182" t="s">
        <v>4487</v>
      </c>
      <c r="X182" t="s">
        <v>4471</v>
      </c>
      <c r="Y182" t="s">
        <v>4468</v>
      </c>
      <c r="Z182" t="s">
        <v>1015</v>
      </c>
      <c r="AA182" t="s">
        <v>4472</v>
      </c>
      <c r="AB182" t="s">
        <v>4469</v>
      </c>
      <c r="AC182" t="s">
        <v>61</v>
      </c>
      <c r="AD182" t="s">
        <v>19</v>
      </c>
      <c r="AE182" t="s">
        <v>19</v>
      </c>
      <c r="AF182" t="s">
        <v>4481</v>
      </c>
      <c r="AG182" t="s">
        <v>4899</v>
      </c>
      <c r="AH182" t="s">
        <v>22</v>
      </c>
      <c r="AI182" t="s">
        <v>22</v>
      </c>
      <c r="AJ182" t="s">
        <v>22</v>
      </c>
      <c r="AK182" t="s">
        <v>22</v>
      </c>
    </row>
    <row r="183" spans="1:37" ht="11.25" customHeight="1">
      <c r="A183" t="s">
        <v>22</v>
      </c>
      <c r="B183" t="s">
        <v>48</v>
      </c>
      <c r="C183" t="s">
        <v>50</v>
      </c>
      <c r="D183" t="s">
        <v>22</v>
      </c>
      <c r="E183" t="s">
        <v>5002</v>
      </c>
      <c r="F183" t="s">
        <v>1104</v>
      </c>
      <c r="G183" t="s">
        <v>106</v>
      </c>
      <c r="H183" t="s">
        <v>106</v>
      </c>
      <c r="I183" t="s">
        <v>107</v>
      </c>
      <c r="J183" t="s">
        <v>4890</v>
      </c>
      <c r="K183" t="s">
        <v>4891</v>
      </c>
      <c r="L183" t="s">
        <v>5004</v>
      </c>
      <c r="M183" t="s">
        <v>786</v>
      </c>
      <c r="N183" t="s">
        <v>114</v>
      </c>
      <c r="O183" t="s">
        <v>106</v>
      </c>
      <c r="P183" t="s">
        <v>106</v>
      </c>
      <c r="Q183" t="s">
        <v>107</v>
      </c>
      <c r="R183" t="s">
        <v>4890</v>
      </c>
      <c r="S183" t="s">
        <v>4891</v>
      </c>
      <c r="T183" t="s">
        <v>4467</v>
      </c>
      <c r="U183" t="s">
        <v>4468</v>
      </c>
      <c r="V183" t="s">
        <v>4469</v>
      </c>
      <c r="W183" t="s">
        <v>4470</v>
      </c>
      <c r="X183" t="s">
        <v>4471</v>
      </c>
      <c r="Y183" t="s">
        <v>4468</v>
      </c>
      <c r="Z183" t="s">
        <v>1015</v>
      </c>
      <c r="AA183" t="s">
        <v>4472</v>
      </c>
      <c r="AB183" t="s">
        <v>4469</v>
      </c>
      <c r="AC183" t="s">
        <v>61</v>
      </c>
      <c r="AD183" t="s">
        <v>19</v>
      </c>
      <c r="AE183" t="s">
        <v>19</v>
      </c>
      <c r="AF183" t="s">
        <v>1161</v>
      </c>
      <c r="AG183" t="s">
        <v>5005</v>
      </c>
      <c r="AH183" t="s">
        <v>22</v>
      </c>
      <c r="AI183" t="s">
        <v>22</v>
      </c>
      <c r="AJ183" t="s">
        <v>22</v>
      </c>
      <c r="AK183" t="s">
        <v>22</v>
      </c>
    </row>
    <row r="184" spans="1:37" ht="11.25" customHeight="1">
      <c r="A184" t="s">
        <v>22</v>
      </c>
      <c r="B184" t="s">
        <v>48</v>
      </c>
      <c r="C184" t="s">
        <v>50</v>
      </c>
      <c r="D184" t="s">
        <v>22</v>
      </c>
      <c r="E184" t="s">
        <v>5006</v>
      </c>
      <c r="F184" t="s">
        <v>1104</v>
      </c>
      <c r="G184" t="s">
        <v>106</v>
      </c>
      <c r="H184" t="s">
        <v>106</v>
      </c>
      <c r="I184" t="s">
        <v>107</v>
      </c>
      <c r="J184" t="s">
        <v>4508</v>
      </c>
      <c r="K184" t="s">
        <v>4509</v>
      </c>
      <c r="L184" t="s">
        <v>4510</v>
      </c>
      <c r="M184" t="s">
        <v>1015</v>
      </c>
      <c r="N184" t="s">
        <v>114</v>
      </c>
      <c r="O184" t="s">
        <v>106</v>
      </c>
      <c r="P184" t="s">
        <v>106</v>
      </c>
      <c r="Q184" t="s">
        <v>107</v>
      </c>
      <c r="R184" t="s">
        <v>4508</v>
      </c>
      <c r="S184" t="s">
        <v>4509</v>
      </c>
      <c r="T184" t="s">
        <v>4467</v>
      </c>
      <c r="U184" t="s">
        <v>4468</v>
      </c>
      <c r="V184" t="s">
        <v>4469</v>
      </c>
      <c r="W184" t="s">
        <v>4487</v>
      </c>
      <c r="X184" t="s">
        <v>4471</v>
      </c>
      <c r="Y184" t="s">
        <v>4468</v>
      </c>
      <c r="Z184" t="s">
        <v>1015</v>
      </c>
      <c r="AA184" t="s">
        <v>4472</v>
      </c>
      <c r="AB184" t="s">
        <v>4469</v>
      </c>
      <c r="AC184" t="s">
        <v>61</v>
      </c>
      <c r="AD184" t="s">
        <v>19</v>
      </c>
      <c r="AE184" t="s">
        <v>19</v>
      </c>
      <c r="AF184" t="s">
        <v>162</v>
      </c>
      <c r="AG184" t="s">
        <v>387</v>
      </c>
      <c r="AH184" t="s">
        <v>22</v>
      </c>
      <c r="AI184" t="s">
        <v>22</v>
      </c>
      <c r="AJ184" t="s">
        <v>22</v>
      </c>
      <c r="AK184" t="s">
        <v>22</v>
      </c>
    </row>
    <row r="185" spans="1:37" ht="11.25" customHeight="1">
      <c r="A185" t="s">
        <v>22</v>
      </c>
      <c r="B185" t="s">
        <v>48</v>
      </c>
      <c r="C185" t="s">
        <v>50</v>
      </c>
      <c r="D185" t="s">
        <v>22</v>
      </c>
      <c r="E185" t="s">
        <v>5007</v>
      </c>
      <c r="F185" t="s">
        <v>1104</v>
      </c>
      <c r="G185" t="s">
        <v>106</v>
      </c>
      <c r="H185" t="s">
        <v>106</v>
      </c>
      <c r="I185" t="s">
        <v>107</v>
      </c>
      <c r="J185" t="s">
        <v>4904</v>
      </c>
      <c r="K185" t="s">
        <v>4905</v>
      </c>
      <c r="L185" t="s">
        <v>4906</v>
      </c>
      <c r="M185" t="s">
        <v>786</v>
      </c>
      <c r="N185" t="s">
        <v>114</v>
      </c>
      <c r="O185" t="s">
        <v>106</v>
      </c>
      <c r="P185" t="s">
        <v>106</v>
      </c>
      <c r="Q185" t="s">
        <v>107</v>
      </c>
      <c r="R185" t="s">
        <v>4904</v>
      </c>
      <c r="S185" t="s">
        <v>4905</v>
      </c>
      <c r="T185" t="s">
        <v>4467</v>
      </c>
      <c r="U185" t="s">
        <v>4468</v>
      </c>
      <c r="V185" t="s">
        <v>4469</v>
      </c>
      <c r="W185" t="s">
        <v>4470</v>
      </c>
      <c r="X185" t="s">
        <v>4471</v>
      </c>
      <c r="Y185" t="s">
        <v>4468</v>
      </c>
      <c r="Z185" t="s">
        <v>1015</v>
      </c>
      <c r="AA185" t="s">
        <v>4472</v>
      </c>
      <c r="AB185" t="s">
        <v>4469</v>
      </c>
      <c r="AC185" t="s">
        <v>61</v>
      </c>
      <c r="AD185" t="s">
        <v>19</v>
      </c>
      <c r="AE185" t="s">
        <v>19</v>
      </c>
      <c r="AF185" t="s">
        <v>162</v>
      </c>
      <c r="AG185" t="s">
        <v>4907</v>
      </c>
      <c r="AH185" t="s">
        <v>22</v>
      </c>
      <c r="AI185" t="s">
        <v>22</v>
      </c>
      <c r="AJ185" t="s">
        <v>22</v>
      </c>
      <c r="AK185" t="s">
        <v>22</v>
      </c>
    </row>
    <row r="186" spans="1:37" ht="11.25" customHeight="1">
      <c r="A186" t="s">
        <v>22</v>
      </c>
      <c r="B186" t="s">
        <v>48</v>
      </c>
      <c r="C186" t="s">
        <v>50</v>
      </c>
      <c r="D186" t="s">
        <v>22</v>
      </c>
      <c r="E186" t="s">
        <v>5008</v>
      </c>
      <c r="F186" t="s">
        <v>1104</v>
      </c>
      <c r="G186" t="s">
        <v>106</v>
      </c>
      <c r="H186" t="s">
        <v>106</v>
      </c>
      <c r="I186" t="s">
        <v>107</v>
      </c>
      <c r="J186" t="s">
        <v>4890</v>
      </c>
      <c r="K186" t="s">
        <v>4891</v>
      </c>
      <c r="L186" t="s">
        <v>5009</v>
      </c>
      <c r="M186" t="s">
        <v>786</v>
      </c>
      <c r="N186" t="s">
        <v>114</v>
      </c>
      <c r="O186" t="s">
        <v>106</v>
      </c>
      <c r="P186" t="s">
        <v>106</v>
      </c>
      <c r="Q186" t="s">
        <v>107</v>
      </c>
      <c r="R186" t="s">
        <v>4890</v>
      </c>
      <c r="S186" t="s">
        <v>4891</v>
      </c>
      <c r="T186" t="s">
        <v>4467</v>
      </c>
      <c r="U186" t="s">
        <v>4468</v>
      </c>
      <c r="V186" t="s">
        <v>4469</v>
      </c>
      <c r="W186" t="s">
        <v>4487</v>
      </c>
      <c r="X186" t="s">
        <v>4471</v>
      </c>
      <c r="Y186" t="s">
        <v>4468</v>
      </c>
      <c r="Z186" t="s">
        <v>1015</v>
      </c>
      <c r="AA186" t="s">
        <v>4472</v>
      </c>
      <c r="AB186" t="s">
        <v>4469</v>
      </c>
      <c r="AC186" t="s">
        <v>61</v>
      </c>
      <c r="AD186" t="s">
        <v>19</v>
      </c>
      <c r="AE186" t="s">
        <v>19</v>
      </c>
      <c r="AF186" t="s">
        <v>1766</v>
      </c>
      <c r="AG186" t="s">
        <v>4893</v>
      </c>
      <c r="AH186" t="s">
        <v>22</v>
      </c>
      <c r="AI186" t="s">
        <v>22</v>
      </c>
      <c r="AJ186" t="s">
        <v>22</v>
      </c>
      <c r="AK186" t="s">
        <v>22</v>
      </c>
    </row>
    <row r="187" spans="1:37" ht="11.25" customHeight="1">
      <c r="A187" t="s">
        <v>22</v>
      </c>
      <c r="B187" t="s">
        <v>48</v>
      </c>
      <c r="C187" t="s">
        <v>50</v>
      </c>
      <c r="D187" t="s">
        <v>22</v>
      </c>
      <c r="E187" t="s">
        <v>5010</v>
      </c>
      <c r="F187" t="s">
        <v>1104</v>
      </c>
      <c r="G187" t="s">
        <v>106</v>
      </c>
      <c r="H187" t="s">
        <v>106</v>
      </c>
      <c r="I187" t="s">
        <v>107</v>
      </c>
      <c r="J187" t="s">
        <v>4975</v>
      </c>
      <c r="K187" t="s">
        <v>4976</v>
      </c>
      <c r="L187" t="s">
        <v>5011</v>
      </c>
      <c r="M187" t="s">
        <v>1015</v>
      </c>
      <c r="N187" t="s">
        <v>114</v>
      </c>
      <c r="O187" t="s">
        <v>106</v>
      </c>
      <c r="P187" t="s">
        <v>106</v>
      </c>
      <c r="Q187" t="s">
        <v>107</v>
      </c>
      <c r="R187" t="s">
        <v>4975</v>
      </c>
      <c r="S187" t="s">
        <v>4976</v>
      </c>
      <c r="T187" t="s">
        <v>4467</v>
      </c>
      <c r="U187" t="s">
        <v>4468</v>
      </c>
      <c r="V187" t="s">
        <v>4469</v>
      </c>
      <c r="W187" t="s">
        <v>4487</v>
      </c>
      <c r="X187" t="s">
        <v>4471</v>
      </c>
      <c r="Y187" t="s">
        <v>4468</v>
      </c>
      <c r="Z187" t="s">
        <v>1015</v>
      </c>
      <c r="AA187" t="s">
        <v>4472</v>
      </c>
      <c r="AB187" t="s">
        <v>4469</v>
      </c>
      <c r="AC187" t="s">
        <v>61</v>
      </c>
      <c r="AD187" t="s">
        <v>19</v>
      </c>
      <c r="AE187" t="s">
        <v>19</v>
      </c>
      <c r="AF187" t="s">
        <v>1766</v>
      </c>
      <c r="AG187" t="s">
        <v>387</v>
      </c>
      <c r="AH187" t="s">
        <v>22</v>
      </c>
      <c r="AI187" t="s">
        <v>22</v>
      </c>
      <c r="AJ187" t="s">
        <v>22</v>
      </c>
      <c r="AK187" t="s">
        <v>22</v>
      </c>
    </row>
    <row r="188" spans="1:37" ht="11.25" customHeight="1">
      <c r="A188" t="s">
        <v>22</v>
      </c>
      <c r="B188" t="s">
        <v>48</v>
      </c>
      <c r="C188" t="s">
        <v>50</v>
      </c>
      <c r="D188" t="s">
        <v>22</v>
      </c>
      <c r="E188" t="s">
        <v>5012</v>
      </c>
      <c r="F188" t="s">
        <v>1104</v>
      </c>
      <c r="G188" t="s">
        <v>106</v>
      </c>
      <c r="H188" t="s">
        <v>106</v>
      </c>
      <c r="I188" t="s">
        <v>107</v>
      </c>
      <c r="J188" t="s">
        <v>5013</v>
      </c>
      <c r="K188" t="s">
        <v>5014</v>
      </c>
      <c r="L188" t="s">
        <v>5015</v>
      </c>
      <c r="M188" t="s">
        <v>786</v>
      </c>
      <c r="N188" t="s">
        <v>114</v>
      </c>
      <c r="O188" t="s">
        <v>106</v>
      </c>
      <c r="P188" t="s">
        <v>106</v>
      </c>
      <c r="Q188" t="s">
        <v>107</v>
      </c>
      <c r="R188" t="s">
        <v>5013</v>
      </c>
      <c r="S188" t="s">
        <v>5014</v>
      </c>
      <c r="T188" t="s">
        <v>4467</v>
      </c>
      <c r="U188" t="s">
        <v>4468</v>
      </c>
      <c r="V188" t="s">
        <v>4469</v>
      </c>
      <c r="W188" t="s">
        <v>4487</v>
      </c>
      <c r="X188" t="s">
        <v>4471</v>
      </c>
      <c r="Y188" t="s">
        <v>4468</v>
      </c>
      <c r="Z188" t="s">
        <v>1015</v>
      </c>
      <c r="AA188" t="s">
        <v>4472</v>
      </c>
      <c r="AB188" t="s">
        <v>4469</v>
      </c>
      <c r="AC188" t="s">
        <v>61</v>
      </c>
      <c r="AD188" t="s">
        <v>19</v>
      </c>
      <c r="AE188" t="s">
        <v>19</v>
      </c>
      <c r="AF188" t="s">
        <v>5016</v>
      </c>
      <c r="AG188" t="s">
        <v>5017</v>
      </c>
      <c r="AH188" t="s">
        <v>22</v>
      </c>
      <c r="AI188" t="s">
        <v>22</v>
      </c>
      <c r="AJ188" t="s">
        <v>22</v>
      </c>
      <c r="AK188" t="s">
        <v>22</v>
      </c>
    </row>
    <row r="189" spans="1:37" ht="11.25" customHeight="1">
      <c r="A189" t="s">
        <v>22</v>
      </c>
      <c r="B189" t="s">
        <v>48</v>
      </c>
      <c r="C189" t="s">
        <v>50</v>
      </c>
      <c r="D189" t="s">
        <v>22</v>
      </c>
      <c r="E189" t="s">
        <v>5018</v>
      </c>
      <c r="F189" t="s">
        <v>1104</v>
      </c>
      <c r="G189" t="s">
        <v>106</v>
      </c>
      <c r="H189" t="s">
        <v>106</v>
      </c>
      <c r="I189" t="s">
        <v>107</v>
      </c>
      <c r="J189" t="s">
        <v>5019</v>
      </c>
      <c r="K189" t="s">
        <v>5020</v>
      </c>
      <c r="L189" t="s">
        <v>5021</v>
      </c>
      <c r="M189" t="s">
        <v>1015</v>
      </c>
      <c r="N189" t="s">
        <v>114</v>
      </c>
      <c r="O189" t="s">
        <v>106</v>
      </c>
      <c r="P189" t="s">
        <v>106</v>
      </c>
      <c r="Q189" t="s">
        <v>107</v>
      </c>
      <c r="R189" t="s">
        <v>5019</v>
      </c>
      <c r="S189" t="s">
        <v>5020</v>
      </c>
      <c r="T189" t="s">
        <v>4467</v>
      </c>
      <c r="U189" t="s">
        <v>4468</v>
      </c>
      <c r="V189" t="s">
        <v>4469</v>
      </c>
      <c r="W189" t="s">
        <v>4487</v>
      </c>
      <c r="X189" t="s">
        <v>4471</v>
      </c>
      <c r="Y189" t="s">
        <v>4468</v>
      </c>
      <c r="Z189" t="s">
        <v>1015</v>
      </c>
      <c r="AA189" t="s">
        <v>4472</v>
      </c>
      <c r="AB189" t="s">
        <v>4469</v>
      </c>
      <c r="AC189" t="s">
        <v>61</v>
      </c>
      <c r="AD189" t="s">
        <v>19</v>
      </c>
      <c r="AE189" t="s">
        <v>19</v>
      </c>
      <c r="AF189" t="s">
        <v>162</v>
      </c>
      <c r="AG189" t="s">
        <v>387</v>
      </c>
      <c r="AH189" t="s">
        <v>22</v>
      </c>
      <c r="AI189" t="s">
        <v>22</v>
      </c>
      <c r="AJ189" t="s">
        <v>22</v>
      </c>
      <c r="AK189" t="s">
        <v>22</v>
      </c>
    </row>
    <row r="190" spans="1:37" ht="11.25" customHeight="1">
      <c r="A190" t="s">
        <v>22</v>
      </c>
      <c r="B190" t="s">
        <v>48</v>
      </c>
      <c r="C190" t="s">
        <v>50</v>
      </c>
      <c r="D190" t="s">
        <v>22</v>
      </c>
      <c r="E190" t="s">
        <v>5022</v>
      </c>
      <c r="F190" t="s">
        <v>4972</v>
      </c>
      <c r="G190" t="s">
        <v>106</v>
      </c>
      <c r="H190" t="s">
        <v>106</v>
      </c>
      <c r="I190" t="s">
        <v>107</v>
      </c>
      <c r="J190" t="s">
        <v>5023</v>
      </c>
      <c r="K190" t="s">
        <v>5024</v>
      </c>
      <c r="L190" t="s">
        <v>5025</v>
      </c>
      <c r="M190" t="s">
        <v>786</v>
      </c>
      <c r="N190" t="s">
        <v>114</v>
      </c>
      <c r="O190" t="s">
        <v>106</v>
      </c>
      <c r="P190" t="s">
        <v>106</v>
      </c>
      <c r="Q190" t="s">
        <v>107</v>
      </c>
      <c r="R190" t="s">
        <v>5023</v>
      </c>
      <c r="S190" t="s">
        <v>5024</v>
      </c>
      <c r="T190" t="s">
        <v>4467</v>
      </c>
      <c r="U190" t="s">
        <v>4468</v>
      </c>
      <c r="V190" t="s">
        <v>4469</v>
      </c>
      <c r="W190" t="s">
        <v>4470</v>
      </c>
      <c r="X190" t="s">
        <v>4471</v>
      </c>
      <c r="Y190" t="s">
        <v>4468</v>
      </c>
      <c r="Z190" t="s">
        <v>1015</v>
      </c>
      <c r="AA190" t="s">
        <v>4472</v>
      </c>
      <c r="AB190" t="s">
        <v>4469</v>
      </c>
      <c r="AC190" t="s">
        <v>19</v>
      </c>
      <c r="AD190" t="s">
        <v>19</v>
      </c>
      <c r="AE190" t="s">
        <v>61</v>
      </c>
      <c r="AF190" t="s">
        <v>22</v>
      </c>
      <c r="AG190" t="s">
        <v>22</v>
      </c>
      <c r="AH190" t="s">
        <v>22</v>
      </c>
      <c r="AI190" t="s">
        <v>22</v>
      </c>
      <c r="AJ190" t="s">
        <v>1173</v>
      </c>
      <c r="AK190" t="s">
        <v>5026</v>
      </c>
    </row>
    <row r="191" spans="1:37" ht="11.25" customHeight="1">
      <c r="A191" t="s">
        <v>22</v>
      </c>
      <c r="B191" t="s">
        <v>48</v>
      </c>
      <c r="C191" t="s">
        <v>50</v>
      </c>
      <c r="D191" t="s">
        <v>22</v>
      </c>
      <c r="E191" t="s">
        <v>5027</v>
      </c>
      <c r="F191" t="s">
        <v>4972</v>
      </c>
      <c r="G191" t="s">
        <v>106</v>
      </c>
      <c r="H191" t="s">
        <v>106</v>
      </c>
      <c r="I191" t="s">
        <v>107</v>
      </c>
      <c r="J191" t="s">
        <v>5028</v>
      </c>
      <c r="K191" t="s">
        <v>5029</v>
      </c>
      <c r="L191" t="s">
        <v>5030</v>
      </c>
      <c r="M191" t="s">
        <v>786</v>
      </c>
      <c r="N191" t="s">
        <v>114</v>
      </c>
      <c r="O191" t="s">
        <v>106</v>
      </c>
      <c r="P191" t="s">
        <v>106</v>
      </c>
      <c r="Q191" t="s">
        <v>107</v>
      </c>
      <c r="R191" t="s">
        <v>5028</v>
      </c>
      <c r="S191" t="s">
        <v>5029</v>
      </c>
      <c r="T191" t="s">
        <v>4467</v>
      </c>
      <c r="U191" t="s">
        <v>4468</v>
      </c>
      <c r="V191" t="s">
        <v>4469</v>
      </c>
      <c r="W191" t="s">
        <v>4470</v>
      </c>
      <c r="X191" t="s">
        <v>4471</v>
      </c>
      <c r="Y191" t="s">
        <v>4468</v>
      </c>
      <c r="Z191" t="s">
        <v>1015</v>
      </c>
      <c r="AA191" t="s">
        <v>4472</v>
      </c>
      <c r="AB191" t="s">
        <v>4469</v>
      </c>
      <c r="AC191" t="s">
        <v>19</v>
      </c>
      <c r="AD191" t="s">
        <v>19</v>
      </c>
      <c r="AE191" t="s">
        <v>61</v>
      </c>
      <c r="AF191" t="s">
        <v>22</v>
      </c>
      <c r="AG191" t="s">
        <v>22</v>
      </c>
      <c r="AH191" t="s">
        <v>22</v>
      </c>
      <c r="AI191" t="s">
        <v>22</v>
      </c>
      <c r="AJ191" t="s">
        <v>1823</v>
      </c>
      <c r="AK191" t="s">
        <v>5031</v>
      </c>
    </row>
    <row r="192" spans="1:37" ht="11.25" customHeight="1">
      <c r="A192" t="s">
        <v>22</v>
      </c>
      <c r="B192" t="s">
        <v>48</v>
      </c>
      <c r="C192" t="s">
        <v>50</v>
      </c>
      <c r="D192" t="s">
        <v>22</v>
      </c>
      <c r="E192" t="s">
        <v>5032</v>
      </c>
      <c r="F192" t="s">
        <v>4972</v>
      </c>
      <c r="G192" t="s">
        <v>106</v>
      </c>
      <c r="H192" t="s">
        <v>106</v>
      </c>
      <c r="I192" t="s">
        <v>107</v>
      </c>
      <c r="J192" t="s">
        <v>4987</v>
      </c>
      <c r="K192" t="s">
        <v>4988</v>
      </c>
      <c r="L192" t="s">
        <v>5033</v>
      </c>
      <c r="M192" t="s">
        <v>1015</v>
      </c>
      <c r="N192" t="s">
        <v>114</v>
      </c>
      <c r="O192" t="s">
        <v>106</v>
      </c>
      <c r="P192" t="s">
        <v>106</v>
      </c>
      <c r="Q192" t="s">
        <v>107</v>
      </c>
      <c r="R192" t="s">
        <v>4987</v>
      </c>
      <c r="S192" t="s">
        <v>4988</v>
      </c>
      <c r="T192" t="s">
        <v>4732</v>
      </c>
      <c r="U192" t="s">
        <v>4660</v>
      </c>
      <c r="V192" t="s">
        <v>5034</v>
      </c>
      <c r="W192" t="s">
        <v>4470</v>
      </c>
      <c r="X192" t="s">
        <v>4734</v>
      </c>
      <c r="Y192" t="s">
        <v>4735</v>
      </c>
      <c r="Z192" t="s">
        <v>1015</v>
      </c>
      <c r="AA192" t="s">
        <v>5035</v>
      </c>
      <c r="AB192" t="s">
        <v>5034</v>
      </c>
      <c r="AC192" t="s">
        <v>19</v>
      </c>
      <c r="AD192" t="s">
        <v>19</v>
      </c>
      <c r="AE192" t="s">
        <v>61</v>
      </c>
      <c r="AF192" t="s">
        <v>22</v>
      </c>
      <c r="AG192" t="s">
        <v>22</v>
      </c>
      <c r="AH192" t="s">
        <v>22</v>
      </c>
      <c r="AI192" t="s">
        <v>22</v>
      </c>
      <c r="AJ192" t="s">
        <v>5036</v>
      </c>
      <c r="AK192" t="s">
        <v>5037</v>
      </c>
    </row>
    <row r="193" spans="1:37" ht="11.25" customHeight="1">
      <c r="A193" t="s">
        <v>22</v>
      </c>
      <c r="B193" t="s">
        <v>48</v>
      </c>
      <c r="C193" t="s">
        <v>50</v>
      </c>
      <c r="D193" t="s">
        <v>22</v>
      </c>
      <c r="E193" t="s">
        <v>5038</v>
      </c>
      <c r="F193" t="s">
        <v>4972</v>
      </c>
      <c r="G193" t="s">
        <v>106</v>
      </c>
      <c r="H193" t="s">
        <v>106</v>
      </c>
      <c r="I193" t="s">
        <v>107</v>
      </c>
      <c r="J193" t="s">
        <v>5039</v>
      </c>
      <c r="K193" t="s">
        <v>5040</v>
      </c>
      <c r="L193" t="s">
        <v>5041</v>
      </c>
      <c r="M193" t="s">
        <v>786</v>
      </c>
      <c r="N193" t="s">
        <v>114</v>
      </c>
      <c r="O193" t="s">
        <v>106</v>
      </c>
      <c r="P193" t="s">
        <v>106</v>
      </c>
      <c r="Q193" t="s">
        <v>107</v>
      </c>
      <c r="R193" t="s">
        <v>5039</v>
      </c>
      <c r="S193" t="s">
        <v>5040</v>
      </c>
      <c r="T193" t="s">
        <v>4467</v>
      </c>
      <c r="U193" t="s">
        <v>4468</v>
      </c>
      <c r="V193" t="s">
        <v>4469</v>
      </c>
      <c r="W193" t="s">
        <v>4470</v>
      </c>
      <c r="X193" t="s">
        <v>4471</v>
      </c>
      <c r="Y193" t="s">
        <v>4468</v>
      </c>
      <c r="Z193" t="s">
        <v>1015</v>
      </c>
      <c r="AA193" t="s">
        <v>4472</v>
      </c>
      <c r="AB193" t="s">
        <v>4469</v>
      </c>
      <c r="AC193" t="s">
        <v>19</v>
      </c>
      <c r="AD193" t="s">
        <v>19</v>
      </c>
      <c r="AE193" t="s">
        <v>61</v>
      </c>
      <c r="AF193" t="s">
        <v>22</v>
      </c>
      <c r="AG193" t="s">
        <v>22</v>
      </c>
      <c r="AH193" t="s">
        <v>22</v>
      </c>
      <c r="AI193" t="s">
        <v>22</v>
      </c>
      <c r="AJ193" t="s">
        <v>162</v>
      </c>
      <c r="AK193" t="s">
        <v>102</v>
      </c>
    </row>
    <row r="194" spans="1:37" ht="11.25" customHeight="1">
      <c r="A194" t="s">
        <v>22</v>
      </c>
      <c r="B194" t="s">
        <v>48</v>
      </c>
      <c r="C194" t="s">
        <v>50</v>
      </c>
      <c r="D194" t="s">
        <v>22</v>
      </c>
      <c r="E194" t="s">
        <v>5042</v>
      </c>
      <c r="F194" t="s">
        <v>4972</v>
      </c>
      <c r="G194" t="s">
        <v>106</v>
      </c>
      <c r="H194" t="s">
        <v>106</v>
      </c>
      <c r="I194" t="s">
        <v>107</v>
      </c>
      <c r="J194" t="s">
        <v>5043</v>
      </c>
      <c r="K194" t="s">
        <v>5044</v>
      </c>
      <c r="L194" t="s">
        <v>5045</v>
      </c>
      <c r="M194" t="s">
        <v>786</v>
      </c>
      <c r="N194" t="s">
        <v>114</v>
      </c>
      <c r="O194" t="s">
        <v>106</v>
      </c>
      <c r="P194" t="s">
        <v>106</v>
      </c>
      <c r="Q194" t="s">
        <v>107</v>
      </c>
      <c r="R194" t="s">
        <v>5043</v>
      </c>
      <c r="S194" t="s">
        <v>5044</v>
      </c>
      <c r="T194" t="s">
        <v>4467</v>
      </c>
      <c r="U194" t="s">
        <v>4468</v>
      </c>
      <c r="V194" t="s">
        <v>4469</v>
      </c>
      <c r="W194" t="s">
        <v>4470</v>
      </c>
      <c r="X194" t="s">
        <v>4471</v>
      </c>
      <c r="Y194" t="s">
        <v>4468</v>
      </c>
      <c r="Z194" t="s">
        <v>1015</v>
      </c>
      <c r="AA194" t="s">
        <v>4472</v>
      </c>
      <c r="AB194" t="s">
        <v>4469</v>
      </c>
      <c r="AC194" t="s">
        <v>19</v>
      </c>
      <c r="AD194" t="s">
        <v>19</v>
      </c>
      <c r="AE194" t="s">
        <v>61</v>
      </c>
      <c r="AF194" t="s">
        <v>22</v>
      </c>
      <c r="AG194" t="s">
        <v>22</v>
      </c>
      <c r="AH194" t="s">
        <v>22</v>
      </c>
      <c r="AI194" t="s">
        <v>22</v>
      </c>
      <c r="AJ194" t="s">
        <v>162</v>
      </c>
      <c r="AK194" t="s">
        <v>102</v>
      </c>
    </row>
    <row r="195" spans="1:37" ht="11.25" customHeight="1">
      <c r="A195" t="s">
        <v>22</v>
      </c>
      <c r="B195" t="s">
        <v>48</v>
      </c>
      <c r="C195" t="s">
        <v>50</v>
      </c>
      <c r="D195" t="s">
        <v>22</v>
      </c>
      <c r="E195" t="s">
        <v>5046</v>
      </c>
      <c r="F195" t="s">
        <v>4972</v>
      </c>
      <c r="G195" t="s">
        <v>106</v>
      </c>
      <c r="H195" t="s">
        <v>106</v>
      </c>
      <c r="I195" t="s">
        <v>107</v>
      </c>
      <c r="J195" t="s">
        <v>5047</v>
      </c>
      <c r="K195" t="s">
        <v>5048</v>
      </c>
      <c r="L195" t="s">
        <v>5049</v>
      </c>
      <c r="M195" t="s">
        <v>786</v>
      </c>
      <c r="N195" t="s">
        <v>114</v>
      </c>
      <c r="O195" t="s">
        <v>106</v>
      </c>
      <c r="P195" t="s">
        <v>106</v>
      </c>
      <c r="Q195" t="s">
        <v>107</v>
      </c>
      <c r="R195" t="s">
        <v>5047</v>
      </c>
      <c r="S195" t="s">
        <v>5048</v>
      </c>
      <c r="T195" t="s">
        <v>4467</v>
      </c>
      <c r="U195" t="s">
        <v>4468</v>
      </c>
      <c r="V195" t="s">
        <v>4469</v>
      </c>
      <c r="W195" t="s">
        <v>4470</v>
      </c>
      <c r="X195" t="s">
        <v>4471</v>
      </c>
      <c r="Y195" t="s">
        <v>4468</v>
      </c>
      <c r="Z195" t="s">
        <v>1015</v>
      </c>
      <c r="AA195" t="s">
        <v>4472</v>
      </c>
      <c r="AB195" t="s">
        <v>4469</v>
      </c>
      <c r="AC195" t="s">
        <v>19</v>
      </c>
      <c r="AD195" t="s">
        <v>19</v>
      </c>
      <c r="AE195" t="s">
        <v>61</v>
      </c>
      <c r="AF195" t="s">
        <v>22</v>
      </c>
      <c r="AG195" t="s">
        <v>22</v>
      </c>
      <c r="AH195" t="s">
        <v>22</v>
      </c>
      <c r="AI195" t="s">
        <v>22</v>
      </c>
      <c r="AJ195" t="s">
        <v>162</v>
      </c>
      <c r="AK195" t="s">
        <v>102</v>
      </c>
    </row>
    <row r="196" spans="1:37" ht="11.25" customHeight="1">
      <c r="A196" t="s">
        <v>22</v>
      </c>
      <c r="B196" t="s">
        <v>48</v>
      </c>
      <c r="C196" t="s">
        <v>50</v>
      </c>
      <c r="D196" t="s">
        <v>22</v>
      </c>
      <c r="E196" t="s">
        <v>5050</v>
      </c>
      <c r="F196" t="s">
        <v>4972</v>
      </c>
      <c r="G196" t="s">
        <v>106</v>
      </c>
      <c r="H196" t="s">
        <v>106</v>
      </c>
      <c r="I196" t="s">
        <v>107</v>
      </c>
      <c r="J196" t="s">
        <v>4881</v>
      </c>
      <c r="K196" t="s">
        <v>4882</v>
      </c>
      <c r="L196" t="s">
        <v>5051</v>
      </c>
      <c r="M196" t="s">
        <v>786</v>
      </c>
      <c r="N196" t="s">
        <v>114</v>
      </c>
      <c r="O196" t="s">
        <v>106</v>
      </c>
      <c r="P196" t="s">
        <v>106</v>
      </c>
      <c r="Q196" t="s">
        <v>107</v>
      </c>
      <c r="R196" t="s">
        <v>4881</v>
      </c>
      <c r="S196" t="s">
        <v>4882</v>
      </c>
      <c r="T196" t="s">
        <v>4467</v>
      </c>
      <c r="U196" t="s">
        <v>4468</v>
      </c>
      <c r="V196" t="s">
        <v>4469</v>
      </c>
      <c r="W196" t="s">
        <v>4470</v>
      </c>
      <c r="X196" t="s">
        <v>4471</v>
      </c>
      <c r="Y196" t="s">
        <v>4468</v>
      </c>
      <c r="Z196" t="s">
        <v>1015</v>
      </c>
      <c r="AA196" t="s">
        <v>4472</v>
      </c>
      <c r="AB196" t="s">
        <v>4469</v>
      </c>
      <c r="AC196" t="s">
        <v>19</v>
      </c>
      <c r="AD196" t="s">
        <v>19</v>
      </c>
      <c r="AE196" t="s">
        <v>61</v>
      </c>
      <c r="AF196" t="s">
        <v>22</v>
      </c>
      <c r="AG196" t="s">
        <v>22</v>
      </c>
      <c r="AH196" t="s">
        <v>22</v>
      </c>
      <c r="AI196" t="s">
        <v>22</v>
      </c>
      <c r="AJ196" t="s">
        <v>4481</v>
      </c>
      <c r="AK196" t="s">
        <v>4884</v>
      </c>
    </row>
    <row r="197" spans="1:37" ht="11.25" customHeight="1">
      <c r="A197" t="s">
        <v>22</v>
      </c>
      <c r="B197" t="s">
        <v>48</v>
      </c>
      <c r="C197" t="s">
        <v>50</v>
      </c>
      <c r="D197" t="s">
        <v>22</v>
      </c>
      <c r="E197" t="s">
        <v>5052</v>
      </c>
      <c r="F197" t="s">
        <v>4972</v>
      </c>
      <c r="G197" t="s">
        <v>106</v>
      </c>
      <c r="H197" t="s">
        <v>106</v>
      </c>
      <c r="I197" t="s">
        <v>107</v>
      </c>
      <c r="J197" t="s">
        <v>5053</v>
      </c>
      <c r="K197" t="s">
        <v>5054</v>
      </c>
      <c r="L197" t="s">
        <v>5055</v>
      </c>
      <c r="M197" t="s">
        <v>786</v>
      </c>
      <c r="N197" t="s">
        <v>114</v>
      </c>
      <c r="O197" t="s">
        <v>106</v>
      </c>
      <c r="P197" t="s">
        <v>106</v>
      </c>
      <c r="Q197" t="s">
        <v>107</v>
      </c>
      <c r="R197" t="s">
        <v>5053</v>
      </c>
      <c r="S197" t="s">
        <v>5054</v>
      </c>
      <c r="T197" t="s">
        <v>4467</v>
      </c>
      <c r="U197" t="s">
        <v>4468</v>
      </c>
      <c r="V197" t="s">
        <v>4469</v>
      </c>
      <c r="W197" t="s">
        <v>4470</v>
      </c>
      <c r="X197" t="s">
        <v>4471</v>
      </c>
      <c r="Y197" t="s">
        <v>4468</v>
      </c>
      <c r="Z197" t="s">
        <v>1015</v>
      </c>
      <c r="AA197" t="s">
        <v>4472</v>
      </c>
      <c r="AB197" t="s">
        <v>4469</v>
      </c>
      <c r="AC197" t="s">
        <v>19</v>
      </c>
      <c r="AD197" t="s">
        <v>19</v>
      </c>
      <c r="AE197" t="s">
        <v>61</v>
      </c>
      <c r="AF197" t="s">
        <v>22</v>
      </c>
      <c r="AG197" t="s">
        <v>22</v>
      </c>
      <c r="AH197" t="s">
        <v>22</v>
      </c>
      <c r="AI197" t="s">
        <v>22</v>
      </c>
      <c r="AJ197" t="s">
        <v>162</v>
      </c>
      <c r="AK197" t="s">
        <v>102</v>
      </c>
    </row>
    <row r="198" spans="1:37" ht="11.25" customHeight="1">
      <c r="A198" t="s">
        <v>22</v>
      </c>
      <c r="B198" t="s">
        <v>48</v>
      </c>
      <c r="C198" t="s">
        <v>50</v>
      </c>
      <c r="D198" t="s">
        <v>22</v>
      </c>
      <c r="E198" t="s">
        <v>5056</v>
      </c>
      <c r="F198" t="s">
        <v>4972</v>
      </c>
      <c r="G198" t="s">
        <v>106</v>
      </c>
      <c r="H198" t="s">
        <v>106</v>
      </c>
      <c r="I198" t="s">
        <v>107</v>
      </c>
      <c r="J198" t="s">
        <v>5057</v>
      </c>
      <c r="K198" t="s">
        <v>5058</v>
      </c>
      <c r="L198" t="s">
        <v>5059</v>
      </c>
      <c r="M198" t="s">
        <v>786</v>
      </c>
      <c r="N198" t="s">
        <v>114</v>
      </c>
      <c r="O198" t="s">
        <v>106</v>
      </c>
      <c r="P198" t="s">
        <v>106</v>
      </c>
      <c r="Q198" t="s">
        <v>107</v>
      </c>
      <c r="R198" t="s">
        <v>5057</v>
      </c>
      <c r="S198" t="s">
        <v>5058</v>
      </c>
      <c r="T198" t="s">
        <v>4467</v>
      </c>
      <c r="U198" t="s">
        <v>4468</v>
      </c>
      <c r="V198" t="s">
        <v>4469</v>
      </c>
      <c r="W198" t="s">
        <v>4470</v>
      </c>
      <c r="X198" t="s">
        <v>4471</v>
      </c>
      <c r="Y198" t="s">
        <v>4468</v>
      </c>
      <c r="Z198" t="s">
        <v>1015</v>
      </c>
      <c r="AA198" t="s">
        <v>4472</v>
      </c>
      <c r="AB198" t="s">
        <v>4469</v>
      </c>
      <c r="AC198" t="s">
        <v>19</v>
      </c>
      <c r="AD198" t="s">
        <v>19</v>
      </c>
      <c r="AE198" t="s">
        <v>61</v>
      </c>
      <c r="AF198" t="s">
        <v>22</v>
      </c>
      <c r="AG198" t="s">
        <v>22</v>
      </c>
      <c r="AH198" t="s">
        <v>22</v>
      </c>
      <c r="AI198" t="s">
        <v>22</v>
      </c>
      <c r="AJ198" t="s">
        <v>162</v>
      </c>
      <c r="AK198" t="s">
        <v>102</v>
      </c>
    </row>
    <row r="199" spans="1:37" ht="11.25" customHeight="1">
      <c r="A199" t="s">
        <v>22</v>
      </c>
      <c r="B199" t="s">
        <v>48</v>
      </c>
      <c r="C199" t="s">
        <v>50</v>
      </c>
      <c r="D199" t="s">
        <v>22</v>
      </c>
      <c r="E199" t="s">
        <v>5060</v>
      </c>
      <c r="F199" t="s">
        <v>4972</v>
      </c>
      <c r="G199" t="s">
        <v>106</v>
      </c>
      <c r="H199" t="s">
        <v>106</v>
      </c>
      <c r="I199" t="s">
        <v>107</v>
      </c>
      <c r="J199" t="s">
        <v>5061</v>
      </c>
      <c r="K199" t="s">
        <v>5062</v>
      </c>
      <c r="L199" t="s">
        <v>5063</v>
      </c>
      <c r="M199" t="s">
        <v>786</v>
      </c>
      <c r="N199" t="s">
        <v>114</v>
      </c>
      <c r="O199" t="s">
        <v>106</v>
      </c>
      <c r="P199" t="s">
        <v>106</v>
      </c>
      <c r="Q199" t="s">
        <v>107</v>
      </c>
      <c r="R199" t="s">
        <v>5061</v>
      </c>
      <c r="S199" t="s">
        <v>5062</v>
      </c>
      <c r="T199" t="s">
        <v>4467</v>
      </c>
      <c r="U199" t="s">
        <v>4468</v>
      </c>
      <c r="V199" t="s">
        <v>4469</v>
      </c>
      <c r="W199" t="s">
        <v>4470</v>
      </c>
      <c r="X199" t="s">
        <v>4471</v>
      </c>
      <c r="Y199" t="s">
        <v>4468</v>
      </c>
      <c r="Z199" t="s">
        <v>1015</v>
      </c>
      <c r="AA199" t="s">
        <v>4472</v>
      </c>
      <c r="AB199" t="s">
        <v>4469</v>
      </c>
      <c r="AC199" t="s">
        <v>19</v>
      </c>
      <c r="AD199" t="s">
        <v>19</v>
      </c>
      <c r="AE199" t="s">
        <v>61</v>
      </c>
      <c r="AF199" t="s">
        <v>22</v>
      </c>
      <c r="AG199" t="s">
        <v>22</v>
      </c>
      <c r="AH199" t="s">
        <v>22</v>
      </c>
      <c r="AI199" t="s">
        <v>22</v>
      </c>
      <c r="AJ199" t="s">
        <v>162</v>
      </c>
      <c r="AK199" t="s">
        <v>102</v>
      </c>
    </row>
    <row r="200" spans="1:37" ht="11.25" customHeight="1">
      <c r="A200" t="s">
        <v>22</v>
      </c>
      <c r="B200" t="s">
        <v>48</v>
      </c>
      <c r="C200" t="s">
        <v>50</v>
      </c>
      <c r="D200" t="s">
        <v>22</v>
      </c>
      <c r="E200" t="s">
        <v>5064</v>
      </c>
      <c r="F200" t="s">
        <v>4972</v>
      </c>
      <c r="G200" t="s">
        <v>106</v>
      </c>
      <c r="H200" t="s">
        <v>106</v>
      </c>
      <c r="I200" t="s">
        <v>107</v>
      </c>
      <c r="J200" t="s">
        <v>5065</v>
      </c>
      <c r="K200" t="s">
        <v>5066</v>
      </c>
      <c r="L200" t="s">
        <v>5067</v>
      </c>
      <c r="M200" t="s">
        <v>786</v>
      </c>
      <c r="N200" t="s">
        <v>114</v>
      </c>
      <c r="O200" t="s">
        <v>106</v>
      </c>
      <c r="P200" t="s">
        <v>106</v>
      </c>
      <c r="Q200" t="s">
        <v>107</v>
      </c>
      <c r="R200" t="s">
        <v>5065</v>
      </c>
      <c r="S200" t="s">
        <v>5066</v>
      </c>
      <c r="T200" t="s">
        <v>4467</v>
      </c>
      <c r="U200" t="s">
        <v>4468</v>
      </c>
      <c r="V200" t="s">
        <v>4469</v>
      </c>
      <c r="W200" t="s">
        <v>4470</v>
      </c>
      <c r="X200" t="s">
        <v>4471</v>
      </c>
      <c r="Y200" t="s">
        <v>4468</v>
      </c>
      <c r="Z200" t="s">
        <v>1015</v>
      </c>
      <c r="AA200" t="s">
        <v>4472</v>
      </c>
      <c r="AB200" t="s">
        <v>4469</v>
      </c>
      <c r="AC200" t="s">
        <v>19</v>
      </c>
      <c r="AD200" t="s">
        <v>19</v>
      </c>
      <c r="AE200" t="s">
        <v>61</v>
      </c>
      <c r="AF200" t="s">
        <v>22</v>
      </c>
      <c r="AG200" t="s">
        <v>22</v>
      </c>
      <c r="AH200" t="s">
        <v>22</v>
      </c>
      <c r="AI200" t="s">
        <v>22</v>
      </c>
      <c r="AJ200" t="s">
        <v>162</v>
      </c>
      <c r="AK200" t="s">
        <v>102</v>
      </c>
    </row>
    <row r="201" spans="1:37" ht="11.25" customHeight="1">
      <c r="A201" t="s">
        <v>22</v>
      </c>
      <c r="B201" t="s">
        <v>48</v>
      </c>
      <c r="C201" t="s">
        <v>50</v>
      </c>
      <c r="D201" t="s">
        <v>22</v>
      </c>
      <c r="E201" t="s">
        <v>5068</v>
      </c>
      <c r="F201" t="s">
        <v>4972</v>
      </c>
      <c r="G201" t="s">
        <v>106</v>
      </c>
      <c r="H201" t="s">
        <v>106</v>
      </c>
      <c r="I201" t="s">
        <v>107</v>
      </c>
      <c r="J201" t="s">
        <v>4913</v>
      </c>
      <c r="K201" t="s">
        <v>4914</v>
      </c>
      <c r="L201" t="s">
        <v>5069</v>
      </c>
      <c r="M201" t="s">
        <v>1015</v>
      </c>
      <c r="N201" t="s">
        <v>114</v>
      </c>
      <c r="O201" t="s">
        <v>106</v>
      </c>
      <c r="P201" t="s">
        <v>106</v>
      </c>
      <c r="Q201" t="s">
        <v>107</v>
      </c>
      <c r="R201" t="s">
        <v>4913</v>
      </c>
      <c r="S201" t="s">
        <v>4914</v>
      </c>
      <c r="T201" t="s">
        <v>4467</v>
      </c>
      <c r="U201" t="s">
        <v>4468</v>
      </c>
      <c r="V201" t="s">
        <v>4469</v>
      </c>
      <c r="W201" t="s">
        <v>4487</v>
      </c>
      <c r="X201" t="s">
        <v>4471</v>
      </c>
      <c r="Y201" t="s">
        <v>4468</v>
      </c>
      <c r="Z201" t="s">
        <v>1015</v>
      </c>
      <c r="AA201" t="s">
        <v>4472</v>
      </c>
      <c r="AB201" t="s">
        <v>4469</v>
      </c>
      <c r="AC201" t="s">
        <v>19</v>
      </c>
      <c r="AD201" t="s">
        <v>19</v>
      </c>
      <c r="AE201" t="s">
        <v>61</v>
      </c>
      <c r="AF201" t="s">
        <v>22</v>
      </c>
      <c r="AG201" t="s">
        <v>22</v>
      </c>
      <c r="AH201" t="s">
        <v>22</v>
      </c>
      <c r="AI201" t="s">
        <v>22</v>
      </c>
      <c r="AJ201" t="s">
        <v>1166</v>
      </c>
      <c r="AK201" t="s">
        <v>387</v>
      </c>
    </row>
    <row r="202" spans="1:37" ht="11.25" customHeight="1">
      <c r="A202" t="s">
        <v>22</v>
      </c>
      <c r="B202" t="s">
        <v>48</v>
      </c>
      <c r="C202" t="s">
        <v>50</v>
      </c>
      <c r="D202" t="s">
        <v>22</v>
      </c>
      <c r="E202" t="s">
        <v>5070</v>
      </c>
      <c r="F202" t="s">
        <v>1104</v>
      </c>
      <c r="G202" t="s">
        <v>106</v>
      </c>
      <c r="H202" t="s">
        <v>106</v>
      </c>
      <c r="I202" t="s">
        <v>107</v>
      </c>
      <c r="J202" t="s">
        <v>4923</v>
      </c>
      <c r="K202" t="s">
        <v>4924</v>
      </c>
      <c r="L202" t="s">
        <v>4925</v>
      </c>
      <c r="M202" t="s">
        <v>786</v>
      </c>
      <c r="N202" t="s">
        <v>114</v>
      </c>
      <c r="O202" t="s">
        <v>106</v>
      </c>
      <c r="P202" t="s">
        <v>106</v>
      </c>
      <c r="Q202" t="s">
        <v>107</v>
      </c>
      <c r="R202" t="s">
        <v>4923</v>
      </c>
      <c r="S202" t="s">
        <v>4924</v>
      </c>
      <c r="T202" t="s">
        <v>4467</v>
      </c>
      <c r="U202" t="s">
        <v>4468</v>
      </c>
      <c r="V202" t="s">
        <v>4469</v>
      </c>
      <c r="W202" t="s">
        <v>4470</v>
      </c>
      <c r="X202" t="s">
        <v>4471</v>
      </c>
      <c r="Y202" t="s">
        <v>4468</v>
      </c>
      <c r="Z202" t="s">
        <v>1015</v>
      </c>
      <c r="AA202" t="s">
        <v>4472</v>
      </c>
      <c r="AB202" t="s">
        <v>4469</v>
      </c>
      <c r="AC202" t="s">
        <v>61</v>
      </c>
      <c r="AD202" t="s">
        <v>19</v>
      </c>
      <c r="AE202" t="s">
        <v>19</v>
      </c>
      <c r="AF202" t="s">
        <v>162</v>
      </c>
      <c r="AG202" t="s">
        <v>162</v>
      </c>
      <c r="AH202" t="s">
        <v>22</v>
      </c>
      <c r="AI202" t="s">
        <v>22</v>
      </c>
      <c r="AJ202" t="s">
        <v>22</v>
      </c>
      <c r="AK202" t="s">
        <v>22</v>
      </c>
    </row>
    <row r="203" spans="1:37" ht="11.25" customHeight="1">
      <c r="A203" t="s">
        <v>22</v>
      </c>
      <c r="B203" t="s">
        <v>48</v>
      </c>
      <c r="C203" t="s">
        <v>50</v>
      </c>
      <c r="D203" t="s">
        <v>22</v>
      </c>
      <c r="E203" t="s">
        <v>5071</v>
      </c>
      <c r="F203" t="s">
        <v>1104</v>
      </c>
      <c r="G203" t="s">
        <v>106</v>
      </c>
      <c r="H203" t="s">
        <v>106</v>
      </c>
      <c r="I203" t="s">
        <v>107</v>
      </c>
      <c r="J203" t="s">
        <v>5057</v>
      </c>
      <c r="K203" t="s">
        <v>5058</v>
      </c>
      <c r="L203" t="s">
        <v>5059</v>
      </c>
      <c r="M203" t="s">
        <v>786</v>
      </c>
      <c r="N203" t="s">
        <v>114</v>
      </c>
      <c r="O203" t="s">
        <v>106</v>
      </c>
      <c r="P203" t="s">
        <v>106</v>
      </c>
      <c r="Q203" t="s">
        <v>107</v>
      </c>
      <c r="R203" t="s">
        <v>5057</v>
      </c>
      <c r="S203" t="s">
        <v>5058</v>
      </c>
      <c r="T203" t="s">
        <v>4467</v>
      </c>
      <c r="U203" t="s">
        <v>4468</v>
      </c>
      <c r="V203" t="s">
        <v>4469</v>
      </c>
      <c r="W203" t="s">
        <v>4470</v>
      </c>
      <c r="X203" t="s">
        <v>4471</v>
      </c>
      <c r="Y203" t="s">
        <v>4468</v>
      </c>
      <c r="Z203" t="s">
        <v>1015</v>
      </c>
      <c r="AA203" t="s">
        <v>4472</v>
      </c>
      <c r="AB203" t="s">
        <v>4469</v>
      </c>
      <c r="AC203" t="s">
        <v>61</v>
      </c>
      <c r="AD203" t="s">
        <v>19</v>
      </c>
      <c r="AE203" t="s">
        <v>19</v>
      </c>
      <c r="AF203" t="s">
        <v>162</v>
      </c>
      <c r="AG203" t="s">
        <v>102</v>
      </c>
      <c r="AH203" t="s">
        <v>22</v>
      </c>
      <c r="AI203" t="s">
        <v>22</v>
      </c>
      <c r="AJ203" t="s">
        <v>22</v>
      </c>
      <c r="AK203" t="s">
        <v>22</v>
      </c>
    </row>
    <row r="204" spans="1:37" ht="11.25" customHeight="1">
      <c r="A204" t="s">
        <v>22</v>
      </c>
      <c r="B204" t="s">
        <v>48</v>
      </c>
      <c r="C204" t="s">
        <v>50</v>
      </c>
      <c r="D204" t="s">
        <v>22</v>
      </c>
      <c r="E204" t="s">
        <v>5071</v>
      </c>
      <c r="F204" t="s">
        <v>1104</v>
      </c>
      <c r="G204" t="s">
        <v>106</v>
      </c>
      <c r="H204" t="s">
        <v>106</v>
      </c>
      <c r="I204" t="s">
        <v>107</v>
      </c>
      <c r="J204" t="s">
        <v>5061</v>
      </c>
      <c r="K204" t="s">
        <v>5062</v>
      </c>
      <c r="L204" t="s">
        <v>5063</v>
      </c>
      <c r="M204" t="s">
        <v>786</v>
      </c>
      <c r="N204" t="s">
        <v>114</v>
      </c>
      <c r="O204" t="s">
        <v>106</v>
      </c>
      <c r="P204" t="s">
        <v>106</v>
      </c>
      <c r="Q204" t="s">
        <v>107</v>
      </c>
      <c r="R204" t="s">
        <v>5061</v>
      </c>
      <c r="S204" t="s">
        <v>5062</v>
      </c>
      <c r="T204" t="s">
        <v>4467</v>
      </c>
      <c r="U204" t="s">
        <v>4468</v>
      </c>
      <c r="V204" t="s">
        <v>4469</v>
      </c>
      <c r="W204" t="s">
        <v>4470</v>
      </c>
      <c r="X204" t="s">
        <v>4471</v>
      </c>
      <c r="Y204" t="s">
        <v>4468</v>
      </c>
      <c r="Z204" t="s">
        <v>1015</v>
      </c>
      <c r="AA204" t="s">
        <v>4472</v>
      </c>
      <c r="AB204" t="s">
        <v>4469</v>
      </c>
      <c r="AC204" t="s">
        <v>61</v>
      </c>
      <c r="AD204" t="s">
        <v>19</v>
      </c>
      <c r="AE204" t="s">
        <v>19</v>
      </c>
      <c r="AF204" t="s">
        <v>162</v>
      </c>
      <c r="AG204" t="s">
        <v>102</v>
      </c>
      <c r="AH204" t="s">
        <v>22</v>
      </c>
      <c r="AI204" t="s">
        <v>22</v>
      </c>
      <c r="AJ204" t="s">
        <v>22</v>
      </c>
      <c r="AK204" t="s">
        <v>22</v>
      </c>
    </row>
    <row r="205" spans="1:37" ht="11.25" customHeight="1">
      <c r="A205" t="s">
        <v>22</v>
      </c>
      <c r="B205" t="s">
        <v>48</v>
      </c>
      <c r="C205" t="s">
        <v>50</v>
      </c>
      <c r="D205" t="s">
        <v>22</v>
      </c>
      <c r="E205" t="s">
        <v>5072</v>
      </c>
      <c r="F205" t="s">
        <v>4972</v>
      </c>
      <c r="G205" t="s">
        <v>106</v>
      </c>
      <c r="H205" t="s">
        <v>106</v>
      </c>
      <c r="I205" t="s">
        <v>107</v>
      </c>
      <c r="J205" t="s">
        <v>4464</v>
      </c>
      <c r="K205" t="s">
        <v>4465</v>
      </c>
      <c r="L205" t="s">
        <v>5073</v>
      </c>
      <c r="M205" t="s">
        <v>1015</v>
      </c>
      <c r="N205" t="s">
        <v>114</v>
      </c>
      <c r="O205" t="s">
        <v>106</v>
      </c>
      <c r="P205" t="s">
        <v>106</v>
      </c>
      <c r="Q205" t="s">
        <v>107</v>
      </c>
      <c r="R205" t="s">
        <v>4464</v>
      </c>
      <c r="S205" t="s">
        <v>4465</v>
      </c>
      <c r="T205" t="s">
        <v>4732</v>
      </c>
      <c r="U205" t="s">
        <v>4660</v>
      </c>
      <c r="V205" t="s">
        <v>5074</v>
      </c>
      <c r="W205" t="s">
        <v>4470</v>
      </c>
      <c r="X205" t="s">
        <v>4734</v>
      </c>
      <c r="Y205" t="s">
        <v>4735</v>
      </c>
      <c r="Z205" t="s">
        <v>1015</v>
      </c>
      <c r="AA205" t="s">
        <v>5075</v>
      </c>
      <c r="AB205" t="s">
        <v>5074</v>
      </c>
      <c r="AC205" t="s">
        <v>19</v>
      </c>
      <c r="AD205" t="s">
        <v>19</v>
      </c>
      <c r="AE205" t="s">
        <v>61</v>
      </c>
      <c r="AF205" t="s">
        <v>22</v>
      </c>
      <c r="AG205" t="s">
        <v>22</v>
      </c>
      <c r="AH205" t="s">
        <v>22</v>
      </c>
      <c r="AI205" t="s">
        <v>22</v>
      </c>
      <c r="AJ205" t="s">
        <v>1752</v>
      </c>
      <c r="AK205" t="s">
        <v>1173</v>
      </c>
    </row>
    <row r="206" spans="1:37" ht="11.25" customHeight="1">
      <c r="A206" t="s">
        <v>22</v>
      </c>
      <c r="B206" t="s">
        <v>48</v>
      </c>
      <c r="C206" t="s">
        <v>50</v>
      </c>
      <c r="D206" t="s">
        <v>22</v>
      </c>
      <c r="E206" t="s">
        <v>5076</v>
      </c>
      <c r="F206" t="s">
        <v>4972</v>
      </c>
      <c r="G206" t="s">
        <v>106</v>
      </c>
      <c r="H206" t="s">
        <v>106</v>
      </c>
      <c r="I206" t="s">
        <v>107</v>
      </c>
      <c r="J206" t="s">
        <v>5077</v>
      </c>
      <c r="K206" t="s">
        <v>5078</v>
      </c>
      <c r="L206" t="s">
        <v>5079</v>
      </c>
      <c r="M206" t="s">
        <v>1015</v>
      </c>
      <c r="N206" t="s">
        <v>114</v>
      </c>
      <c r="O206" t="s">
        <v>106</v>
      </c>
      <c r="P206" t="s">
        <v>106</v>
      </c>
      <c r="Q206" t="s">
        <v>107</v>
      </c>
      <c r="R206" t="s">
        <v>5077</v>
      </c>
      <c r="S206" t="s">
        <v>5078</v>
      </c>
      <c r="T206" t="s">
        <v>4467</v>
      </c>
      <c r="U206" t="s">
        <v>4468</v>
      </c>
      <c r="V206" t="s">
        <v>5080</v>
      </c>
      <c r="W206" t="s">
        <v>4470</v>
      </c>
      <c r="X206" t="s">
        <v>4471</v>
      </c>
      <c r="Y206" t="s">
        <v>4468</v>
      </c>
      <c r="Z206" t="s">
        <v>1015</v>
      </c>
      <c r="AA206" t="s">
        <v>4472</v>
      </c>
      <c r="AB206" t="s">
        <v>5080</v>
      </c>
      <c r="AC206" t="s">
        <v>19</v>
      </c>
      <c r="AD206" t="s">
        <v>19</v>
      </c>
      <c r="AE206" t="s">
        <v>61</v>
      </c>
      <c r="AF206" t="s">
        <v>22</v>
      </c>
      <c r="AG206" t="s">
        <v>22</v>
      </c>
      <c r="AH206" t="s">
        <v>22</v>
      </c>
      <c r="AI206" t="s">
        <v>22</v>
      </c>
      <c r="AJ206" t="s">
        <v>5081</v>
      </c>
      <c r="AK206" t="s">
        <v>5082</v>
      </c>
    </row>
    <row r="207" spans="1:37" ht="11.25" customHeight="1">
      <c r="A207" t="s">
        <v>22</v>
      </c>
      <c r="B207" t="s">
        <v>48</v>
      </c>
      <c r="C207" t="s">
        <v>50</v>
      </c>
      <c r="D207" t="s">
        <v>22</v>
      </c>
      <c r="E207" t="s">
        <v>5083</v>
      </c>
      <c r="F207" t="s">
        <v>4972</v>
      </c>
      <c r="G207" t="s">
        <v>106</v>
      </c>
      <c r="H207" t="s">
        <v>106</v>
      </c>
      <c r="I207" t="s">
        <v>107</v>
      </c>
      <c r="J207" t="s">
        <v>4927</v>
      </c>
      <c r="K207" t="s">
        <v>4928</v>
      </c>
      <c r="L207" t="s">
        <v>4929</v>
      </c>
      <c r="M207" t="s">
        <v>786</v>
      </c>
      <c r="N207" t="s">
        <v>114</v>
      </c>
      <c r="O207" t="s">
        <v>106</v>
      </c>
      <c r="P207" t="s">
        <v>106</v>
      </c>
      <c r="Q207" t="s">
        <v>107</v>
      </c>
      <c r="R207" t="s">
        <v>4927</v>
      </c>
      <c r="S207" t="s">
        <v>4928</v>
      </c>
      <c r="T207" t="s">
        <v>4467</v>
      </c>
      <c r="U207" t="s">
        <v>4468</v>
      </c>
      <c r="V207" t="s">
        <v>4469</v>
      </c>
      <c r="W207" t="s">
        <v>4470</v>
      </c>
      <c r="X207" t="s">
        <v>4471</v>
      </c>
      <c r="Y207" t="s">
        <v>4468</v>
      </c>
      <c r="Z207" t="s">
        <v>1015</v>
      </c>
      <c r="AA207" t="s">
        <v>4472</v>
      </c>
      <c r="AB207" t="s">
        <v>4469</v>
      </c>
      <c r="AC207" t="s">
        <v>19</v>
      </c>
      <c r="AD207" t="s">
        <v>19</v>
      </c>
      <c r="AE207" t="s">
        <v>61</v>
      </c>
      <c r="AF207" t="s">
        <v>22</v>
      </c>
      <c r="AG207" t="s">
        <v>22</v>
      </c>
      <c r="AH207" t="s">
        <v>22</v>
      </c>
      <c r="AI207" t="s">
        <v>22</v>
      </c>
      <c r="AJ207" t="s">
        <v>1752</v>
      </c>
      <c r="AK207" t="s">
        <v>89</v>
      </c>
    </row>
    <row r="208" spans="1:37" ht="11.25" customHeight="1">
      <c r="A208" t="s">
        <v>22</v>
      </c>
      <c r="B208" t="s">
        <v>48</v>
      </c>
      <c r="C208" t="s">
        <v>50</v>
      </c>
      <c r="D208" t="s">
        <v>22</v>
      </c>
      <c r="E208" t="s">
        <v>5084</v>
      </c>
      <c r="F208" t="s">
        <v>4972</v>
      </c>
      <c r="G208" t="s">
        <v>106</v>
      </c>
      <c r="H208" t="s">
        <v>106</v>
      </c>
      <c r="I208" t="s">
        <v>107</v>
      </c>
      <c r="J208" t="s">
        <v>5085</v>
      </c>
      <c r="K208" t="s">
        <v>5086</v>
      </c>
      <c r="L208" t="s">
        <v>5087</v>
      </c>
      <c r="M208" t="s">
        <v>1015</v>
      </c>
      <c r="N208" t="s">
        <v>114</v>
      </c>
      <c r="O208" t="s">
        <v>106</v>
      </c>
      <c r="P208" t="s">
        <v>106</v>
      </c>
      <c r="Q208" t="s">
        <v>107</v>
      </c>
      <c r="R208" t="s">
        <v>5085</v>
      </c>
      <c r="S208" t="s">
        <v>5086</v>
      </c>
      <c r="T208" t="s">
        <v>4467</v>
      </c>
      <c r="U208" t="s">
        <v>4468</v>
      </c>
      <c r="V208" t="s">
        <v>4469</v>
      </c>
      <c r="W208" t="s">
        <v>4470</v>
      </c>
      <c r="X208" t="s">
        <v>4471</v>
      </c>
      <c r="Y208" t="s">
        <v>4468</v>
      </c>
      <c r="Z208" t="s">
        <v>1015</v>
      </c>
      <c r="AA208" t="s">
        <v>4472</v>
      </c>
      <c r="AB208" t="s">
        <v>4469</v>
      </c>
      <c r="AC208" t="s">
        <v>19</v>
      </c>
      <c r="AD208" t="s">
        <v>19</v>
      </c>
      <c r="AE208" t="s">
        <v>61</v>
      </c>
      <c r="AF208" t="s">
        <v>22</v>
      </c>
      <c r="AG208" t="s">
        <v>22</v>
      </c>
      <c r="AH208" t="s">
        <v>22</v>
      </c>
      <c r="AI208" t="s">
        <v>22</v>
      </c>
      <c r="AJ208" t="s">
        <v>1823</v>
      </c>
      <c r="AK208" t="s">
        <v>5088</v>
      </c>
    </row>
    <row r="209" spans="1:37" ht="11.25" customHeight="1">
      <c r="A209" t="s">
        <v>22</v>
      </c>
      <c r="B209" t="s">
        <v>48</v>
      </c>
      <c r="C209" t="s">
        <v>50</v>
      </c>
      <c r="D209" t="s">
        <v>22</v>
      </c>
      <c r="E209" t="s">
        <v>5089</v>
      </c>
      <c r="F209" t="s">
        <v>4972</v>
      </c>
      <c r="G209" t="s">
        <v>106</v>
      </c>
      <c r="H209" t="s">
        <v>106</v>
      </c>
      <c r="I209" t="s">
        <v>107</v>
      </c>
      <c r="J209" t="s">
        <v>4917</v>
      </c>
      <c r="K209" t="s">
        <v>4918</v>
      </c>
      <c r="L209" t="s">
        <v>5090</v>
      </c>
      <c r="M209" t="s">
        <v>1015</v>
      </c>
      <c r="N209" t="s">
        <v>114</v>
      </c>
      <c r="O209" t="s">
        <v>106</v>
      </c>
      <c r="P209" t="s">
        <v>106</v>
      </c>
      <c r="Q209" t="s">
        <v>107</v>
      </c>
      <c r="R209" t="s">
        <v>4917</v>
      </c>
      <c r="S209" t="s">
        <v>4918</v>
      </c>
      <c r="T209" t="s">
        <v>4467</v>
      </c>
      <c r="U209" t="s">
        <v>4468</v>
      </c>
      <c r="V209" t="s">
        <v>4469</v>
      </c>
      <c r="W209" t="s">
        <v>4470</v>
      </c>
      <c r="X209" t="s">
        <v>4471</v>
      </c>
      <c r="Y209" t="s">
        <v>4468</v>
      </c>
      <c r="Z209" t="s">
        <v>1015</v>
      </c>
      <c r="AA209" t="s">
        <v>4472</v>
      </c>
      <c r="AB209" t="s">
        <v>4469</v>
      </c>
      <c r="AC209" t="s">
        <v>19</v>
      </c>
      <c r="AD209" t="s">
        <v>19</v>
      </c>
      <c r="AE209" t="s">
        <v>61</v>
      </c>
      <c r="AF209" t="s">
        <v>22</v>
      </c>
      <c r="AG209" t="s">
        <v>22</v>
      </c>
      <c r="AH209" t="s">
        <v>22</v>
      </c>
      <c r="AI209" t="s">
        <v>22</v>
      </c>
      <c r="AJ209" t="s">
        <v>162</v>
      </c>
      <c r="AK209" t="s">
        <v>4920</v>
      </c>
    </row>
    <row r="210" spans="1:37" ht="11.25" customHeight="1">
      <c r="A210" t="s">
        <v>22</v>
      </c>
      <c r="B210" t="s">
        <v>48</v>
      </c>
      <c r="C210" t="s">
        <v>50</v>
      </c>
      <c r="D210" t="s">
        <v>22</v>
      </c>
      <c r="E210" t="s">
        <v>5091</v>
      </c>
      <c r="F210" t="s">
        <v>4972</v>
      </c>
      <c r="G210" t="s">
        <v>106</v>
      </c>
      <c r="H210" t="s">
        <v>106</v>
      </c>
      <c r="I210" t="s">
        <v>107</v>
      </c>
      <c r="J210" t="s">
        <v>4923</v>
      </c>
      <c r="K210" t="s">
        <v>4924</v>
      </c>
      <c r="L210" t="s">
        <v>5092</v>
      </c>
      <c r="M210" t="s">
        <v>1015</v>
      </c>
      <c r="N210" t="s">
        <v>114</v>
      </c>
      <c r="O210" t="s">
        <v>106</v>
      </c>
      <c r="P210" t="s">
        <v>106</v>
      </c>
      <c r="Q210" t="s">
        <v>107</v>
      </c>
      <c r="R210" t="s">
        <v>4923</v>
      </c>
      <c r="S210" t="s">
        <v>4924</v>
      </c>
      <c r="T210" t="s">
        <v>4467</v>
      </c>
      <c r="U210" t="s">
        <v>4468</v>
      </c>
      <c r="V210" t="s">
        <v>4469</v>
      </c>
      <c r="W210" t="s">
        <v>4470</v>
      </c>
      <c r="X210" t="s">
        <v>4471</v>
      </c>
      <c r="Y210" t="s">
        <v>4468</v>
      </c>
      <c r="Z210" t="s">
        <v>1015</v>
      </c>
      <c r="AA210" t="s">
        <v>4472</v>
      </c>
      <c r="AB210" t="s">
        <v>4469</v>
      </c>
      <c r="AC210" t="s">
        <v>19</v>
      </c>
      <c r="AD210" t="s">
        <v>19</v>
      </c>
      <c r="AE210" t="s">
        <v>61</v>
      </c>
      <c r="AF210" t="s">
        <v>22</v>
      </c>
      <c r="AG210" t="s">
        <v>22</v>
      </c>
      <c r="AH210" t="s">
        <v>22</v>
      </c>
      <c r="AI210" t="s">
        <v>22</v>
      </c>
      <c r="AJ210" t="s">
        <v>1166</v>
      </c>
      <c r="AK210" t="s">
        <v>5093</v>
      </c>
    </row>
    <row r="211" spans="1:37" ht="11.25" customHeight="1">
      <c r="A211" t="s">
        <v>22</v>
      </c>
      <c r="B211" t="s">
        <v>48</v>
      </c>
      <c r="C211" t="s">
        <v>50</v>
      </c>
      <c r="D211" t="s">
        <v>22</v>
      </c>
      <c r="E211" t="s">
        <v>5094</v>
      </c>
      <c r="F211" t="s">
        <v>4972</v>
      </c>
      <c r="G211" t="s">
        <v>106</v>
      </c>
      <c r="H211" t="s">
        <v>106</v>
      </c>
      <c r="I211" t="s">
        <v>107</v>
      </c>
      <c r="J211" t="s">
        <v>5095</v>
      </c>
      <c r="K211" t="s">
        <v>5096</v>
      </c>
      <c r="L211" t="s">
        <v>5097</v>
      </c>
      <c r="M211" t="s">
        <v>1015</v>
      </c>
      <c r="N211" t="s">
        <v>114</v>
      </c>
      <c r="O211" t="s">
        <v>106</v>
      </c>
      <c r="P211" t="s">
        <v>106</v>
      </c>
      <c r="Q211" t="s">
        <v>107</v>
      </c>
      <c r="R211" t="s">
        <v>5095</v>
      </c>
      <c r="S211" t="s">
        <v>5096</v>
      </c>
      <c r="T211" t="s">
        <v>4467</v>
      </c>
      <c r="U211" t="s">
        <v>4468</v>
      </c>
      <c r="V211" t="s">
        <v>4469</v>
      </c>
      <c r="W211" t="s">
        <v>4470</v>
      </c>
      <c r="X211" t="s">
        <v>4471</v>
      </c>
      <c r="Y211" t="s">
        <v>4468</v>
      </c>
      <c r="Z211" t="s">
        <v>1015</v>
      </c>
      <c r="AA211" t="s">
        <v>4472</v>
      </c>
      <c r="AB211" t="s">
        <v>4469</v>
      </c>
      <c r="AC211" t="s">
        <v>19</v>
      </c>
      <c r="AD211" t="s">
        <v>19</v>
      </c>
      <c r="AE211" t="s">
        <v>61</v>
      </c>
      <c r="AF211" t="s">
        <v>22</v>
      </c>
      <c r="AG211" t="s">
        <v>22</v>
      </c>
      <c r="AH211" t="s">
        <v>22</v>
      </c>
      <c r="AI211" t="s">
        <v>22</v>
      </c>
      <c r="AJ211" t="s">
        <v>1166</v>
      </c>
      <c r="AK211" t="s">
        <v>115</v>
      </c>
    </row>
    <row r="212" spans="1:37" ht="11.25" customHeight="1">
      <c r="A212" t="s">
        <v>22</v>
      </c>
      <c r="B212" t="s">
        <v>48</v>
      </c>
      <c r="C212" t="s">
        <v>50</v>
      </c>
      <c r="D212" t="s">
        <v>22</v>
      </c>
      <c r="E212" t="s">
        <v>5098</v>
      </c>
      <c r="F212" t="s">
        <v>4972</v>
      </c>
      <c r="G212" t="s">
        <v>106</v>
      </c>
      <c r="H212" t="s">
        <v>106</v>
      </c>
      <c r="I212" t="s">
        <v>107</v>
      </c>
      <c r="J212" t="s">
        <v>4497</v>
      </c>
      <c r="K212" t="s">
        <v>4498</v>
      </c>
      <c r="L212" t="s">
        <v>5099</v>
      </c>
      <c r="M212" t="s">
        <v>1015</v>
      </c>
      <c r="N212" t="s">
        <v>114</v>
      </c>
      <c r="O212" t="s">
        <v>106</v>
      </c>
      <c r="P212" t="s">
        <v>106</v>
      </c>
      <c r="Q212" t="s">
        <v>107</v>
      </c>
      <c r="R212" t="s">
        <v>4497</v>
      </c>
      <c r="S212" t="s">
        <v>4498</v>
      </c>
      <c r="T212" t="s">
        <v>4467</v>
      </c>
      <c r="U212" t="s">
        <v>4468</v>
      </c>
      <c r="V212" t="s">
        <v>4469</v>
      </c>
      <c r="W212" t="s">
        <v>4470</v>
      </c>
      <c r="X212" t="s">
        <v>4471</v>
      </c>
      <c r="Y212" t="s">
        <v>4468</v>
      </c>
      <c r="Z212" t="s">
        <v>1015</v>
      </c>
      <c r="AA212" t="s">
        <v>4472</v>
      </c>
      <c r="AB212" t="s">
        <v>4469</v>
      </c>
      <c r="AC212" t="s">
        <v>19</v>
      </c>
      <c r="AD212" t="s">
        <v>19</v>
      </c>
      <c r="AE212" t="s">
        <v>61</v>
      </c>
      <c r="AF212" t="s">
        <v>22</v>
      </c>
      <c r="AG212" t="s">
        <v>22</v>
      </c>
      <c r="AH212" t="s">
        <v>22</v>
      </c>
      <c r="AI212" t="s">
        <v>22</v>
      </c>
      <c r="AJ212" t="s">
        <v>162</v>
      </c>
      <c r="AK212" t="s">
        <v>1206</v>
      </c>
    </row>
    <row r="213" spans="1:37" ht="11.25" customHeight="1">
      <c r="A213" t="s">
        <v>22</v>
      </c>
      <c r="B213" t="s">
        <v>48</v>
      </c>
      <c r="C213" t="s">
        <v>50</v>
      </c>
      <c r="D213" t="s">
        <v>22</v>
      </c>
      <c r="E213" t="s">
        <v>5100</v>
      </c>
      <c r="F213" t="s">
        <v>4972</v>
      </c>
      <c r="G213" t="s">
        <v>106</v>
      </c>
      <c r="H213" t="s">
        <v>106</v>
      </c>
      <c r="I213" t="s">
        <v>107</v>
      </c>
      <c r="J213" t="s">
        <v>5101</v>
      </c>
      <c r="K213" t="s">
        <v>5102</v>
      </c>
      <c r="L213" t="s">
        <v>5103</v>
      </c>
      <c r="M213" t="s">
        <v>1015</v>
      </c>
      <c r="N213" t="s">
        <v>114</v>
      </c>
      <c r="O213" t="s">
        <v>106</v>
      </c>
      <c r="P213" t="s">
        <v>106</v>
      </c>
      <c r="Q213" t="s">
        <v>107</v>
      </c>
      <c r="R213" t="s">
        <v>5101</v>
      </c>
      <c r="S213" t="s">
        <v>5102</v>
      </c>
      <c r="T213" t="s">
        <v>4467</v>
      </c>
      <c r="U213" t="s">
        <v>4468</v>
      </c>
      <c r="V213" t="s">
        <v>4469</v>
      </c>
      <c r="W213" t="s">
        <v>4470</v>
      </c>
      <c r="X213" t="s">
        <v>4471</v>
      </c>
      <c r="Y213" t="s">
        <v>4468</v>
      </c>
      <c r="Z213" t="s">
        <v>1015</v>
      </c>
      <c r="AA213" t="s">
        <v>4472</v>
      </c>
      <c r="AB213" t="s">
        <v>4469</v>
      </c>
      <c r="AC213" t="s">
        <v>19</v>
      </c>
      <c r="AD213" t="s">
        <v>19</v>
      </c>
      <c r="AE213" t="s">
        <v>61</v>
      </c>
      <c r="AF213" t="s">
        <v>22</v>
      </c>
      <c r="AG213" t="s">
        <v>22</v>
      </c>
      <c r="AH213" t="s">
        <v>22</v>
      </c>
      <c r="AI213" t="s">
        <v>22</v>
      </c>
      <c r="AJ213" t="s">
        <v>90</v>
      </c>
      <c r="AK213" t="s">
        <v>1200</v>
      </c>
    </row>
    <row r="214" spans="1:37" ht="11.25" customHeight="1">
      <c r="A214" t="s">
        <v>22</v>
      </c>
      <c r="B214" t="s">
        <v>48</v>
      </c>
      <c r="C214" t="s">
        <v>50</v>
      </c>
      <c r="D214" t="s">
        <v>22</v>
      </c>
      <c r="E214" t="s">
        <v>5104</v>
      </c>
      <c r="F214" t="s">
        <v>4972</v>
      </c>
      <c r="G214" t="s">
        <v>106</v>
      </c>
      <c r="H214" t="s">
        <v>106</v>
      </c>
      <c r="I214" t="s">
        <v>107</v>
      </c>
      <c r="J214" t="s">
        <v>4484</v>
      </c>
      <c r="K214" t="s">
        <v>4485</v>
      </c>
      <c r="L214" t="s">
        <v>5105</v>
      </c>
      <c r="M214" t="s">
        <v>1015</v>
      </c>
      <c r="N214" t="s">
        <v>114</v>
      </c>
      <c r="O214" t="s">
        <v>106</v>
      </c>
      <c r="P214" t="s">
        <v>106</v>
      </c>
      <c r="Q214" t="s">
        <v>107</v>
      </c>
      <c r="R214" t="s">
        <v>4484</v>
      </c>
      <c r="S214" t="s">
        <v>4485</v>
      </c>
      <c r="T214" t="s">
        <v>4467</v>
      </c>
      <c r="U214" t="s">
        <v>4468</v>
      </c>
      <c r="V214" t="s">
        <v>4469</v>
      </c>
      <c r="W214" t="s">
        <v>4470</v>
      </c>
      <c r="X214" t="s">
        <v>4471</v>
      </c>
      <c r="Y214" t="s">
        <v>4468</v>
      </c>
      <c r="Z214" t="s">
        <v>1015</v>
      </c>
      <c r="AA214" t="s">
        <v>4472</v>
      </c>
      <c r="AB214" t="s">
        <v>4469</v>
      </c>
      <c r="AC214" t="s">
        <v>19</v>
      </c>
      <c r="AD214" t="s">
        <v>19</v>
      </c>
      <c r="AE214" t="s">
        <v>61</v>
      </c>
      <c r="AF214" t="s">
        <v>22</v>
      </c>
      <c r="AG214" t="s">
        <v>22</v>
      </c>
      <c r="AH214" t="s">
        <v>22</v>
      </c>
      <c r="AI214" t="s">
        <v>22</v>
      </c>
      <c r="AJ214" t="s">
        <v>1173</v>
      </c>
      <c r="AK214" t="s">
        <v>5106</v>
      </c>
    </row>
    <row r="215" spans="1:37" ht="11.25" customHeight="1">
      <c r="A215" t="s">
        <v>22</v>
      </c>
      <c r="B215" t="s">
        <v>48</v>
      </c>
      <c r="C215" t="s">
        <v>50</v>
      </c>
      <c r="D215" t="s">
        <v>22</v>
      </c>
      <c r="E215" t="s">
        <v>5107</v>
      </c>
      <c r="F215" t="s">
        <v>4972</v>
      </c>
      <c r="G215" t="s">
        <v>106</v>
      </c>
      <c r="H215" t="s">
        <v>106</v>
      </c>
      <c r="I215" t="s">
        <v>107</v>
      </c>
      <c r="J215" t="s">
        <v>4514</v>
      </c>
      <c r="K215" t="s">
        <v>4515</v>
      </c>
      <c r="L215" t="s">
        <v>4516</v>
      </c>
      <c r="M215" t="s">
        <v>1015</v>
      </c>
      <c r="N215" t="s">
        <v>114</v>
      </c>
      <c r="O215" t="s">
        <v>106</v>
      </c>
      <c r="P215" t="s">
        <v>106</v>
      </c>
      <c r="Q215" t="s">
        <v>107</v>
      </c>
      <c r="R215" t="s">
        <v>4514</v>
      </c>
      <c r="S215" t="s">
        <v>4515</v>
      </c>
      <c r="T215" t="s">
        <v>4467</v>
      </c>
      <c r="U215" t="s">
        <v>4468</v>
      </c>
      <c r="V215" t="s">
        <v>4469</v>
      </c>
      <c r="W215" t="s">
        <v>4470</v>
      </c>
      <c r="X215" t="s">
        <v>4471</v>
      </c>
      <c r="Y215" t="s">
        <v>4468</v>
      </c>
      <c r="Z215" t="s">
        <v>1015</v>
      </c>
      <c r="AA215" t="s">
        <v>4472</v>
      </c>
      <c r="AB215" t="s">
        <v>4469</v>
      </c>
      <c r="AC215" t="s">
        <v>19</v>
      </c>
      <c r="AD215" t="s">
        <v>19</v>
      </c>
      <c r="AE215" t="s">
        <v>61</v>
      </c>
      <c r="AF215" t="s">
        <v>22</v>
      </c>
      <c r="AG215" t="s">
        <v>22</v>
      </c>
      <c r="AH215" t="s">
        <v>22</v>
      </c>
      <c r="AI215" t="s">
        <v>22</v>
      </c>
      <c r="AJ215" t="s">
        <v>5108</v>
      </c>
      <c r="AK215" t="s">
        <v>1770</v>
      </c>
    </row>
    <row r="216" spans="1:37" ht="11.25" customHeight="1">
      <c r="A216" t="s">
        <v>22</v>
      </c>
      <c r="B216" t="s">
        <v>48</v>
      </c>
      <c r="C216" t="s">
        <v>50</v>
      </c>
      <c r="D216" t="s">
        <v>22</v>
      </c>
      <c r="E216" t="s">
        <v>5109</v>
      </c>
      <c r="F216" t="s">
        <v>4972</v>
      </c>
      <c r="G216" t="s">
        <v>106</v>
      </c>
      <c r="H216" t="s">
        <v>106</v>
      </c>
      <c r="I216" t="s">
        <v>107</v>
      </c>
      <c r="J216" t="s">
        <v>4478</v>
      </c>
      <c r="K216" t="s">
        <v>4479</v>
      </c>
      <c r="L216" t="s">
        <v>5110</v>
      </c>
      <c r="M216" t="s">
        <v>786</v>
      </c>
      <c r="N216" t="s">
        <v>114</v>
      </c>
      <c r="O216" t="s">
        <v>106</v>
      </c>
      <c r="P216" t="s">
        <v>106</v>
      </c>
      <c r="Q216" t="s">
        <v>107</v>
      </c>
      <c r="R216" t="s">
        <v>4478</v>
      </c>
      <c r="S216" t="s">
        <v>4479</v>
      </c>
      <c r="T216" t="s">
        <v>4732</v>
      </c>
      <c r="U216" t="s">
        <v>4660</v>
      </c>
      <c r="V216" t="s">
        <v>5111</v>
      </c>
      <c r="W216" t="s">
        <v>4470</v>
      </c>
      <c r="X216" t="s">
        <v>4734</v>
      </c>
      <c r="Y216" t="s">
        <v>4735</v>
      </c>
      <c r="Z216" t="s">
        <v>1015</v>
      </c>
      <c r="AA216" t="s">
        <v>5112</v>
      </c>
      <c r="AB216" t="s">
        <v>5111</v>
      </c>
      <c r="AC216" t="s">
        <v>19</v>
      </c>
      <c r="AD216" t="s">
        <v>19</v>
      </c>
      <c r="AE216" t="s">
        <v>61</v>
      </c>
      <c r="AF216" t="s">
        <v>22</v>
      </c>
      <c r="AG216" t="s">
        <v>22</v>
      </c>
      <c r="AH216" t="s">
        <v>22</v>
      </c>
      <c r="AI216" t="s">
        <v>22</v>
      </c>
      <c r="AJ216" t="s">
        <v>4481</v>
      </c>
      <c r="AK216" t="s">
        <v>102</v>
      </c>
    </row>
    <row r="217" spans="1:37" ht="11.25" customHeight="1">
      <c r="A217" t="s">
        <v>22</v>
      </c>
      <c r="B217" t="s">
        <v>48</v>
      </c>
      <c r="C217" t="s">
        <v>50</v>
      </c>
      <c r="D217" t="s">
        <v>22</v>
      </c>
      <c r="E217" t="s">
        <v>5113</v>
      </c>
      <c r="F217" t="s">
        <v>4972</v>
      </c>
      <c r="G217" t="s">
        <v>106</v>
      </c>
      <c r="H217" t="s">
        <v>106</v>
      </c>
      <c r="I217" t="s">
        <v>107</v>
      </c>
      <c r="J217" t="s">
        <v>5114</v>
      </c>
      <c r="K217" t="s">
        <v>5115</v>
      </c>
      <c r="L217" t="s">
        <v>5116</v>
      </c>
      <c r="M217" t="s">
        <v>786</v>
      </c>
      <c r="N217" t="s">
        <v>114</v>
      </c>
      <c r="O217" t="s">
        <v>106</v>
      </c>
      <c r="P217" t="s">
        <v>106</v>
      </c>
      <c r="Q217" t="s">
        <v>107</v>
      </c>
      <c r="R217" t="s">
        <v>5114</v>
      </c>
      <c r="S217" t="s">
        <v>5115</v>
      </c>
      <c r="T217" t="s">
        <v>4732</v>
      </c>
      <c r="U217" t="s">
        <v>4660</v>
      </c>
      <c r="V217" t="s">
        <v>5117</v>
      </c>
      <c r="W217" t="s">
        <v>4470</v>
      </c>
      <c r="X217" t="s">
        <v>4734</v>
      </c>
      <c r="Y217" t="s">
        <v>4735</v>
      </c>
      <c r="Z217" t="s">
        <v>1015</v>
      </c>
      <c r="AA217" t="s">
        <v>5118</v>
      </c>
      <c r="AB217" t="s">
        <v>5117</v>
      </c>
      <c r="AC217" t="s">
        <v>19</v>
      </c>
      <c r="AD217" t="s">
        <v>19</v>
      </c>
      <c r="AE217" t="s">
        <v>61</v>
      </c>
      <c r="AF217" t="s">
        <v>22</v>
      </c>
      <c r="AG217" t="s">
        <v>22</v>
      </c>
      <c r="AH217" t="s">
        <v>22</v>
      </c>
      <c r="AI217" t="s">
        <v>22</v>
      </c>
      <c r="AJ217" t="s">
        <v>4481</v>
      </c>
      <c r="AK217" t="s">
        <v>102</v>
      </c>
    </row>
    <row r="218" spans="1:37" ht="11.25" customHeight="1">
      <c r="A218" t="s">
        <v>22</v>
      </c>
      <c r="B218" t="s">
        <v>48</v>
      </c>
      <c r="C218" t="s">
        <v>50</v>
      </c>
      <c r="D218" t="s">
        <v>22</v>
      </c>
      <c r="E218" t="s">
        <v>5119</v>
      </c>
      <c r="F218" t="s">
        <v>4972</v>
      </c>
      <c r="G218" t="s">
        <v>106</v>
      </c>
      <c r="H218" t="s">
        <v>106</v>
      </c>
      <c r="I218" t="s">
        <v>107</v>
      </c>
      <c r="J218" t="s">
        <v>5120</v>
      </c>
      <c r="K218" t="s">
        <v>5121</v>
      </c>
      <c r="L218" t="s">
        <v>5122</v>
      </c>
      <c r="M218" t="s">
        <v>786</v>
      </c>
      <c r="N218" t="s">
        <v>114</v>
      </c>
      <c r="O218" t="s">
        <v>106</v>
      </c>
      <c r="P218" t="s">
        <v>106</v>
      </c>
      <c r="Q218" t="s">
        <v>107</v>
      </c>
      <c r="R218" t="s">
        <v>5120</v>
      </c>
      <c r="S218" t="s">
        <v>5121</v>
      </c>
      <c r="T218" t="s">
        <v>4732</v>
      </c>
      <c r="U218" t="s">
        <v>4660</v>
      </c>
      <c r="V218" t="s">
        <v>5123</v>
      </c>
      <c r="W218" t="s">
        <v>4470</v>
      </c>
      <c r="X218" t="s">
        <v>4734</v>
      </c>
      <c r="Y218" t="s">
        <v>4735</v>
      </c>
      <c r="Z218" t="s">
        <v>1015</v>
      </c>
      <c r="AA218" t="s">
        <v>5124</v>
      </c>
      <c r="AB218" t="s">
        <v>5123</v>
      </c>
      <c r="AC218" t="s">
        <v>19</v>
      </c>
      <c r="AD218" t="s">
        <v>19</v>
      </c>
      <c r="AE218" t="s">
        <v>61</v>
      </c>
      <c r="AF218" t="s">
        <v>22</v>
      </c>
      <c r="AG218" t="s">
        <v>22</v>
      </c>
      <c r="AH218" t="s">
        <v>22</v>
      </c>
      <c r="AI218" t="s">
        <v>22</v>
      </c>
      <c r="AJ218" t="s">
        <v>4481</v>
      </c>
      <c r="AK218" t="s">
        <v>102</v>
      </c>
    </row>
    <row r="219" spans="1:37" ht="11.25" customHeight="1">
      <c r="A219" t="s">
        <v>22</v>
      </c>
      <c r="B219" t="s">
        <v>48</v>
      </c>
      <c r="C219" t="s">
        <v>50</v>
      </c>
      <c r="D219" t="s">
        <v>22</v>
      </c>
      <c r="E219" t="s">
        <v>5125</v>
      </c>
      <c r="F219" t="s">
        <v>4972</v>
      </c>
      <c r="G219" t="s">
        <v>106</v>
      </c>
      <c r="H219" t="s">
        <v>106</v>
      </c>
      <c r="I219" t="s">
        <v>107</v>
      </c>
      <c r="J219" t="s">
        <v>4492</v>
      </c>
      <c r="K219" t="s">
        <v>4493</v>
      </c>
      <c r="L219" t="s">
        <v>5126</v>
      </c>
      <c r="M219" t="s">
        <v>1015</v>
      </c>
      <c r="N219" t="s">
        <v>114</v>
      </c>
      <c r="O219" t="s">
        <v>106</v>
      </c>
      <c r="P219" t="s">
        <v>106</v>
      </c>
      <c r="Q219" t="s">
        <v>107</v>
      </c>
      <c r="R219" t="s">
        <v>4492</v>
      </c>
      <c r="S219" t="s">
        <v>4493</v>
      </c>
      <c r="T219" t="s">
        <v>4467</v>
      </c>
      <c r="U219" t="s">
        <v>4468</v>
      </c>
      <c r="V219" t="s">
        <v>4469</v>
      </c>
      <c r="W219" t="s">
        <v>4470</v>
      </c>
      <c r="X219" t="s">
        <v>4471</v>
      </c>
      <c r="Y219" t="s">
        <v>4468</v>
      </c>
      <c r="Z219" t="s">
        <v>1015</v>
      </c>
      <c r="AA219" t="s">
        <v>4472</v>
      </c>
      <c r="AB219" t="s">
        <v>4469</v>
      </c>
      <c r="AC219" t="s">
        <v>19</v>
      </c>
      <c r="AD219" t="s">
        <v>19</v>
      </c>
      <c r="AE219" t="s">
        <v>61</v>
      </c>
      <c r="AF219" t="s">
        <v>22</v>
      </c>
      <c r="AG219" t="s">
        <v>22</v>
      </c>
      <c r="AH219" t="s">
        <v>22</v>
      </c>
      <c r="AI219" t="s">
        <v>22</v>
      </c>
      <c r="AJ219" t="s">
        <v>4495</v>
      </c>
      <c r="AK219" t="s">
        <v>102</v>
      </c>
    </row>
    <row r="220" spans="1:37" ht="11.25" customHeight="1">
      <c r="A220" t="s">
        <v>22</v>
      </c>
      <c r="B220" t="s">
        <v>48</v>
      </c>
      <c r="C220" t="s">
        <v>50</v>
      </c>
      <c r="D220" t="s">
        <v>22</v>
      </c>
      <c r="E220" t="s">
        <v>5127</v>
      </c>
      <c r="F220" t="s">
        <v>4972</v>
      </c>
      <c r="G220" t="s">
        <v>106</v>
      </c>
      <c r="H220" t="s">
        <v>106</v>
      </c>
      <c r="I220" t="s">
        <v>107</v>
      </c>
      <c r="J220" t="s">
        <v>5128</v>
      </c>
      <c r="K220" t="s">
        <v>5129</v>
      </c>
      <c r="L220" t="s">
        <v>5130</v>
      </c>
      <c r="M220" t="s">
        <v>786</v>
      </c>
      <c r="N220" t="s">
        <v>114</v>
      </c>
      <c r="O220" t="s">
        <v>106</v>
      </c>
      <c r="P220" t="s">
        <v>106</v>
      </c>
      <c r="Q220" t="s">
        <v>107</v>
      </c>
      <c r="R220" t="s">
        <v>5128</v>
      </c>
      <c r="S220" t="s">
        <v>5129</v>
      </c>
      <c r="T220" t="s">
        <v>4732</v>
      </c>
      <c r="U220" t="s">
        <v>4660</v>
      </c>
      <c r="V220" t="s">
        <v>5131</v>
      </c>
      <c r="W220" t="s">
        <v>4470</v>
      </c>
      <c r="X220" t="s">
        <v>4734</v>
      </c>
      <c r="Y220" t="s">
        <v>4735</v>
      </c>
      <c r="Z220" t="s">
        <v>1015</v>
      </c>
      <c r="AA220" t="s">
        <v>5132</v>
      </c>
      <c r="AB220" t="s">
        <v>5131</v>
      </c>
      <c r="AC220" t="s">
        <v>19</v>
      </c>
      <c r="AD220" t="s">
        <v>19</v>
      </c>
      <c r="AE220" t="s">
        <v>61</v>
      </c>
      <c r="AF220" t="s">
        <v>22</v>
      </c>
      <c r="AG220" t="s">
        <v>22</v>
      </c>
      <c r="AH220" t="s">
        <v>22</v>
      </c>
      <c r="AI220" t="s">
        <v>22</v>
      </c>
      <c r="AJ220" t="s">
        <v>4899</v>
      </c>
      <c r="AK220" t="s">
        <v>5026</v>
      </c>
    </row>
    <row r="221" spans="1:37" ht="11.25" customHeight="1">
      <c r="A221" t="s">
        <v>22</v>
      </c>
      <c r="B221" t="s">
        <v>48</v>
      </c>
      <c r="C221" t="s">
        <v>50</v>
      </c>
      <c r="D221" t="s">
        <v>22</v>
      </c>
      <c r="E221" t="s">
        <v>5133</v>
      </c>
      <c r="F221" t="s">
        <v>4972</v>
      </c>
      <c r="G221" t="s">
        <v>106</v>
      </c>
      <c r="H221" t="s">
        <v>106</v>
      </c>
      <c r="I221" t="s">
        <v>107</v>
      </c>
      <c r="J221" t="s">
        <v>4502</v>
      </c>
      <c r="K221" t="s">
        <v>4503</v>
      </c>
      <c r="L221" t="s">
        <v>4504</v>
      </c>
      <c r="M221" t="s">
        <v>786</v>
      </c>
      <c r="N221" t="s">
        <v>114</v>
      </c>
      <c r="O221" t="s">
        <v>106</v>
      </c>
      <c r="P221" t="s">
        <v>106</v>
      </c>
      <c r="Q221" t="s">
        <v>107</v>
      </c>
      <c r="R221" t="s">
        <v>4502</v>
      </c>
      <c r="S221" t="s">
        <v>4503</v>
      </c>
      <c r="T221" t="s">
        <v>4732</v>
      </c>
      <c r="U221" t="s">
        <v>4660</v>
      </c>
      <c r="V221" t="s">
        <v>5134</v>
      </c>
      <c r="W221" t="s">
        <v>4470</v>
      </c>
      <c r="X221" t="s">
        <v>4734</v>
      </c>
      <c r="Y221" t="s">
        <v>4735</v>
      </c>
      <c r="Z221" t="s">
        <v>1015</v>
      </c>
      <c r="AA221" t="s">
        <v>5135</v>
      </c>
      <c r="AB221" t="s">
        <v>5134</v>
      </c>
      <c r="AC221" t="s">
        <v>19</v>
      </c>
      <c r="AD221" t="s">
        <v>19</v>
      </c>
      <c r="AE221" t="s">
        <v>61</v>
      </c>
      <c r="AF221" t="s">
        <v>22</v>
      </c>
      <c r="AG221" t="s">
        <v>22</v>
      </c>
      <c r="AH221" t="s">
        <v>22</v>
      </c>
      <c r="AI221" t="s">
        <v>22</v>
      </c>
      <c r="AJ221" t="s">
        <v>4481</v>
      </c>
      <c r="AK221" t="s">
        <v>4482</v>
      </c>
    </row>
    <row r="222" spans="1:37" ht="11.25" customHeight="1">
      <c r="A222" t="s">
        <v>22</v>
      </c>
      <c r="B222" t="s">
        <v>48</v>
      </c>
      <c r="C222" t="s">
        <v>50</v>
      </c>
      <c r="D222" t="s">
        <v>22</v>
      </c>
      <c r="E222" t="s">
        <v>5136</v>
      </c>
      <c r="F222" t="s">
        <v>4972</v>
      </c>
      <c r="G222" t="s">
        <v>106</v>
      </c>
      <c r="H222" t="s">
        <v>106</v>
      </c>
      <c r="I222" t="s">
        <v>107</v>
      </c>
      <c r="J222" t="s">
        <v>5137</v>
      </c>
      <c r="K222" t="s">
        <v>5138</v>
      </c>
      <c r="L222" t="s">
        <v>5139</v>
      </c>
      <c r="M222" t="s">
        <v>786</v>
      </c>
      <c r="N222" t="s">
        <v>114</v>
      </c>
      <c r="O222" t="s">
        <v>106</v>
      </c>
      <c r="P222" t="s">
        <v>106</v>
      </c>
      <c r="Q222" t="s">
        <v>107</v>
      </c>
      <c r="R222" t="s">
        <v>5137</v>
      </c>
      <c r="S222" t="s">
        <v>5138</v>
      </c>
      <c r="T222" t="s">
        <v>4732</v>
      </c>
      <c r="U222" t="s">
        <v>4660</v>
      </c>
      <c r="V222" t="s">
        <v>5140</v>
      </c>
      <c r="W222" t="s">
        <v>4470</v>
      </c>
      <c r="X222" t="s">
        <v>4734</v>
      </c>
      <c r="Y222" t="s">
        <v>4735</v>
      </c>
      <c r="Z222" t="s">
        <v>1015</v>
      </c>
      <c r="AA222" t="s">
        <v>5132</v>
      </c>
      <c r="AB222" t="s">
        <v>5140</v>
      </c>
      <c r="AC222" t="s">
        <v>19</v>
      </c>
      <c r="AD222" t="s">
        <v>19</v>
      </c>
      <c r="AE222" t="s">
        <v>61</v>
      </c>
      <c r="AF222" t="s">
        <v>22</v>
      </c>
      <c r="AG222" t="s">
        <v>22</v>
      </c>
      <c r="AH222" t="s">
        <v>22</v>
      </c>
      <c r="AI222" t="s">
        <v>22</v>
      </c>
      <c r="AJ222" t="s">
        <v>4481</v>
      </c>
      <c r="AK222" t="s">
        <v>5026</v>
      </c>
    </row>
    <row r="223" spans="1:37" ht="11.25" customHeight="1">
      <c r="A223" t="s">
        <v>22</v>
      </c>
      <c r="B223" t="s">
        <v>48</v>
      </c>
      <c r="C223" t="s">
        <v>50</v>
      </c>
      <c r="D223" t="s">
        <v>22</v>
      </c>
      <c r="E223" t="s">
        <v>5141</v>
      </c>
      <c r="F223" t="s">
        <v>4972</v>
      </c>
      <c r="G223" t="s">
        <v>99</v>
      </c>
      <c r="H223" t="s">
        <v>99</v>
      </c>
      <c r="I223" t="s">
        <v>100</v>
      </c>
      <c r="J223" t="s">
        <v>1059</v>
      </c>
      <c r="K223" t="s">
        <v>1060</v>
      </c>
      <c r="L223" t="s">
        <v>5142</v>
      </c>
      <c r="M223" t="s">
        <v>1015</v>
      </c>
      <c r="N223" t="s">
        <v>114</v>
      </c>
      <c r="O223" t="s">
        <v>4520</v>
      </c>
      <c r="P223" t="s">
        <v>4520</v>
      </c>
      <c r="Q223" t="s">
        <v>100</v>
      </c>
      <c r="R223" t="s">
        <v>1059</v>
      </c>
      <c r="S223" t="s">
        <v>1060</v>
      </c>
      <c r="T223" t="s">
        <v>4467</v>
      </c>
      <c r="U223" t="s">
        <v>4468</v>
      </c>
      <c r="V223" t="s">
        <v>5143</v>
      </c>
      <c r="W223" t="s">
        <v>4470</v>
      </c>
      <c r="X223" t="s">
        <v>4471</v>
      </c>
      <c r="Y223" t="s">
        <v>4468</v>
      </c>
      <c r="Z223" t="s">
        <v>1015</v>
      </c>
      <c r="AA223" t="s">
        <v>4522</v>
      </c>
      <c r="AB223" t="s">
        <v>5143</v>
      </c>
      <c r="AC223" t="s">
        <v>19</v>
      </c>
      <c r="AD223" t="s">
        <v>19</v>
      </c>
      <c r="AE223" t="s">
        <v>61</v>
      </c>
      <c r="AF223" t="s">
        <v>22</v>
      </c>
      <c r="AG223" t="s">
        <v>22</v>
      </c>
      <c r="AH223" t="s">
        <v>22</v>
      </c>
      <c r="AI223" t="s">
        <v>22</v>
      </c>
      <c r="AJ223" t="s">
        <v>5144</v>
      </c>
      <c r="AK223" t="s">
        <v>5145</v>
      </c>
    </row>
    <row r="224" spans="1:37" ht="11.25" customHeight="1">
      <c r="A224" t="s">
        <v>22</v>
      </c>
      <c r="B224" t="s">
        <v>48</v>
      </c>
      <c r="C224" t="s">
        <v>50</v>
      </c>
      <c r="D224" t="s">
        <v>22</v>
      </c>
      <c r="E224" t="s">
        <v>5146</v>
      </c>
      <c r="F224" t="s">
        <v>4972</v>
      </c>
      <c r="G224" t="s">
        <v>99</v>
      </c>
      <c r="H224" t="s">
        <v>99</v>
      </c>
      <c r="I224" t="s">
        <v>100</v>
      </c>
      <c r="J224" t="s">
        <v>1059</v>
      </c>
      <c r="K224" t="s">
        <v>1060</v>
      </c>
      <c r="L224" t="s">
        <v>5147</v>
      </c>
      <c r="M224" t="s">
        <v>1015</v>
      </c>
      <c r="N224" t="s">
        <v>114</v>
      </c>
      <c r="O224" t="s">
        <v>4520</v>
      </c>
      <c r="P224" t="s">
        <v>4520</v>
      </c>
      <c r="Q224" t="s">
        <v>100</v>
      </c>
      <c r="R224" t="s">
        <v>1059</v>
      </c>
      <c r="S224" t="s">
        <v>1060</v>
      </c>
      <c r="T224" t="s">
        <v>4467</v>
      </c>
      <c r="U224" t="s">
        <v>4468</v>
      </c>
      <c r="V224" t="s">
        <v>5080</v>
      </c>
      <c r="W224" t="s">
        <v>4470</v>
      </c>
      <c r="X224" t="s">
        <v>4471</v>
      </c>
      <c r="Y224" t="s">
        <v>4468</v>
      </c>
      <c r="Z224" t="s">
        <v>1015</v>
      </c>
      <c r="AA224" t="s">
        <v>4522</v>
      </c>
      <c r="AB224" t="s">
        <v>5080</v>
      </c>
      <c r="AC224" t="s">
        <v>19</v>
      </c>
      <c r="AD224" t="s">
        <v>19</v>
      </c>
      <c r="AE224" t="s">
        <v>61</v>
      </c>
      <c r="AF224" t="s">
        <v>22</v>
      </c>
      <c r="AG224" t="s">
        <v>22</v>
      </c>
      <c r="AH224" t="s">
        <v>22</v>
      </c>
      <c r="AI224" t="s">
        <v>22</v>
      </c>
      <c r="AJ224" t="s">
        <v>5148</v>
      </c>
      <c r="AK224" t="s">
        <v>5149</v>
      </c>
    </row>
    <row r="225" spans="1:37" ht="11.25" customHeight="1">
      <c r="A225" t="s">
        <v>22</v>
      </c>
      <c r="B225" t="s">
        <v>48</v>
      </c>
      <c r="C225" t="s">
        <v>50</v>
      </c>
      <c r="D225" t="s">
        <v>22</v>
      </c>
      <c r="E225" t="s">
        <v>5150</v>
      </c>
      <c r="F225" t="s">
        <v>4972</v>
      </c>
      <c r="G225" t="s">
        <v>106</v>
      </c>
      <c r="H225" t="s">
        <v>106</v>
      </c>
      <c r="I225" t="s">
        <v>107</v>
      </c>
      <c r="J225" t="s">
        <v>4987</v>
      </c>
      <c r="K225" t="s">
        <v>4988</v>
      </c>
      <c r="L225" t="s">
        <v>5033</v>
      </c>
      <c r="M225" t="s">
        <v>1015</v>
      </c>
      <c r="N225" t="s">
        <v>114</v>
      </c>
      <c r="O225" t="s">
        <v>106</v>
      </c>
      <c r="P225" t="s">
        <v>106</v>
      </c>
      <c r="Q225" t="s">
        <v>107</v>
      </c>
      <c r="R225" t="s">
        <v>4987</v>
      </c>
      <c r="S225" t="s">
        <v>4988</v>
      </c>
      <c r="T225" t="s">
        <v>4467</v>
      </c>
      <c r="U225" t="s">
        <v>4468</v>
      </c>
      <c r="V225" t="s">
        <v>4469</v>
      </c>
      <c r="W225" t="s">
        <v>4470</v>
      </c>
      <c r="X225" t="s">
        <v>4471</v>
      </c>
      <c r="Y225" t="s">
        <v>4468</v>
      </c>
      <c r="Z225" t="s">
        <v>1015</v>
      </c>
      <c r="AA225" t="s">
        <v>4472</v>
      </c>
      <c r="AB225" t="s">
        <v>4469</v>
      </c>
      <c r="AC225" t="s">
        <v>19</v>
      </c>
      <c r="AD225" t="s">
        <v>19</v>
      </c>
      <c r="AE225" t="s">
        <v>61</v>
      </c>
      <c r="AF225" t="s">
        <v>22</v>
      </c>
      <c r="AG225" t="s">
        <v>22</v>
      </c>
      <c r="AH225" t="s">
        <v>22</v>
      </c>
      <c r="AI225" t="s">
        <v>22</v>
      </c>
      <c r="AJ225" t="s">
        <v>5036</v>
      </c>
      <c r="AK225" t="s">
        <v>5037</v>
      </c>
    </row>
    <row r="226" spans="1:37" ht="11.25" customHeight="1">
      <c r="A226" t="s">
        <v>22</v>
      </c>
      <c r="B226" t="s">
        <v>48</v>
      </c>
      <c r="C226" t="s">
        <v>50</v>
      </c>
      <c r="D226" t="s">
        <v>22</v>
      </c>
      <c r="E226" t="s">
        <v>5151</v>
      </c>
      <c r="F226" t="s">
        <v>4972</v>
      </c>
      <c r="G226" t="s">
        <v>106</v>
      </c>
      <c r="H226" t="s">
        <v>106</v>
      </c>
      <c r="I226" t="s">
        <v>107</v>
      </c>
      <c r="J226" t="s">
        <v>5152</v>
      </c>
      <c r="K226" t="s">
        <v>5153</v>
      </c>
      <c r="L226" t="s">
        <v>5154</v>
      </c>
      <c r="M226" t="s">
        <v>1015</v>
      </c>
      <c r="N226" t="s">
        <v>114</v>
      </c>
      <c r="O226" t="s">
        <v>106</v>
      </c>
      <c r="P226" t="s">
        <v>106</v>
      </c>
      <c r="Q226" t="s">
        <v>107</v>
      </c>
      <c r="R226" t="s">
        <v>5152</v>
      </c>
      <c r="S226" t="s">
        <v>5153</v>
      </c>
      <c r="T226" t="s">
        <v>4467</v>
      </c>
      <c r="U226" t="s">
        <v>4468</v>
      </c>
      <c r="V226" t="s">
        <v>4469</v>
      </c>
      <c r="W226" t="s">
        <v>4470</v>
      </c>
      <c r="X226" t="s">
        <v>4471</v>
      </c>
      <c r="Y226" t="s">
        <v>4468</v>
      </c>
      <c r="Z226" t="s">
        <v>1015</v>
      </c>
      <c r="AA226" t="s">
        <v>4472</v>
      </c>
      <c r="AB226" t="s">
        <v>4469</v>
      </c>
      <c r="AC226" t="s">
        <v>19</v>
      </c>
      <c r="AD226" t="s">
        <v>19</v>
      </c>
      <c r="AE226" t="s">
        <v>61</v>
      </c>
      <c r="AF226" t="s">
        <v>22</v>
      </c>
      <c r="AG226" t="s">
        <v>22</v>
      </c>
      <c r="AH226" t="s">
        <v>22</v>
      </c>
      <c r="AI226" t="s">
        <v>22</v>
      </c>
      <c r="AJ226" t="s">
        <v>4603</v>
      </c>
      <c r="AK226" t="s">
        <v>5155</v>
      </c>
    </row>
    <row r="227" spans="1:37" ht="11.25" customHeight="1">
      <c r="A227" t="s">
        <v>22</v>
      </c>
      <c r="B227" t="s">
        <v>48</v>
      </c>
      <c r="C227" t="s">
        <v>50</v>
      </c>
      <c r="D227" t="s">
        <v>22</v>
      </c>
      <c r="E227" t="s">
        <v>5156</v>
      </c>
      <c r="F227" t="s">
        <v>4972</v>
      </c>
      <c r="G227" t="s">
        <v>106</v>
      </c>
      <c r="H227" t="s">
        <v>106</v>
      </c>
      <c r="I227" t="s">
        <v>107</v>
      </c>
      <c r="J227" t="s">
        <v>5157</v>
      </c>
      <c r="K227" t="s">
        <v>5158</v>
      </c>
      <c r="L227" t="s">
        <v>5159</v>
      </c>
      <c r="M227" t="s">
        <v>1015</v>
      </c>
      <c r="N227" t="s">
        <v>114</v>
      </c>
      <c r="O227" t="s">
        <v>106</v>
      </c>
      <c r="P227" t="s">
        <v>106</v>
      </c>
      <c r="Q227" t="s">
        <v>107</v>
      </c>
      <c r="R227" t="s">
        <v>5157</v>
      </c>
      <c r="S227" t="s">
        <v>5158</v>
      </c>
      <c r="T227" t="s">
        <v>4467</v>
      </c>
      <c r="U227" t="s">
        <v>4468</v>
      </c>
      <c r="V227" t="s">
        <v>4469</v>
      </c>
      <c r="W227" t="s">
        <v>4470</v>
      </c>
      <c r="X227" t="s">
        <v>4471</v>
      </c>
      <c r="Y227" t="s">
        <v>4468</v>
      </c>
      <c r="Z227" t="s">
        <v>1015</v>
      </c>
      <c r="AA227" t="s">
        <v>4472</v>
      </c>
      <c r="AB227" t="s">
        <v>4469</v>
      </c>
      <c r="AC227" t="s">
        <v>19</v>
      </c>
      <c r="AD227" t="s">
        <v>19</v>
      </c>
      <c r="AE227" t="s">
        <v>61</v>
      </c>
      <c r="AF227" t="s">
        <v>22</v>
      </c>
      <c r="AG227" t="s">
        <v>22</v>
      </c>
      <c r="AH227" t="s">
        <v>22</v>
      </c>
      <c r="AI227" t="s">
        <v>22</v>
      </c>
      <c r="AJ227" t="s">
        <v>4481</v>
      </c>
      <c r="AK227" t="s">
        <v>5160</v>
      </c>
    </row>
    <row r="228" spans="1:37" ht="11.25" customHeight="1">
      <c r="A228" t="s">
        <v>22</v>
      </c>
      <c r="B228" t="s">
        <v>48</v>
      </c>
      <c r="C228" t="s">
        <v>50</v>
      </c>
      <c r="D228" t="s">
        <v>22</v>
      </c>
      <c r="E228" t="s">
        <v>5161</v>
      </c>
      <c r="F228" t="s">
        <v>4972</v>
      </c>
      <c r="G228" t="s">
        <v>106</v>
      </c>
      <c r="H228" t="s">
        <v>106</v>
      </c>
      <c r="I228" t="s">
        <v>107</v>
      </c>
      <c r="J228" t="s">
        <v>4975</v>
      </c>
      <c r="K228" t="s">
        <v>4976</v>
      </c>
      <c r="L228" t="s">
        <v>5162</v>
      </c>
      <c r="M228" t="s">
        <v>1015</v>
      </c>
      <c r="N228" t="s">
        <v>114</v>
      </c>
      <c r="O228" t="s">
        <v>106</v>
      </c>
      <c r="P228" t="s">
        <v>106</v>
      </c>
      <c r="Q228" t="s">
        <v>107</v>
      </c>
      <c r="R228" t="s">
        <v>4975</v>
      </c>
      <c r="S228" t="s">
        <v>4976</v>
      </c>
      <c r="T228" t="s">
        <v>4467</v>
      </c>
      <c r="U228" t="s">
        <v>4468</v>
      </c>
      <c r="V228" t="s">
        <v>4469</v>
      </c>
      <c r="W228" t="s">
        <v>4470</v>
      </c>
      <c r="X228" t="s">
        <v>4471</v>
      </c>
      <c r="Y228" t="s">
        <v>4468</v>
      </c>
      <c r="Z228" t="s">
        <v>1015</v>
      </c>
      <c r="AA228" t="s">
        <v>4472</v>
      </c>
      <c r="AB228" t="s">
        <v>4469</v>
      </c>
      <c r="AC228" t="s">
        <v>19</v>
      </c>
      <c r="AD228" t="s">
        <v>19</v>
      </c>
      <c r="AE228" t="s">
        <v>61</v>
      </c>
      <c r="AF228" t="s">
        <v>22</v>
      </c>
      <c r="AG228" t="s">
        <v>22</v>
      </c>
      <c r="AH228" t="s">
        <v>22</v>
      </c>
      <c r="AI228" t="s">
        <v>22</v>
      </c>
      <c r="AJ228" t="s">
        <v>4532</v>
      </c>
      <c r="AK228" t="s">
        <v>5163</v>
      </c>
    </row>
    <row r="229" spans="1:37" ht="11.25" customHeight="1">
      <c r="A229" t="s">
        <v>22</v>
      </c>
      <c r="B229" t="s">
        <v>48</v>
      </c>
      <c r="C229" t="s">
        <v>50</v>
      </c>
      <c r="D229" t="s">
        <v>22</v>
      </c>
      <c r="E229" t="s">
        <v>5164</v>
      </c>
      <c r="F229" t="s">
        <v>4972</v>
      </c>
      <c r="G229" t="s">
        <v>106</v>
      </c>
      <c r="H229" t="s">
        <v>106</v>
      </c>
      <c r="I229" t="s">
        <v>107</v>
      </c>
      <c r="J229" t="s">
        <v>4913</v>
      </c>
      <c r="K229" t="s">
        <v>4914</v>
      </c>
      <c r="L229" t="s">
        <v>5165</v>
      </c>
      <c r="M229" t="s">
        <v>1015</v>
      </c>
      <c r="N229" t="s">
        <v>114</v>
      </c>
      <c r="O229" t="s">
        <v>106</v>
      </c>
      <c r="P229" t="s">
        <v>106</v>
      </c>
      <c r="Q229" t="s">
        <v>107</v>
      </c>
      <c r="R229" t="s">
        <v>4913</v>
      </c>
      <c r="S229" t="s">
        <v>4914</v>
      </c>
      <c r="T229" t="s">
        <v>4467</v>
      </c>
      <c r="U229" t="s">
        <v>4468</v>
      </c>
      <c r="V229" t="s">
        <v>4469</v>
      </c>
      <c r="W229" t="s">
        <v>4470</v>
      </c>
      <c r="X229" t="s">
        <v>4471</v>
      </c>
      <c r="Y229" t="s">
        <v>4468</v>
      </c>
      <c r="Z229" t="s">
        <v>1015</v>
      </c>
      <c r="AA229" t="s">
        <v>4472</v>
      </c>
      <c r="AB229" t="s">
        <v>4469</v>
      </c>
      <c r="AC229" t="s">
        <v>19</v>
      </c>
      <c r="AD229" t="s">
        <v>19</v>
      </c>
      <c r="AE229" t="s">
        <v>61</v>
      </c>
      <c r="AF229" t="s">
        <v>22</v>
      </c>
      <c r="AG229" t="s">
        <v>22</v>
      </c>
      <c r="AH229" t="s">
        <v>22</v>
      </c>
      <c r="AI229" t="s">
        <v>22</v>
      </c>
      <c r="AJ229" t="s">
        <v>1823</v>
      </c>
      <c r="AK229" t="s">
        <v>163</v>
      </c>
    </row>
    <row r="230" spans="1:37" ht="11.25" customHeight="1">
      <c r="A230" t="s">
        <v>22</v>
      </c>
      <c r="B230" t="s">
        <v>48</v>
      </c>
      <c r="C230" t="s">
        <v>50</v>
      </c>
      <c r="D230" t="s">
        <v>22</v>
      </c>
      <c r="E230" t="s">
        <v>5166</v>
      </c>
      <c r="F230" t="s">
        <v>4972</v>
      </c>
      <c r="G230" t="s">
        <v>106</v>
      </c>
      <c r="H230" t="s">
        <v>106</v>
      </c>
      <c r="I230" t="s">
        <v>107</v>
      </c>
      <c r="J230" t="s">
        <v>5019</v>
      </c>
      <c r="K230" t="s">
        <v>5020</v>
      </c>
      <c r="L230" t="s">
        <v>5167</v>
      </c>
      <c r="M230" t="s">
        <v>1015</v>
      </c>
      <c r="N230" t="s">
        <v>114</v>
      </c>
      <c r="O230" t="s">
        <v>106</v>
      </c>
      <c r="P230" t="s">
        <v>106</v>
      </c>
      <c r="Q230" t="s">
        <v>107</v>
      </c>
      <c r="R230" t="s">
        <v>5019</v>
      </c>
      <c r="S230" t="s">
        <v>5020</v>
      </c>
      <c r="T230" t="s">
        <v>4467</v>
      </c>
      <c r="U230" t="s">
        <v>4468</v>
      </c>
      <c r="V230" t="s">
        <v>4469</v>
      </c>
      <c r="W230" t="s">
        <v>4470</v>
      </c>
      <c r="X230" t="s">
        <v>4471</v>
      </c>
      <c r="Y230" t="s">
        <v>4468</v>
      </c>
      <c r="Z230" t="s">
        <v>1015</v>
      </c>
      <c r="AA230" t="s">
        <v>4472</v>
      </c>
      <c r="AB230" t="s">
        <v>4469</v>
      </c>
      <c r="AC230" t="s">
        <v>19</v>
      </c>
      <c r="AD230" t="s">
        <v>19</v>
      </c>
      <c r="AE230" t="s">
        <v>61</v>
      </c>
      <c r="AF230" t="s">
        <v>22</v>
      </c>
      <c r="AG230" t="s">
        <v>22</v>
      </c>
      <c r="AH230" t="s">
        <v>22</v>
      </c>
      <c r="AI230" t="s">
        <v>22</v>
      </c>
      <c r="AJ230" t="s">
        <v>4603</v>
      </c>
      <c r="AK230" t="s">
        <v>5155</v>
      </c>
    </row>
    <row r="231" spans="1:37" ht="11.25" customHeight="1">
      <c r="A231" t="s">
        <v>22</v>
      </c>
      <c r="B231" t="s">
        <v>48</v>
      </c>
      <c r="C231" t="s">
        <v>50</v>
      </c>
      <c r="D231" t="s">
        <v>22</v>
      </c>
      <c r="E231" t="s">
        <v>5168</v>
      </c>
      <c r="F231" t="s">
        <v>4972</v>
      </c>
      <c r="G231" t="s">
        <v>106</v>
      </c>
      <c r="H231" t="s">
        <v>106</v>
      </c>
      <c r="I231" t="s">
        <v>107</v>
      </c>
      <c r="J231" t="s">
        <v>4979</v>
      </c>
      <c r="K231" t="s">
        <v>4980</v>
      </c>
      <c r="L231" t="s">
        <v>5169</v>
      </c>
      <c r="M231" t="s">
        <v>1015</v>
      </c>
      <c r="N231" t="s">
        <v>114</v>
      </c>
      <c r="O231" t="s">
        <v>106</v>
      </c>
      <c r="P231" t="s">
        <v>106</v>
      </c>
      <c r="Q231" t="s">
        <v>107</v>
      </c>
      <c r="R231" t="s">
        <v>4979</v>
      </c>
      <c r="S231" t="s">
        <v>4980</v>
      </c>
      <c r="T231" t="s">
        <v>4467</v>
      </c>
      <c r="U231" t="s">
        <v>4468</v>
      </c>
      <c r="V231" t="s">
        <v>4469</v>
      </c>
      <c r="W231" t="s">
        <v>4470</v>
      </c>
      <c r="X231" t="s">
        <v>4471</v>
      </c>
      <c r="Y231" t="s">
        <v>4468</v>
      </c>
      <c r="Z231" t="s">
        <v>1015</v>
      </c>
      <c r="AA231" t="s">
        <v>4472</v>
      </c>
      <c r="AB231" t="s">
        <v>4469</v>
      </c>
      <c r="AC231" t="s">
        <v>19</v>
      </c>
      <c r="AD231" t="s">
        <v>19</v>
      </c>
      <c r="AE231" t="s">
        <v>61</v>
      </c>
      <c r="AF231" t="s">
        <v>22</v>
      </c>
      <c r="AG231" t="s">
        <v>22</v>
      </c>
      <c r="AH231" t="s">
        <v>22</v>
      </c>
      <c r="AI231" t="s">
        <v>22</v>
      </c>
      <c r="AJ231" t="s">
        <v>5170</v>
      </c>
      <c r="AK231" t="s">
        <v>1166</v>
      </c>
    </row>
    <row r="232" spans="1:37" ht="11.25" customHeight="1">
      <c r="A232" t="s">
        <v>22</v>
      </c>
      <c r="B232" t="s">
        <v>48</v>
      </c>
      <c r="C232" t="s">
        <v>50</v>
      </c>
      <c r="D232" t="s">
        <v>22</v>
      </c>
      <c r="E232" t="s">
        <v>5171</v>
      </c>
      <c r="F232" t="s">
        <v>4972</v>
      </c>
      <c r="G232" t="s">
        <v>106</v>
      </c>
      <c r="H232" t="s">
        <v>106</v>
      </c>
      <c r="I232" t="s">
        <v>107</v>
      </c>
      <c r="J232" t="s">
        <v>4871</v>
      </c>
      <c r="K232" t="s">
        <v>4872</v>
      </c>
      <c r="L232" t="s">
        <v>5172</v>
      </c>
      <c r="M232" t="s">
        <v>1015</v>
      </c>
      <c r="N232" t="s">
        <v>114</v>
      </c>
      <c r="O232" t="s">
        <v>106</v>
      </c>
      <c r="P232" t="s">
        <v>106</v>
      </c>
      <c r="Q232" t="s">
        <v>107</v>
      </c>
      <c r="R232" t="s">
        <v>4871</v>
      </c>
      <c r="S232" t="s">
        <v>4872</v>
      </c>
      <c r="T232" t="s">
        <v>4467</v>
      </c>
      <c r="U232" t="s">
        <v>4468</v>
      </c>
      <c r="V232" t="s">
        <v>4469</v>
      </c>
      <c r="W232" t="s">
        <v>4470</v>
      </c>
      <c r="X232" t="s">
        <v>4471</v>
      </c>
      <c r="Y232" t="s">
        <v>4468</v>
      </c>
      <c r="Z232" t="s">
        <v>1015</v>
      </c>
      <c r="AA232" t="s">
        <v>4472</v>
      </c>
      <c r="AB232" t="s">
        <v>4469</v>
      </c>
      <c r="AC232" t="s">
        <v>19</v>
      </c>
      <c r="AD232" t="s">
        <v>19</v>
      </c>
      <c r="AE232" t="s">
        <v>61</v>
      </c>
      <c r="AF232" t="s">
        <v>22</v>
      </c>
      <c r="AG232" t="s">
        <v>22</v>
      </c>
      <c r="AH232" t="s">
        <v>22</v>
      </c>
      <c r="AI232" t="s">
        <v>22</v>
      </c>
      <c r="AJ232" t="s">
        <v>1153</v>
      </c>
      <c r="AK232" t="s">
        <v>1206</v>
      </c>
    </row>
    <row r="233" spans="1:37" ht="11.25" customHeight="1">
      <c r="A233" t="s">
        <v>22</v>
      </c>
      <c r="B233" t="s">
        <v>48</v>
      </c>
      <c r="C233" t="s">
        <v>50</v>
      </c>
      <c r="D233" t="s">
        <v>22</v>
      </c>
      <c r="E233" t="s">
        <v>5173</v>
      </c>
      <c r="F233" t="s">
        <v>4972</v>
      </c>
      <c r="G233" t="s">
        <v>106</v>
      </c>
      <c r="H233" t="s">
        <v>106</v>
      </c>
      <c r="I233" t="s">
        <v>107</v>
      </c>
      <c r="J233" t="s">
        <v>5174</v>
      </c>
      <c r="K233" t="s">
        <v>5175</v>
      </c>
      <c r="L233" t="s">
        <v>5176</v>
      </c>
      <c r="M233" t="s">
        <v>1015</v>
      </c>
      <c r="N233" t="s">
        <v>114</v>
      </c>
      <c r="O233" t="s">
        <v>106</v>
      </c>
      <c r="P233" t="s">
        <v>106</v>
      </c>
      <c r="Q233" t="s">
        <v>107</v>
      </c>
      <c r="R233" t="s">
        <v>5174</v>
      </c>
      <c r="S233" t="s">
        <v>5175</v>
      </c>
      <c r="T233" t="s">
        <v>4467</v>
      </c>
      <c r="U233" t="s">
        <v>4468</v>
      </c>
      <c r="V233" t="s">
        <v>4469</v>
      </c>
      <c r="W233" t="s">
        <v>4470</v>
      </c>
      <c r="X233" t="s">
        <v>4471</v>
      </c>
      <c r="Y233" t="s">
        <v>4468</v>
      </c>
      <c r="Z233" t="s">
        <v>1015</v>
      </c>
      <c r="AA233" t="s">
        <v>4472</v>
      </c>
      <c r="AB233" t="s">
        <v>4469</v>
      </c>
      <c r="AC233" t="s">
        <v>19</v>
      </c>
      <c r="AD233" t="s">
        <v>19</v>
      </c>
      <c r="AE233" t="s">
        <v>61</v>
      </c>
      <c r="AF233" t="s">
        <v>22</v>
      </c>
      <c r="AG233" t="s">
        <v>22</v>
      </c>
      <c r="AH233" t="s">
        <v>22</v>
      </c>
      <c r="AI233" t="s">
        <v>22</v>
      </c>
      <c r="AJ233" t="s">
        <v>1157</v>
      </c>
      <c r="AK233" t="s">
        <v>5177</v>
      </c>
    </row>
    <row r="234" spans="1:37" ht="11.25" customHeight="1">
      <c r="A234" t="s">
        <v>22</v>
      </c>
      <c r="B234" t="s">
        <v>48</v>
      </c>
      <c r="C234" t="s">
        <v>50</v>
      </c>
      <c r="D234" t="s">
        <v>22</v>
      </c>
      <c r="E234" t="s">
        <v>5178</v>
      </c>
      <c r="F234" t="s">
        <v>4972</v>
      </c>
      <c r="G234" t="s">
        <v>106</v>
      </c>
      <c r="H234" t="s">
        <v>106</v>
      </c>
      <c r="I234" t="s">
        <v>107</v>
      </c>
      <c r="J234" t="s">
        <v>4464</v>
      </c>
      <c r="K234" t="s">
        <v>4465</v>
      </c>
      <c r="L234" t="s">
        <v>5179</v>
      </c>
      <c r="M234" t="s">
        <v>1015</v>
      </c>
      <c r="N234" t="s">
        <v>114</v>
      </c>
      <c r="O234" t="s">
        <v>106</v>
      </c>
      <c r="P234" t="s">
        <v>106</v>
      </c>
      <c r="Q234" t="s">
        <v>107</v>
      </c>
      <c r="R234" t="s">
        <v>4464</v>
      </c>
      <c r="S234" t="s">
        <v>4465</v>
      </c>
      <c r="T234" t="s">
        <v>4467</v>
      </c>
      <c r="U234" t="s">
        <v>4468</v>
      </c>
      <c r="V234" t="s">
        <v>4469</v>
      </c>
      <c r="W234" t="s">
        <v>4470</v>
      </c>
      <c r="X234" t="s">
        <v>4471</v>
      </c>
      <c r="Y234" t="s">
        <v>4468</v>
      </c>
      <c r="Z234" t="s">
        <v>1015</v>
      </c>
      <c r="AA234" t="s">
        <v>4472</v>
      </c>
      <c r="AB234" t="s">
        <v>4469</v>
      </c>
      <c r="AC234" t="s">
        <v>19</v>
      </c>
      <c r="AD234" t="s">
        <v>19</v>
      </c>
      <c r="AE234" t="s">
        <v>61</v>
      </c>
      <c r="AF234" t="s">
        <v>22</v>
      </c>
      <c r="AG234" t="s">
        <v>22</v>
      </c>
      <c r="AH234" t="s">
        <v>22</v>
      </c>
      <c r="AI234" t="s">
        <v>22</v>
      </c>
      <c r="AJ234" t="s">
        <v>1752</v>
      </c>
      <c r="AK234" t="s">
        <v>1173</v>
      </c>
    </row>
    <row r="235" spans="1:37" ht="11.25" customHeight="1">
      <c r="A235" t="s">
        <v>22</v>
      </c>
      <c r="B235" t="s">
        <v>48</v>
      </c>
      <c r="C235" t="s">
        <v>50</v>
      </c>
      <c r="D235" t="s">
        <v>22</v>
      </c>
      <c r="E235" t="s">
        <v>5180</v>
      </c>
      <c r="F235" t="s">
        <v>4972</v>
      </c>
      <c r="G235" t="s">
        <v>106</v>
      </c>
      <c r="H235" t="s">
        <v>106</v>
      </c>
      <c r="I235" t="s">
        <v>107</v>
      </c>
      <c r="J235" t="s">
        <v>4886</v>
      </c>
      <c r="K235" t="s">
        <v>4887</v>
      </c>
      <c r="L235" t="s">
        <v>5181</v>
      </c>
      <c r="M235" t="s">
        <v>1015</v>
      </c>
      <c r="N235" t="s">
        <v>114</v>
      </c>
      <c r="O235" t="s">
        <v>106</v>
      </c>
      <c r="P235" t="s">
        <v>106</v>
      </c>
      <c r="Q235" t="s">
        <v>107</v>
      </c>
      <c r="R235" t="s">
        <v>4886</v>
      </c>
      <c r="S235" t="s">
        <v>4887</v>
      </c>
      <c r="T235" t="s">
        <v>4467</v>
      </c>
      <c r="U235" t="s">
        <v>4468</v>
      </c>
      <c r="V235" t="s">
        <v>4469</v>
      </c>
      <c r="W235" t="s">
        <v>4470</v>
      </c>
      <c r="X235" t="s">
        <v>4471</v>
      </c>
      <c r="Y235" t="s">
        <v>4468</v>
      </c>
      <c r="Z235" t="s">
        <v>1015</v>
      </c>
      <c r="AA235" t="s">
        <v>4472</v>
      </c>
      <c r="AB235" t="s">
        <v>4469</v>
      </c>
      <c r="AC235" t="s">
        <v>19</v>
      </c>
      <c r="AD235" t="s">
        <v>19</v>
      </c>
      <c r="AE235" t="s">
        <v>61</v>
      </c>
      <c r="AF235" t="s">
        <v>22</v>
      </c>
      <c r="AG235" t="s">
        <v>22</v>
      </c>
      <c r="AH235" t="s">
        <v>22</v>
      </c>
      <c r="AI235" t="s">
        <v>22</v>
      </c>
      <c r="AJ235" t="s">
        <v>162</v>
      </c>
      <c r="AK235" t="s">
        <v>102</v>
      </c>
    </row>
    <row r="236" spans="1:37" ht="11.25" customHeight="1">
      <c r="A236" t="s">
        <v>22</v>
      </c>
      <c r="B236" t="s">
        <v>48</v>
      </c>
      <c r="C236" t="s">
        <v>50</v>
      </c>
      <c r="D236" t="s">
        <v>22</v>
      </c>
      <c r="E236" t="s">
        <v>5182</v>
      </c>
      <c r="F236" t="s">
        <v>4972</v>
      </c>
      <c r="G236" t="s">
        <v>106</v>
      </c>
      <c r="H236" t="s">
        <v>106</v>
      </c>
      <c r="I236" t="s">
        <v>107</v>
      </c>
      <c r="J236" t="s">
        <v>4896</v>
      </c>
      <c r="K236" t="s">
        <v>4897</v>
      </c>
      <c r="L236" t="s">
        <v>5183</v>
      </c>
      <c r="M236" t="s">
        <v>786</v>
      </c>
      <c r="N236" t="s">
        <v>114</v>
      </c>
      <c r="O236" t="s">
        <v>106</v>
      </c>
      <c r="P236" t="s">
        <v>106</v>
      </c>
      <c r="Q236" t="s">
        <v>107</v>
      </c>
      <c r="R236" t="s">
        <v>4896</v>
      </c>
      <c r="S236" t="s">
        <v>4897</v>
      </c>
      <c r="T236" t="s">
        <v>4732</v>
      </c>
      <c r="U236" t="s">
        <v>4660</v>
      </c>
      <c r="V236" t="s">
        <v>5184</v>
      </c>
      <c r="W236" t="s">
        <v>4470</v>
      </c>
      <c r="X236" t="s">
        <v>4734</v>
      </c>
      <c r="Y236" t="s">
        <v>4735</v>
      </c>
      <c r="Z236" t="s">
        <v>1015</v>
      </c>
      <c r="AA236" t="s">
        <v>5185</v>
      </c>
      <c r="AB236" t="s">
        <v>5184</v>
      </c>
      <c r="AC236" t="s">
        <v>19</v>
      </c>
      <c r="AD236" t="s">
        <v>19</v>
      </c>
      <c r="AE236" t="s">
        <v>61</v>
      </c>
      <c r="AF236" t="s">
        <v>22</v>
      </c>
      <c r="AG236" t="s">
        <v>22</v>
      </c>
      <c r="AH236" t="s">
        <v>22</v>
      </c>
      <c r="AI236" t="s">
        <v>22</v>
      </c>
      <c r="AJ236" t="s">
        <v>4481</v>
      </c>
      <c r="AK236" t="s">
        <v>102</v>
      </c>
    </row>
    <row r="237" spans="1:37" ht="11.25" customHeight="1">
      <c r="A237" t="s">
        <v>22</v>
      </c>
      <c r="B237" t="s">
        <v>48</v>
      </c>
      <c r="C237" t="s">
        <v>50</v>
      </c>
      <c r="D237" t="s">
        <v>22</v>
      </c>
      <c r="E237" t="s">
        <v>5186</v>
      </c>
      <c r="F237" t="s">
        <v>4972</v>
      </c>
      <c r="G237" t="s">
        <v>106</v>
      </c>
      <c r="H237" t="s">
        <v>106</v>
      </c>
      <c r="I237" t="s">
        <v>107</v>
      </c>
      <c r="J237" t="s">
        <v>4890</v>
      </c>
      <c r="K237" t="s">
        <v>4891</v>
      </c>
      <c r="L237" t="s">
        <v>5187</v>
      </c>
      <c r="M237" t="s">
        <v>1015</v>
      </c>
      <c r="N237" t="s">
        <v>114</v>
      </c>
      <c r="O237" t="s">
        <v>106</v>
      </c>
      <c r="P237" t="s">
        <v>106</v>
      </c>
      <c r="Q237" t="s">
        <v>107</v>
      </c>
      <c r="R237" t="s">
        <v>4890</v>
      </c>
      <c r="S237" t="s">
        <v>4891</v>
      </c>
      <c r="T237" t="s">
        <v>4467</v>
      </c>
      <c r="U237" t="s">
        <v>4468</v>
      </c>
      <c r="V237" t="s">
        <v>4469</v>
      </c>
      <c r="W237" t="s">
        <v>4470</v>
      </c>
      <c r="X237" t="s">
        <v>4471</v>
      </c>
      <c r="Y237" t="s">
        <v>4468</v>
      </c>
      <c r="Z237" t="s">
        <v>1015</v>
      </c>
      <c r="AA237" t="s">
        <v>4472</v>
      </c>
      <c r="AB237" t="s">
        <v>4469</v>
      </c>
      <c r="AC237" t="s">
        <v>19</v>
      </c>
      <c r="AD237" t="s">
        <v>19</v>
      </c>
      <c r="AE237" t="s">
        <v>61</v>
      </c>
      <c r="AF237" t="s">
        <v>22</v>
      </c>
      <c r="AG237" t="s">
        <v>22</v>
      </c>
      <c r="AH237" t="s">
        <v>22</v>
      </c>
      <c r="AI237" t="s">
        <v>22</v>
      </c>
      <c r="AJ237" t="s">
        <v>5188</v>
      </c>
      <c r="AK237" t="s">
        <v>5005</v>
      </c>
    </row>
    <row r="238" spans="1:37" ht="11.25" customHeight="1">
      <c r="A238" t="s">
        <v>22</v>
      </c>
      <c r="B238" t="s">
        <v>48</v>
      </c>
      <c r="C238" t="s">
        <v>50</v>
      </c>
      <c r="D238" t="s">
        <v>22</v>
      </c>
      <c r="E238" t="s">
        <v>5189</v>
      </c>
      <c r="F238" t="s">
        <v>4972</v>
      </c>
      <c r="G238" t="s">
        <v>106</v>
      </c>
      <c r="H238" t="s">
        <v>106</v>
      </c>
      <c r="I238" t="s">
        <v>107</v>
      </c>
      <c r="J238" t="s">
        <v>4508</v>
      </c>
      <c r="K238" t="s">
        <v>4509</v>
      </c>
      <c r="L238" t="s">
        <v>5190</v>
      </c>
      <c r="M238" t="s">
        <v>1015</v>
      </c>
      <c r="N238" t="s">
        <v>114</v>
      </c>
      <c r="O238" t="s">
        <v>106</v>
      </c>
      <c r="P238" t="s">
        <v>106</v>
      </c>
      <c r="Q238" t="s">
        <v>107</v>
      </c>
      <c r="R238" t="s">
        <v>4508</v>
      </c>
      <c r="S238" t="s">
        <v>4509</v>
      </c>
      <c r="T238" t="s">
        <v>4467</v>
      </c>
      <c r="U238" t="s">
        <v>4468</v>
      </c>
      <c r="V238" t="s">
        <v>4469</v>
      </c>
      <c r="W238" t="s">
        <v>4470</v>
      </c>
      <c r="X238" t="s">
        <v>4471</v>
      </c>
      <c r="Y238" t="s">
        <v>4468</v>
      </c>
      <c r="Z238" t="s">
        <v>1015</v>
      </c>
      <c r="AA238" t="s">
        <v>4472</v>
      </c>
      <c r="AB238" t="s">
        <v>4469</v>
      </c>
      <c r="AC238" t="s">
        <v>19</v>
      </c>
      <c r="AD238" t="s">
        <v>19</v>
      </c>
      <c r="AE238" t="s">
        <v>61</v>
      </c>
      <c r="AF238" t="s">
        <v>22</v>
      </c>
      <c r="AG238" t="s">
        <v>22</v>
      </c>
      <c r="AH238" t="s">
        <v>22</v>
      </c>
      <c r="AI238" t="s">
        <v>22</v>
      </c>
      <c r="AJ238" t="s">
        <v>162</v>
      </c>
      <c r="AK238" t="s">
        <v>5191</v>
      </c>
    </row>
    <row r="239" spans="1:37" ht="11.25" customHeight="1">
      <c r="A239" t="s">
        <v>22</v>
      </c>
      <c r="B239" t="s">
        <v>48</v>
      </c>
      <c r="C239" t="s">
        <v>50</v>
      </c>
      <c r="D239" t="s">
        <v>22</v>
      </c>
      <c r="E239" t="s">
        <v>5192</v>
      </c>
      <c r="F239" t="s">
        <v>4972</v>
      </c>
      <c r="G239" t="s">
        <v>106</v>
      </c>
      <c r="H239" t="s">
        <v>106</v>
      </c>
      <c r="I239" t="s">
        <v>107</v>
      </c>
      <c r="J239" t="s">
        <v>4983</v>
      </c>
      <c r="K239" t="s">
        <v>4984</v>
      </c>
      <c r="L239" t="s">
        <v>5193</v>
      </c>
      <c r="M239" t="s">
        <v>1015</v>
      </c>
      <c r="N239" t="s">
        <v>114</v>
      </c>
      <c r="O239" t="s">
        <v>106</v>
      </c>
      <c r="P239" t="s">
        <v>106</v>
      </c>
      <c r="Q239" t="s">
        <v>107</v>
      </c>
      <c r="R239" t="s">
        <v>4983</v>
      </c>
      <c r="S239" t="s">
        <v>4984</v>
      </c>
      <c r="T239" t="s">
        <v>4467</v>
      </c>
      <c r="U239" t="s">
        <v>4468</v>
      </c>
      <c r="V239" t="s">
        <v>4469</v>
      </c>
      <c r="W239" t="s">
        <v>4470</v>
      </c>
      <c r="X239" t="s">
        <v>4471</v>
      </c>
      <c r="Y239" t="s">
        <v>4468</v>
      </c>
      <c r="Z239" t="s">
        <v>1015</v>
      </c>
      <c r="AA239" t="s">
        <v>4472</v>
      </c>
      <c r="AB239" t="s">
        <v>4469</v>
      </c>
      <c r="AC239" t="s">
        <v>19</v>
      </c>
      <c r="AD239" t="s">
        <v>19</v>
      </c>
      <c r="AE239" t="s">
        <v>61</v>
      </c>
      <c r="AF239" t="s">
        <v>22</v>
      </c>
      <c r="AG239" t="s">
        <v>22</v>
      </c>
      <c r="AH239" t="s">
        <v>22</v>
      </c>
      <c r="AI239" t="s">
        <v>22</v>
      </c>
      <c r="AJ239" t="s">
        <v>1766</v>
      </c>
      <c r="AK239" t="s">
        <v>4495</v>
      </c>
    </row>
    <row r="240" spans="1:37" ht="11.25" customHeight="1">
      <c r="A240" t="s">
        <v>22</v>
      </c>
      <c r="B240" t="s">
        <v>48</v>
      </c>
      <c r="C240" t="s">
        <v>50</v>
      </c>
      <c r="D240" t="s">
        <v>22</v>
      </c>
      <c r="E240" t="s">
        <v>5194</v>
      </c>
      <c r="F240" t="s">
        <v>4972</v>
      </c>
      <c r="G240" t="s">
        <v>106</v>
      </c>
      <c r="H240" t="s">
        <v>106</v>
      </c>
      <c r="I240" t="s">
        <v>107</v>
      </c>
      <c r="J240" t="s">
        <v>4474</v>
      </c>
      <c r="K240" t="s">
        <v>4475</v>
      </c>
      <c r="L240" t="s">
        <v>5195</v>
      </c>
      <c r="M240" t="s">
        <v>1015</v>
      </c>
      <c r="N240" t="s">
        <v>114</v>
      </c>
      <c r="O240" t="s">
        <v>106</v>
      </c>
      <c r="P240" t="s">
        <v>106</v>
      </c>
      <c r="Q240" t="s">
        <v>107</v>
      </c>
      <c r="R240" t="s">
        <v>4474</v>
      </c>
      <c r="S240" t="s">
        <v>4475</v>
      </c>
      <c r="T240" t="s">
        <v>4467</v>
      </c>
      <c r="U240" t="s">
        <v>4468</v>
      </c>
      <c r="V240" t="s">
        <v>4469</v>
      </c>
      <c r="W240" t="s">
        <v>4470</v>
      </c>
      <c r="X240" t="s">
        <v>4471</v>
      </c>
      <c r="Y240" t="s">
        <v>4468</v>
      </c>
      <c r="Z240" t="s">
        <v>1015</v>
      </c>
      <c r="AA240" t="s">
        <v>4472</v>
      </c>
      <c r="AB240" t="s">
        <v>4469</v>
      </c>
      <c r="AC240" t="s">
        <v>19</v>
      </c>
      <c r="AD240" t="s">
        <v>19</v>
      </c>
      <c r="AE240" t="s">
        <v>61</v>
      </c>
      <c r="AF240" t="s">
        <v>22</v>
      </c>
      <c r="AG240" t="s">
        <v>22</v>
      </c>
      <c r="AH240" t="s">
        <v>22</v>
      </c>
      <c r="AI240" t="s">
        <v>22</v>
      </c>
      <c r="AJ240" t="s">
        <v>4495</v>
      </c>
      <c r="AK240" t="s">
        <v>899</v>
      </c>
    </row>
    <row r="241" spans="1:37" ht="11.25" customHeight="1">
      <c r="A241" t="s">
        <v>22</v>
      </c>
      <c r="B241" t="s">
        <v>48</v>
      </c>
      <c r="C241" t="s">
        <v>50</v>
      </c>
      <c r="D241" t="s">
        <v>22</v>
      </c>
      <c r="E241" t="s">
        <v>5196</v>
      </c>
      <c r="F241" t="s">
        <v>4972</v>
      </c>
      <c r="G241" t="s">
        <v>106</v>
      </c>
      <c r="H241" t="s">
        <v>106</v>
      </c>
      <c r="I241" t="s">
        <v>107</v>
      </c>
      <c r="J241" t="s">
        <v>5013</v>
      </c>
      <c r="K241" t="s">
        <v>5014</v>
      </c>
      <c r="L241" t="s">
        <v>5197</v>
      </c>
      <c r="M241" t="s">
        <v>1015</v>
      </c>
      <c r="N241" t="s">
        <v>114</v>
      </c>
      <c r="O241" t="s">
        <v>106</v>
      </c>
      <c r="P241" t="s">
        <v>106</v>
      </c>
      <c r="Q241" t="s">
        <v>107</v>
      </c>
      <c r="R241" t="s">
        <v>5013</v>
      </c>
      <c r="S241" t="s">
        <v>5014</v>
      </c>
      <c r="T241" t="s">
        <v>4467</v>
      </c>
      <c r="U241" t="s">
        <v>4468</v>
      </c>
      <c r="V241" t="s">
        <v>4469</v>
      </c>
      <c r="W241" t="s">
        <v>4470</v>
      </c>
      <c r="X241" t="s">
        <v>4471</v>
      </c>
      <c r="Y241" t="s">
        <v>4468</v>
      </c>
      <c r="Z241" t="s">
        <v>1015</v>
      </c>
      <c r="AA241" t="s">
        <v>4472</v>
      </c>
      <c r="AB241" t="s">
        <v>4469</v>
      </c>
      <c r="AC241" t="s">
        <v>19</v>
      </c>
      <c r="AD241" t="s">
        <v>19</v>
      </c>
      <c r="AE241" t="s">
        <v>61</v>
      </c>
      <c r="AF241" t="s">
        <v>22</v>
      </c>
      <c r="AG241" t="s">
        <v>22</v>
      </c>
      <c r="AH241" t="s">
        <v>22</v>
      </c>
      <c r="AI241" t="s">
        <v>22</v>
      </c>
      <c r="AJ241" t="s">
        <v>5016</v>
      </c>
      <c r="AK241" t="s">
        <v>5017</v>
      </c>
    </row>
    <row r="242" spans="1:37" ht="11.25" customHeight="1">
      <c r="A242" t="s">
        <v>22</v>
      </c>
      <c r="B242" t="s">
        <v>48</v>
      </c>
      <c r="C242" t="s">
        <v>50</v>
      </c>
      <c r="D242" t="s">
        <v>22</v>
      </c>
      <c r="E242" t="s">
        <v>5198</v>
      </c>
      <c r="F242" t="s">
        <v>1104</v>
      </c>
      <c r="G242" t="s">
        <v>106</v>
      </c>
      <c r="H242" t="s">
        <v>106</v>
      </c>
      <c r="I242" t="s">
        <v>107</v>
      </c>
      <c r="J242" t="s">
        <v>4508</v>
      </c>
      <c r="K242" t="s">
        <v>4509</v>
      </c>
      <c r="L242" t="s">
        <v>4510</v>
      </c>
      <c r="M242" t="s">
        <v>786</v>
      </c>
      <c r="N242" t="s">
        <v>114</v>
      </c>
      <c r="O242" t="s">
        <v>106</v>
      </c>
      <c r="P242" t="s">
        <v>106</v>
      </c>
      <c r="Q242" t="s">
        <v>107</v>
      </c>
      <c r="R242" t="s">
        <v>4508</v>
      </c>
      <c r="S242" t="s">
        <v>4509</v>
      </c>
      <c r="T242" t="s">
        <v>4467</v>
      </c>
      <c r="U242" t="s">
        <v>4468</v>
      </c>
      <c r="V242" t="s">
        <v>4469</v>
      </c>
      <c r="W242" t="s">
        <v>4470</v>
      </c>
      <c r="X242" t="s">
        <v>4471</v>
      </c>
      <c r="Y242" t="s">
        <v>4468</v>
      </c>
      <c r="Z242" t="s">
        <v>1015</v>
      </c>
      <c r="AA242" t="s">
        <v>4472</v>
      </c>
      <c r="AB242" t="s">
        <v>4469</v>
      </c>
      <c r="AC242" t="s">
        <v>61</v>
      </c>
      <c r="AD242" t="s">
        <v>19</v>
      </c>
      <c r="AE242" t="s">
        <v>19</v>
      </c>
      <c r="AF242" t="s">
        <v>162</v>
      </c>
      <c r="AG242" t="s">
        <v>4511</v>
      </c>
      <c r="AH242" t="s">
        <v>22</v>
      </c>
      <c r="AI242" t="s">
        <v>22</v>
      </c>
      <c r="AJ242" t="s">
        <v>22</v>
      </c>
      <c r="AK242" t="s">
        <v>22</v>
      </c>
    </row>
    <row r="243" spans="1:37" ht="11.25" customHeight="1">
      <c r="A243" t="s">
        <v>22</v>
      </c>
      <c r="B243" t="s">
        <v>48</v>
      </c>
      <c r="C243" t="s">
        <v>50</v>
      </c>
      <c r="D243" t="s">
        <v>22</v>
      </c>
      <c r="E243" t="s">
        <v>5199</v>
      </c>
      <c r="F243" t="s">
        <v>1104</v>
      </c>
      <c r="G243" t="s">
        <v>106</v>
      </c>
      <c r="H243" t="s">
        <v>106</v>
      </c>
      <c r="I243" t="s">
        <v>107</v>
      </c>
      <c r="J243" t="s">
        <v>4508</v>
      </c>
      <c r="K243" t="s">
        <v>4509</v>
      </c>
      <c r="L243" t="s">
        <v>4510</v>
      </c>
      <c r="M243" t="s">
        <v>786</v>
      </c>
      <c r="N243" t="s">
        <v>114</v>
      </c>
      <c r="O243" t="s">
        <v>106</v>
      </c>
      <c r="P243" t="s">
        <v>106</v>
      </c>
      <c r="Q243" t="s">
        <v>107</v>
      </c>
      <c r="R243" t="s">
        <v>4508</v>
      </c>
      <c r="S243" t="s">
        <v>4509</v>
      </c>
      <c r="T243" t="s">
        <v>4467</v>
      </c>
      <c r="U243" t="s">
        <v>4468</v>
      </c>
      <c r="V243" t="s">
        <v>4469</v>
      </c>
      <c r="W243" t="s">
        <v>4470</v>
      </c>
      <c r="X243" t="s">
        <v>4471</v>
      </c>
      <c r="Y243" t="s">
        <v>4468</v>
      </c>
      <c r="Z243" t="s">
        <v>1015</v>
      </c>
      <c r="AA243" t="s">
        <v>4472</v>
      </c>
      <c r="AB243" t="s">
        <v>4469</v>
      </c>
      <c r="AC243" t="s">
        <v>61</v>
      </c>
      <c r="AD243" t="s">
        <v>19</v>
      </c>
      <c r="AE243" t="s">
        <v>19</v>
      </c>
      <c r="AF243" t="s">
        <v>162</v>
      </c>
      <c r="AG243" t="s">
        <v>4511</v>
      </c>
      <c r="AH243" t="s">
        <v>22</v>
      </c>
      <c r="AI243" t="s">
        <v>22</v>
      </c>
      <c r="AJ243" t="s">
        <v>22</v>
      </c>
      <c r="AK243" t="s">
        <v>22</v>
      </c>
    </row>
    <row r="244" spans="1:37" ht="11.25" customHeight="1">
      <c r="A244" t="s">
        <v>22</v>
      </c>
      <c r="B244" t="s">
        <v>48</v>
      </c>
      <c r="C244" t="s">
        <v>50</v>
      </c>
      <c r="D244" t="s">
        <v>22</v>
      </c>
      <c r="E244" t="s">
        <v>5200</v>
      </c>
      <c r="F244" t="s">
        <v>1104</v>
      </c>
      <c r="G244" t="s">
        <v>106</v>
      </c>
      <c r="H244" t="s">
        <v>106</v>
      </c>
      <c r="I244" t="s">
        <v>107</v>
      </c>
      <c r="J244" t="s">
        <v>5120</v>
      </c>
      <c r="K244" t="s">
        <v>5121</v>
      </c>
      <c r="L244" t="s">
        <v>5122</v>
      </c>
      <c r="M244" t="s">
        <v>786</v>
      </c>
      <c r="N244" t="s">
        <v>114</v>
      </c>
      <c r="O244" t="s">
        <v>106</v>
      </c>
      <c r="P244" t="s">
        <v>106</v>
      </c>
      <c r="Q244" t="s">
        <v>107</v>
      </c>
      <c r="R244" t="s">
        <v>5120</v>
      </c>
      <c r="S244" t="s">
        <v>5121</v>
      </c>
      <c r="T244" t="s">
        <v>4467</v>
      </c>
      <c r="U244" t="s">
        <v>4468</v>
      </c>
      <c r="V244" t="s">
        <v>4469</v>
      </c>
      <c r="W244" t="s">
        <v>4470</v>
      </c>
      <c r="X244" t="s">
        <v>4471</v>
      </c>
      <c r="Y244" t="s">
        <v>4468</v>
      </c>
      <c r="Z244" t="s">
        <v>1015</v>
      </c>
      <c r="AA244" t="s">
        <v>4472</v>
      </c>
      <c r="AB244" t="s">
        <v>4469</v>
      </c>
      <c r="AC244" t="s">
        <v>61</v>
      </c>
      <c r="AD244" t="s">
        <v>19</v>
      </c>
      <c r="AE244" t="s">
        <v>19</v>
      </c>
      <c r="AF244" t="s">
        <v>4481</v>
      </c>
      <c r="AG244" t="s">
        <v>5026</v>
      </c>
      <c r="AH244" t="s">
        <v>22</v>
      </c>
      <c r="AI244" t="s">
        <v>22</v>
      </c>
      <c r="AJ244" t="s">
        <v>22</v>
      </c>
      <c r="AK244" t="s">
        <v>22</v>
      </c>
    </row>
    <row r="245" spans="1:37" ht="11.25" customHeight="1">
      <c r="A245" t="s">
        <v>22</v>
      </c>
      <c r="B245" t="s">
        <v>48</v>
      </c>
      <c r="C245" t="s">
        <v>50</v>
      </c>
      <c r="D245" t="s">
        <v>22</v>
      </c>
      <c r="E245" t="s">
        <v>5201</v>
      </c>
      <c r="F245" t="s">
        <v>1104</v>
      </c>
      <c r="G245" t="s">
        <v>106</v>
      </c>
      <c r="H245" t="s">
        <v>106</v>
      </c>
      <c r="I245" t="s">
        <v>107</v>
      </c>
      <c r="J245" t="s">
        <v>5095</v>
      </c>
      <c r="K245" t="s">
        <v>5096</v>
      </c>
      <c r="L245" t="s">
        <v>5202</v>
      </c>
      <c r="M245" t="s">
        <v>786</v>
      </c>
      <c r="N245" t="s">
        <v>114</v>
      </c>
      <c r="O245" t="s">
        <v>106</v>
      </c>
      <c r="P245" t="s">
        <v>106</v>
      </c>
      <c r="Q245" t="s">
        <v>107</v>
      </c>
      <c r="R245" t="s">
        <v>5095</v>
      </c>
      <c r="S245" t="s">
        <v>5096</v>
      </c>
      <c r="T245" t="s">
        <v>4467</v>
      </c>
      <c r="U245" t="s">
        <v>4468</v>
      </c>
      <c r="V245" t="s">
        <v>4469</v>
      </c>
      <c r="W245" t="s">
        <v>4470</v>
      </c>
      <c r="X245" t="s">
        <v>4471</v>
      </c>
      <c r="Y245" t="s">
        <v>4468</v>
      </c>
      <c r="Z245" t="s">
        <v>1015</v>
      </c>
      <c r="AA245" t="s">
        <v>4472</v>
      </c>
      <c r="AB245" t="s">
        <v>4469</v>
      </c>
      <c r="AC245" t="s">
        <v>61</v>
      </c>
      <c r="AD245" t="s">
        <v>19</v>
      </c>
      <c r="AE245" t="s">
        <v>19</v>
      </c>
      <c r="AF245" t="s">
        <v>1166</v>
      </c>
      <c r="AG245" t="s">
        <v>115</v>
      </c>
      <c r="AH245" t="s">
        <v>22</v>
      </c>
      <c r="AI245" t="s">
        <v>22</v>
      </c>
      <c r="AJ245" t="s">
        <v>22</v>
      </c>
      <c r="AK245" t="s">
        <v>22</v>
      </c>
    </row>
    <row r="246" spans="1:37" ht="11.25" customHeight="1">
      <c r="A246" t="s">
        <v>22</v>
      </c>
      <c r="B246" t="s">
        <v>48</v>
      </c>
      <c r="C246" t="s">
        <v>50</v>
      </c>
      <c r="D246" t="s">
        <v>22</v>
      </c>
      <c r="E246" t="s">
        <v>5203</v>
      </c>
      <c r="F246" t="s">
        <v>1104</v>
      </c>
      <c r="G246" t="s">
        <v>106</v>
      </c>
      <c r="H246" t="s">
        <v>106</v>
      </c>
      <c r="I246" t="s">
        <v>107</v>
      </c>
      <c r="J246" t="s">
        <v>5137</v>
      </c>
      <c r="K246" t="s">
        <v>5138</v>
      </c>
      <c r="L246" t="s">
        <v>5139</v>
      </c>
      <c r="M246" t="s">
        <v>786</v>
      </c>
      <c r="N246" t="s">
        <v>114</v>
      </c>
      <c r="O246" t="s">
        <v>106</v>
      </c>
      <c r="P246" t="s">
        <v>106</v>
      </c>
      <c r="Q246" t="s">
        <v>107</v>
      </c>
      <c r="R246" t="s">
        <v>5137</v>
      </c>
      <c r="S246" t="s">
        <v>5138</v>
      </c>
      <c r="T246" t="s">
        <v>4467</v>
      </c>
      <c r="U246" t="s">
        <v>4468</v>
      </c>
      <c r="V246" t="s">
        <v>4469</v>
      </c>
      <c r="W246" t="s">
        <v>4470</v>
      </c>
      <c r="X246" t="s">
        <v>4471</v>
      </c>
      <c r="Y246" t="s">
        <v>4468</v>
      </c>
      <c r="Z246" t="s">
        <v>1015</v>
      </c>
      <c r="AA246" t="s">
        <v>4472</v>
      </c>
      <c r="AB246" t="s">
        <v>4469</v>
      </c>
      <c r="AC246" t="s">
        <v>61</v>
      </c>
      <c r="AD246" t="s">
        <v>19</v>
      </c>
      <c r="AE246" t="s">
        <v>19</v>
      </c>
      <c r="AF246" t="s">
        <v>4481</v>
      </c>
      <c r="AG246" t="s">
        <v>5026</v>
      </c>
      <c r="AH246" t="s">
        <v>22</v>
      </c>
      <c r="AI246" t="s">
        <v>22</v>
      </c>
      <c r="AJ246" t="s">
        <v>22</v>
      </c>
      <c r="AK246" t="s">
        <v>22</v>
      </c>
    </row>
    <row r="247" spans="1:37" ht="11.25" customHeight="1">
      <c r="A247" t="s">
        <v>22</v>
      </c>
      <c r="B247" t="s">
        <v>48</v>
      </c>
      <c r="C247" t="s">
        <v>50</v>
      </c>
      <c r="D247" t="s">
        <v>22</v>
      </c>
      <c r="E247" t="s">
        <v>5204</v>
      </c>
      <c r="F247" t="s">
        <v>1104</v>
      </c>
      <c r="G247" t="s">
        <v>106</v>
      </c>
      <c r="H247" t="s">
        <v>106</v>
      </c>
      <c r="I247" t="s">
        <v>107</v>
      </c>
      <c r="J247" t="s">
        <v>4508</v>
      </c>
      <c r="K247" t="s">
        <v>4509</v>
      </c>
      <c r="L247" t="s">
        <v>4510</v>
      </c>
      <c r="M247" t="s">
        <v>786</v>
      </c>
      <c r="N247" t="s">
        <v>114</v>
      </c>
      <c r="O247" t="s">
        <v>106</v>
      </c>
      <c r="P247" t="s">
        <v>106</v>
      </c>
      <c r="Q247" t="s">
        <v>107</v>
      </c>
      <c r="R247" t="s">
        <v>4508</v>
      </c>
      <c r="S247" t="s">
        <v>4509</v>
      </c>
      <c r="T247" t="s">
        <v>4467</v>
      </c>
      <c r="U247" t="s">
        <v>4468</v>
      </c>
      <c r="V247" t="s">
        <v>4469</v>
      </c>
      <c r="W247" t="s">
        <v>4470</v>
      </c>
      <c r="X247" t="s">
        <v>4471</v>
      </c>
      <c r="Y247" t="s">
        <v>4468</v>
      </c>
      <c r="Z247" t="s">
        <v>1015</v>
      </c>
      <c r="AA247" t="s">
        <v>4472</v>
      </c>
      <c r="AB247" t="s">
        <v>4469</v>
      </c>
      <c r="AC247" t="s">
        <v>61</v>
      </c>
      <c r="AD247" t="s">
        <v>19</v>
      </c>
      <c r="AE247" t="s">
        <v>19</v>
      </c>
      <c r="AF247" t="s">
        <v>162</v>
      </c>
      <c r="AG247" t="s">
        <v>5191</v>
      </c>
      <c r="AH247" t="s">
        <v>22</v>
      </c>
      <c r="AI247" t="s">
        <v>22</v>
      </c>
      <c r="AJ247" t="s">
        <v>22</v>
      </c>
      <c r="AK247" t="s">
        <v>22</v>
      </c>
    </row>
    <row r="248" spans="1:37" ht="11.25" customHeight="1">
      <c r="A248" t="s">
        <v>22</v>
      </c>
      <c r="B248" t="s">
        <v>48</v>
      </c>
      <c r="C248" t="s">
        <v>50</v>
      </c>
      <c r="D248" t="s">
        <v>22</v>
      </c>
      <c r="E248" t="s">
        <v>5205</v>
      </c>
      <c r="F248" t="s">
        <v>1104</v>
      </c>
      <c r="G248" t="s">
        <v>106</v>
      </c>
      <c r="H248" t="s">
        <v>106</v>
      </c>
      <c r="I248" t="s">
        <v>107</v>
      </c>
      <c r="J248" t="s">
        <v>5114</v>
      </c>
      <c r="K248" t="s">
        <v>5115</v>
      </c>
      <c r="L248" t="s">
        <v>5206</v>
      </c>
      <c r="M248" t="s">
        <v>786</v>
      </c>
      <c r="N248" t="s">
        <v>114</v>
      </c>
      <c r="O248" t="s">
        <v>106</v>
      </c>
      <c r="P248" t="s">
        <v>106</v>
      </c>
      <c r="Q248" t="s">
        <v>107</v>
      </c>
      <c r="R248" t="s">
        <v>5114</v>
      </c>
      <c r="S248" t="s">
        <v>5115</v>
      </c>
      <c r="T248" t="s">
        <v>4467</v>
      </c>
      <c r="U248" t="s">
        <v>4468</v>
      </c>
      <c r="V248" t="s">
        <v>4469</v>
      </c>
      <c r="W248" t="s">
        <v>4470</v>
      </c>
      <c r="X248" t="s">
        <v>4471</v>
      </c>
      <c r="Y248" t="s">
        <v>4468</v>
      </c>
      <c r="Z248" t="s">
        <v>1015</v>
      </c>
      <c r="AA248" t="s">
        <v>4472</v>
      </c>
      <c r="AB248" t="s">
        <v>4469</v>
      </c>
      <c r="AC248" t="s">
        <v>61</v>
      </c>
      <c r="AD248" t="s">
        <v>19</v>
      </c>
      <c r="AE248" t="s">
        <v>19</v>
      </c>
      <c r="AF248" t="s">
        <v>4481</v>
      </c>
      <c r="AG248" t="s">
        <v>4482</v>
      </c>
      <c r="AH248" t="s">
        <v>22</v>
      </c>
      <c r="AI248" t="s">
        <v>22</v>
      </c>
      <c r="AJ248" t="s">
        <v>22</v>
      </c>
      <c r="AK248" t="s">
        <v>22</v>
      </c>
    </row>
    <row r="249" spans="1:37" ht="11.25" customHeight="1">
      <c r="A249" t="s">
        <v>22</v>
      </c>
      <c r="B249" t="s">
        <v>48</v>
      </c>
      <c r="C249" t="s">
        <v>50</v>
      </c>
      <c r="D249" t="s">
        <v>22</v>
      </c>
      <c r="E249" t="s">
        <v>5207</v>
      </c>
      <c r="F249" t="s">
        <v>1104</v>
      </c>
      <c r="G249" t="s">
        <v>106</v>
      </c>
      <c r="H249" t="s">
        <v>106</v>
      </c>
      <c r="I249" t="s">
        <v>107</v>
      </c>
      <c r="J249" t="s">
        <v>4478</v>
      </c>
      <c r="K249" t="s">
        <v>4479</v>
      </c>
      <c r="L249" t="s">
        <v>4480</v>
      </c>
      <c r="M249" t="s">
        <v>786</v>
      </c>
      <c r="N249" t="s">
        <v>114</v>
      </c>
      <c r="O249" t="s">
        <v>106</v>
      </c>
      <c r="P249" t="s">
        <v>106</v>
      </c>
      <c r="Q249" t="s">
        <v>107</v>
      </c>
      <c r="R249" t="s">
        <v>4478</v>
      </c>
      <c r="S249" t="s">
        <v>4479</v>
      </c>
      <c r="T249" t="s">
        <v>4467</v>
      </c>
      <c r="U249" t="s">
        <v>4468</v>
      </c>
      <c r="V249" t="s">
        <v>4469</v>
      </c>
      <c r="W249" t="s">
        <v>4470</v>
      </c>
      <c r="X249" t="s">
        <v>4471</v>
      </c>
      <c r="Y249" t="s">
        <v>4468</v>
      </c>
      <c r="Z249" t="s">
        <v>1015</v>
      </c>
      <c r="AA249" t="s">
        <v>4472</v>
      </c>
      <c r="AB249" t="s">
        <v>4469</v>
      </c>
      <c r="AC249" t="s">
        <v>61</v>
      </c>
      <c r="AD249" t="s">
        <v>19</v>
      </c>
      <c r="AE249" t="s">
        <v>19</v>
      </c>
      <c r="AF249" t="s">
        <v>4481</v>
      </c>
      <c r="AG249" t="s">
        <v>4482</v>
      </c>
      <c r="AH249" t="s">
        <v>22</v>
      </c>
      <c r="AI249" t="s">
        <v>22</v>
      </c>
      <c r="AJ249" t="s">
        <v>22</v>
      </c>
      <c r="AK249" t="s">
        <v>22</v>
      </c>
    </row>
    <row r="250" spans="1:37" ht="11.25" customHeight="1">
      <c r="A250" t="s">
        <v>22</v>
      </c>
      <c r="B250" t="s">
        <v>48</v>
      </c>
      <c r="C250" t="s">
        <v>50</v>
      </c>
      <c r="D250" t="s">
        <v>22</v>
      </c>
      <c r="E250" t="s">
        <v>5208</v>
      </c>
      <c r="F250" t="s">
        <v>1104</v>
      </c>
      <c r="G250" t="s">
        <v>106</v>
      </c>
      <c r="H250" t="s">
        <v>106</v>
      </c>
      <c r="I250" t="s">
        <v>107</v>
      </c>
      <c r="J250" t="s">
        <v>4904</v>
      </c>
      <c r="K250" t="s">
        <v>4905</v>
      </c>
      <c r="L250" t="s">
        <v>4906</v>
      </c>
      <c r="M250" t="s">
        <v>786</v>
      </c>
      <c r="N250" t="s">
        <v>114</v>
      </c>
      <c r="O250" t="s">
        <v>106</v>
      </c>
      <c r="P250" t="s">
        <v>106</v>
      </c>
      <c r="Q250" t="s">
        <v>107</v>
      </c>
      <c r="R250" t="s">
        <v>4904</v>
      </c>
      <c r="S250" t="s">
        <v>4905</v>
      </c>
      <c r="T250" t="s">
        <v>4467</v>
      </c>
      <c r="U250" t="s">
        <v>4468</v>
      </c>
      <c r="V250" t="s">
        <v>4469</v>
      </c>
      <c r="W250" t="s">
        <v>4470</v>
      </c>
      <c r="X250" t="s">
        <v>4471</v>
      </c>
      <c r="Y250" t="s">
        <v>4468</v>
      </c>
      <c r="Z250" t="s">
        <v>1015</v>
      </c>
      <c r="AA250" t="s">
        <v>4472</v>
      </c>
      <c r="AB250" t="s">
        <v>4469</v>
      </c>
      <c r="AC250" t="s">
        <v>61</v>
      </c>
      <c r="AD250" t="s">
        <v>19</v>
      </c>
      <c r="AE250" t="s">
        <v>19</v>
      </c>
      <c r="AF250" t="s">
        <v>162</v>
      </c>
      <c r="AG250" t="s">
        <v>4907</v>
      </c>
      <c r="AH250" t="s">
        <v>22</v>
      </c>
      <c r="AI250" t="s">
        <v>22</v>
      </c>
      <c r="AJ250" t="s">
        <v>22</v>
      </c>
      <c r="AK250" t="s">
        <v>22</v>
      </c>
    </row>
    <row r="251" spans="1:37" ht="11.25" customHeight="1">
      <c r="A251" t="s">
        <v>22</v>
      </c>
      <c r="B251" t="s">
        <v>48</v>
      </c>
      <c r="C251" t="s">
        <v>50</v>
      </c>
      <c r="D251" t="s">
        <v>22</v>
      </c>
      <c r="E251" t="s">
        <v>5209</v>
      </c>
      <c r="F251" t="s">
        <v>1104</v>
      </c>
      <c r="G251" t="s">
        <v>106</v>
      </c>
      <c r="H251" t="s">
        <v>106</v>
      </c>
      <c r="I251" t="s">
        <v>107</v>
      </c>
      <c r="J251" t="s">
        <v>4987</v>
      </c>
      <c r="K251" t="s">
        <v>4988</v>
      </c>
      <c r="L251" t="s">
        <v>5210</v>
      </c>
      <c r="M251" t="s">
        <v>786</v>
      </c>
      <c r="N251" t="s">
        <v>114</v>
      </c>
      <c r="O251" t="s">
        <v>106</v>
      </c>
      <c r="P251" t="s">
        <v>106</v>
      </c>
      <c r="Q251" t="s">
        <v>107</v>
      </c>
      <c r="R251" t="s">
        <v>4987</v>
      </c>
      <c r="S251" t="s">
        <v>4988</v>
      </c>
      <c r="T251" t="s">
        <v>4467</v>
      </c>
      <c r="U251" t="s">
        <v>4468</v>
      </c>
      <c r="V251" t="s">
        <v>4469</v>
      </c>
      <c r="W251" t="s">
        <v>4470</v>
      </c>
      <c r="X251" t="s">
        <v>4471</v>
      </c>
      <c r="Y251" t="s">
        <v>4468</v>
      </c>
      <c r="Z251" t="s">
        <v>1015</v>
      </c>
      <c r="AA251" t="s">
        <v>4472</v>
      </c>
      <c r="AB251" t="s">
        <v>4469</v>
      </c>
      <c r="AC251" t="s">
        <v>61</v>
      </c>
      <c r="AD251" t="s">
        <v>19</v>
      </c>
      <c r="AE251" t="s">
        <v>19</v>
      </c>
      <c r="AF251" t="s">
        <v>5036</v>
      </c>
      <c r="AG251" t="s">
        <v>5155</v>
      </c>
      <c r="AH251" t="s">
        <v>22</v>
      </c>
      <c r="AI251" t="s">
        <v>22</v>
      </c>
      <c r="AJ251" t="s">
        <v>22</v>
      </c>
      <c r="AK251" t="s">
        <v>22</v>
      </c>
    </row>
    <row r="252" spans="1:37" ht="11.25" customHeight="1">
      <c r="A252" t="s">
        <v>22</v>
      </c>
      <c r="B252" t="s">
        <v>48</v>
      </c>
      <c r="C252" t="s">
        <v>50</v>
      </c>
      <c r="D252" t="s">
        <v>22</v>
      </c>
      <c r="E252" t="s">
        <v>5211</v>
      </c>
      <c r="F252" t="s">
        <v>1104</v>
      </c>
      <c r="G252" t="s">
        <v>106</v>
      </c>
      <c r="H252" t="s">
        <v>106</v>
      </c>
      <c r="I252" t="s">
        <v>107</v>
      </c>
      <c r="J252" t="s">
        <v>4508</v>
      </c>
      <c r="K252" t="s">
        <v>4509</v>
      </c>
      <c r="L252" t="s">
        <v>4510</v>
      </c>
      <c r="M252" t="s">
        <v>786</v>
      </c>
      <c r="N252" t="s">
        <v>114</v>
      </c>
      <c r="O252" t="s">
        <v>106</v>
      </c>
      <c r="P252" t="s">
        <v>106</v>
      </c>
      <c r="Q252" t="s">
        <v>107</v>
      </c>
      <c r="R252" t="s">
        <v>4508</v>
      </c>
      <c r="S252" t="s">
        <v>4509</v>
      </c>
      <c r="T252" t="s">
        <v>4467</v>
      </c>
      <c r="U252" t="s">
        <v>4468</v>
      </c>
      <c r="V252" t="s">
        <v>4469</v>
      </c>
      <c r="W252" t="s">
        <v>4470</v>
      </c>
      <c r="X252" t="s">
        <v>4471</v>
      </c>
      <c r="Y252" t="s">
        <v>4468</v>
      </c>
      <c r="Z252" t="s">
        <v>1015</v>
      </c>
      <c r="AA252" t="s">
        <v>4472</v>
      </c>
      <c r="AB252" t="s">
        <v>4469</v>
      </c>
      <c r="AC252" t="s">
        <v>61</v>
      </c>
      <c r="AD252" t="s">
        <v>19</v>
      </c>
      <c r="AE252" t="s">
        <v>19</v>
      </c>
      <c r="AF252" t="s">
        <v>162</v>
      </c>
      <c r="AG252" t="s">
        <v>4511</v>
      </c>
      <c r="AH252" t="s">
        <v>22</v>
      </c>
      <c r="AI252" t="s">
        <v>22</v>
      </c>
      <c r="AJ252" t="s">
        <v>22</v>
      </c>
      <c r="AK252" t="s">
        <v>22</v>
      </c>
    </row>
    <row r="253" spans="1:37" ht="11.25" customHeight="1">
      <c r="A253" t="s">
        <v>22</v>
      </c>
      <c r="B253" t="s">
        <v>48</v>
      </c>
      <c r="C253" t="s">
        <v>50</v>
      </c>
      <c r="D253" t="s">
        <v>22</v>
      </c>
      <c r="E253" t="s">
        <v>5212</v>
      </c>
      <c r="F253" t="s">
        <v>1104</v>
      </c>
      <c r="G253" t="s">
        <v>106</v>
      </c>
      <c r="H253" t="s">
        <v>106</v>
      </c>
      <c r="I253" t="s">
        <v>107</v>
      </c>
      <c r="J253" t="s">
        <v>4979</v>
      </c>
      <c r="K253" t="s">
        <v>4980</v>
      </c>
      <c r="L253" t="s">
        <v>4981</v>
      </c>
      <c r="M253" t="s">
        <v>786</v>
      </c>
      <c r="N253" t="s">
        <v>114</v>
      </c>
      <c r="O253" t="s">
        <v>106</v>
      </c>
      <c r="P253" t="s">
        <v>106</v>
      </c>
      <c r="Q253" t="s">
        <v>107</v>
      </c>
      <c r="R253" t="s">
        <v>4979</v>
      </c>
      <c r="S253" t="s">
        <v>4980</v>
      </c>
      <c r="T253" t="s">
        <v>4467</v>
      </c>
      <c r="U253" t="s">
        <v>4468</v>
      </c>
      <c r="V253" t="s">
        <v>4469</v>
      </c>
      <c r="W253" t="s">
        <v>4470</v>
      </c>
      <c r="X253" t="s">
        <v>4471</v>
      </c>
      <c r="Y253" t="s">
        <v>4468</v>
      </c>
      <c r="Z253" t="s">
        <v>1015</v>
      </c>
      <c r="AA253" t="s">
        <v>4472</v>
      </c>
      <c r="AB253" t="s">
        <v>4469</v>
      </c>
      <c r="AC253" t="s">
        <v>61</v>
      </c>
      <c r="AD253" t="s">
        <v>19</v>
      </c>
      <c r="AE253" t="s">
        <v>19</v>
      </c>
      <c r="AF253" t="s">
        <v>1166</v>
      </c>
      <c r="AG253" t="s">
        <v>5213</v>
      </c>
      <c r="AH253" t="s">
        <v>22</v>
      </c>
      <c r="AI253" t="s">
        <v>22</v>
      </c>
      <c r="AJ253" t="s">
        <v>22</v>
      </c>
      <c r="AK253" t="s">
        <v>22</v>
      </c>
    </row>
    <row r="254" spans="1:37" ht="11.25" customHeight="1">
      <c r="A254" t="s">
        <v>22</v>
      </c>
      <c r="B254" t="s">
        <v>48</v>
      </c>
      <c r="C254" t="s">
        <v>50</v>
      </c>
      <c r="D254" t="s">
        <v>22</v>
      </c>
      <c r="E254" t="s">
        <v>5214</v>
      </c>
      <c r="F254" t="s">
        <v>1104</v>
      </c>
      <c r="G254" t="s">
        <v>106</v>
      </c>
      <c r="H254" t="s">
        <v>106</v>
      </c>
      <c r="I254" t="s">
        <v>107</v>
      </c>
      <c r="J254" t="s">
        <v>4987</v>
      </c>
      <c r="K254" t="s">
        <v>4988</v>
      </c>
      <c r="L254" t="s">
        <v>5215</v>
      </c>
      <c r="M254" t="s">
        <v>5216</v>
      </c>
      <c r="N254" t="s">
        <v>114</v>
      </c>
      <c r="O254" t="s">
        <v>106</v>
      </c>
      <c r="P254" t="s">
        <v>106</v>
      </c>
      <c r="Q254" t="s">
        <v>107</v>
      </c>
      <c r="R254" t="s">
        <v>4987</v>
      </c>
      <c r="S254" t="s">
        <v>4988</v>
      </c>
      <c r="T254" t="s">
        <v>4467</v>
      </c>
      <c r="U254" t="s">
        <v>4468</v>
      </c>
      <c r="V254" t="s">
        <v>4469</v>
      </c>
      <c r="W254" t="s">
        <v>4470</v>
      </c>
      <c r="X254" t="s">
        <v>4471</v>
      </c>
      <c r="Y254" t="s">
        <v>4468</v>
      </c>
      <c r="Z254" t="s">
        <v>1015</v>
      </c>
      <c r="AA254" t="s">
        <v>4472</v>
      </c>
      <c r="AB254" t="s">
        <v>4469</v>
      </c>
      <c r="AC254" t="s">
        <v>61</v>
      </c>
      <c r="AD254" t="s">
        <v>19</v>
      </c>
      <c r="AE254" t="s">
        <v>19</v>
      </c>
      <c r="AF254" t="s">
        <v>5217</v>
      </c>
      <c r="AG254" t="s">
        <v>5217</v>
      </c>
      <c r="AH254" t="s">
        <v>22</v>
      </c>
      <c r="AI254" t="s">
        <v>22</v>
      </c>
      <c r="AJ254" t="s">
        <v>22</v>
      </c>
      <c r="AK254" t="s">
        <v>22</v>
      </c>
    </row>
    <row r="255" spans="1:37" ht="11.25" customHeight="1">
      <c r="A255" t="s">
        <v>22</v>
      </c>
      <c r="B255" t="s">
        <v>48</v>
      </c>
      <c r="C255" t="s">
        <v>50</v>
      </c>
      <c r="D255" t="s">
        <v>22</v>
      </c>
      <c r="E255" t="s">
        <v>5218</v>
      </c>
      <c r="F255" t="s">
        <v>1104</v>
      </c>
      <c r="G255" t="s">
        <v>99</v>
      </c>
      <c r="H255" t="s">
        <v>99</v>
      </c>
      <c r="I255" t="s">
        <v>100</v>
      </c>
      <c r="J255" t="s">
        <v>1059</v>
      </c>
      <c r="K255" t="s">
        <v>1060</v>
      </c>
      <c r="L255" t="s">
        <v>5219</v>
      </c>
      <c r="M255" t="s">
        <v>1120</v>
      </c>
      <c r="N255" t="s">
        <v>114</v>
      </c>
      <c r="O255" t="s">
        <v>4520</v>
      </c>
      <c r="P255" t="s">
        <v>4520</v>
      </c>
      <c r="Q255" t="s">
        <v>100</v>
      </c>
      <c r="R255" t="s">
        <v>1059</v>
      </c>
      <c r="S255" t="s">
        <v>1060</v>
      </c>
      <c r="T255" t="s">
        <v>4467</v>
      </c>
      <c r="U255" t="s">
        <v>4468</v>
      </c>
      <c r="V255" t="s">
        <v>4521</v>
      </c>
      <c r="W255" t="s">
        <v>4470</v>
      </c>
      <c r="X255" t="s">
        <v>4471</v>
      </c>
      <c r="Y255" t="s">
        <v>4468</v>
      </c>
      <c r="Z255" t="s">
        <v>1015</v>
      </c>
      <c r="AA255" t="s">
        <v>4522</v>
      </c>
      <c r="AB255" t="s">
        <v>4521</v>
      </c>
      <c r="AC255" t="s">
        <v>61</v>
      </c>
      <c r="AD255" t="s">
        <v>19</v>
      </c>
      <c r="AE255" t="s">
        <v>19</v>
      </c>
      <c r="AF255" t="s">
        <v>4560</v>
      </c>
      <c r="AG255" t="s">
        <v>5220</v>
      </c>
      <c r="AH255" t="s">
        <v>22</v>
      </c>
      <c r="AI255" t="s">
        <v>22</v>
      </c>
      <c r="AJ255" t="s">
        <v>22</v>
      </c>
      <c r="AK255" t="s">
        <v>22</v>
      </c>
    </row>
    <row r="256" spans="1:37" ht="11.25" customHeight="1">
      <c r="A256" t="s">
        <v>22</v>
      </c>
      <c r="B256" t="s">
        <v>48</v>
      </c>
      <c r="C256" t="s">
        <v>50</v>
      </c>
      <c r="D256" t="s">
        <v>22</v>
      </c>
      <c r="E256" t="s">
        <v>5221</v>
      </c>
      <c r="F256" t="s">
        <v>1104</v>
      </c>
      <c r="G256" t="s">
        <v>106</v>
      </c>
      <c r="H256" t="s">
        <v>106</v>
      </c>
      <c r="I256" t="s">
        <v>107</v>
      </c>
      <c r="J256" t="s">
        <v>4979</v>
      </c>
      <c r="K256" t="s">
        <v>4980</v>
      </c>
      <c r="L256" t="s">
        <v>4981</v>
      </c>
      <c r="M256" t="s">
        <v>786</v>
      </c>
      <c r="N256" t="s">
        <v>114</v>
      </c>
      <c r="O256" t="s">
        <v>106</v>
      </c>
      <c r="P256" t="s">
        <v>106</v>
      </c>
      <c r="Q256" t="s">
        <v>107</v>
      </c>
      <c r="R256" t="s">
        <v>4979</v>
      </c>
      <c r="S256" t="s">
        <v>4980</v>
      </c>
      <c r="T256" t="s">
        <v>4467</v>
      </c>
      <c r="U256" t="s">
        <v>4468</v>
      </c>
      <c r="V256" t="s">
        <v>4469</v>
      </c>
      <c r="W256" t="s">
        <v>4470</v>
      </c>
      <c r="X256" t="s">
        <v>4471</v>
      </c>
      <c r="Y256" t="s">
        <v>4468</v>
      </c>
      <c r="Z256" t="s">
        <v>1015</v>
      </c>
      <c r="AA256" t="s">
        <v>4472</v>
      </c>
      <c r="AB256" t="s">
        <v>4469</v>
      </c>
      <c r="AC256" t="s">
        <v>61</v>
      </c>
      <c r="AD256" t="s">
        <v>19</v>
      </c>
      <c r="AE256" t="s">
        <v>19</v>
      </c>
      <c r="AF256" t="s">
        <v>1166</v>
      </c>
      <c r="AG256" t="s">
        <v>5213</v>
      </c>
      <c r="AH256" t="s">
        <v>22</v>
      </c>
      <c r="AI256" t="s">
        <v>22</v>
      </c>
      <c r="AJ256" t="s">
        <v>22</v>
      </c>
      <c r="AK256" t="s">
        <v>22</v>
      </c>
    </row>
    <row r="257" spans="1:37" ht="11.25" customHeight="1">
      <c r="A257" t="s">
        <v>22</v>
      </c>
      <c r="B257" t="s">
        <v>48</v>
      </c>
      <c r="C257" t="s">
        <v>50</v>
      </c>
      <c r="D257" t="s">
        <v>22</v>
      </c>
      <c r="E257" t="s">
        <v>5222</v>
      </c>
      <c r="F257" t="s">
        <v>1104</v>
      </c>
      <c r="G257" t="s">
        <v>106</v>
      </c>
      <c r="H257" t="s">
        <v>106</v>
      </c>
      <c r="I257" t="s">
        <v>107</v>
      </c>
      <c r="J257" t="s">
        <v>5085</v>
      </c>
      <c r="K257" t="s">
        <v>5086</v>
      </c>
      <c r="L257" t="s">
        <v>5223</v>
      </c>
      <c r="M257" t="s">
        <v>786</v>
      </c>
      <c r="N257" t="s">
        <v>114</v>
      </c>
      <c r="O257" t="s">
        <v>106</v>
      </c>
      <c r="P257" t="s">
        <v>106</v>
      </c>
      <c r="Q257" t="s">
        <v>107</v>
      </c>
      <c r="R257" t="s">
        <v>5085</v>
      </c>
      <c r="S257" t="s">
        <v>5086</v>
      </c>
      <c r="T257" t="s">
        <v>4467</v>
      </c>
      <c r="U257" t="s">
        <v>4468</v>
      </c>
      <c r="V257" t="s">
        <v>4469</v>
      </c>
      <c r="W257" t="s">
        <v>4470</v>
      </c>
      <c r="X257" t="s">
        <v>4471</v>
      </c>
      <c r="Y257" t="s">
        <v>4468</v>
      </c>
      <c r="Z257" t="s">
        <v>1015</v>
      </c>
      <c r="AA257" t="s">
        <v>4472</v>
      </c>
      <c r="AB257" t="s">
        <v>4469</v>
      </c>
      <c r="AC257" t="s">
        <v>61</v>
      </c>
      <c r="AD257" t="s">
        <v>19</v>
      </c>
      <c r="AE257" t="s">
        <v>19</v>
      </c>
      <c r="AF257" t="s">
        <v>1823</v>
      </c>
      <c r="AG257" t="s">
        <v>5224</v>
      </c>
      <c r="AH257" t="s">
        <v>22</v>
      </c>
      <c r="AI257" t="s">
        <v>22</v>
      </c>
      <c r="AJ257" t="s">
        <v>22</v>
      </c>
      <c r="AK257" t="s">
        <v>22</v>
      </c>
    </row>
    <row r="258" spans="1:37" ht="11.25" customHeight="1">
      <c r="A258" t="s">
        <v>22</v>
      </c>
      <c r="B258" t="s">
        <v>48</v>
      </c>
      <c r="C258" t="s">
        <v>50</v>
      </c>
      <c r="D258" t="s">
        <v>22</v>
      </c>
      <c r="E258" t="s">
        <v>5225</v>
      </c>
      <c r="F258" t="s">
        <v>1104</v>
      </c>
      <c r="G258" t="s">
        <v>106</v>
      </c>
      <c r="H258" t="s">
        <v>106</v>
      </c>
      <c r="I258" t="s">
        <v>107</v>
      </c>
      <c r="J258" t="s">
        <v>5085</v>
      </c>
      <c r="K258" t="s">
        <v>5086</v>
      </c>
      <c r="L258" t="s">
        <v>5223</v>
      </c>
      <c r="M258" t="s">
        <v>786</v>
      </c>
      <c r="N258" t="s">
        <v>114</v>
      </c>
      <c r="O258" t="s">
        <v>106</v>
      </c>
      <c r="P258" t="s">
        <v>106</v>
      </c>
      <c r="Q258" t="s">
        <v>107</v>
      </c>
      <c r="R258" t="s">
        <v>5085</v>
      </c>
      <c r="S258" t="s">
        <v>5086</v>
      </c>
      <c r="T258" t="s">
        <v>4467</v>
      </c>
      <c r="U258" t="s">
        <v>4468</v>
      </c>
      <c r="V258" t="s">
        <v>4469</v>
      </c>
      <c r="W258" t="s">
        <v>4470</v>
      </c>
      <c r="X258" t="s">
        <v>4471</v>
      </c>
      <c r="Y258" t="s">
        <v>4468</v>
      </c>
      <c r="Z258" t="s">
        <v>1015</v>
      </c>
      <c r="AA258" t="s">
        <v>4472</v>
      </c>
      <c r="AB258" t="s">
        <v>4469</v>
      </c>
      <c r="AC258" t="s">
        <v>61</v>
      </c>
      <c r="AD258" t="s">
        <v>19</v>
      </c>
      <c r="AE258" t="s">
        <v>19</v>
      </c>
      <c r="AF258" t="s">
        <v>1823</v>
      </c>
      <c r="AG258" t="s">
        <v>5224</v>
      </c>
      <c r="AH258" t="s">
        <v>22</v>
      </c>
      <c r="AI258" t="s">
        <v>22</v>
      </c>
      <c r="AJ258" t="s">
        <v>22</v>
      </c>
      <c r="AK258" t="s">
        <v>22</v>
      </c>
    </row>
    <row r="259" spans="1:37" ht="11.25" customHeight="1">
      <c r="A259" t="s">
        <v>22</v>
      </c>
      <c r="B259" t="s">
        <v>48</v>
      </c>
      <c r="C259" t="s">
        <v>50</v>
      </c>
      <c r="D259" t="s">
        <v>22</v>
      </c>
      <c r="E259" t="s">
        <v>5226</v>
      </c>
      <c r="F259" t="s">
        <v>1104</v>
      </c>
      <c r="G259" t="s">
        <v>106</v>
      </c>
      <c r="H259" t="s">
        <v>106</v>
      </c>
      <c r="I259" t="s">
        <v>107</v>
      </c>
      <c r="J259" t="s">
        <v>4979</v>
      </c>
      <c r="K259" t="s">
        <v>4980</v>
      </c>
      <c r="L259" t="s">
        <v>4981</v>
      </c>
      <c r="M259" t="s">
        <v>786</v>
      </c>
      <c r="N259" t="s">
        <v>114</v>
      </c>
      <c r="O259" t="s">
        <v>106</v>
      </c>
      <c r="P259" t="s">
        <v>106</v>
      </c>
      <c r="Q259" t="s">
        <v>107</v>
      </c>
      <c r="R259" t="s">
        <v>4979</v>
      </c>
      <c r="S259" t="s">
        <v>4980</v>
      </c>
      <c r="T259" t="s">
        <v>4467</v>
      </c>
      <c r="U259" t="s">
        <v>4468</v>
      </c>
      <c r="V259" t="s">
        <v>4469</v>
      </c>
      <c r="W259" t="s">
        <v>4470</v>
      </c>
      <c r="X259" t="s">
        <v>4471</v>
      </c>
      <c r="Y259" t="s">
        <v>4468</v>
      </c>
      <c r="Z259" t="s">
        <v>1015</v>
      </c>
      <c r="AA259" t="s">
        <v>4472</v>
      </c>
      <c r="AB259" t="s">
        <v>4469</v>
      </c>
      <c r="AC259" t="s">
        <v>61</v>
      </c>
      <c r="AD259" t="s">
        <v>19</v>
      </c>
      <c r="AE259" t="s">
        <v>19</v>
      </c>
      <c r="AF259" t="s">
        <v>1823</v>
      </c>
      <c r="AG259" t="s">
        <v>5227</v>
      </c>
      <c r="AH259" t="s">
        <v>22</v>
      </c>
      <c r="AI259" t="s">
        <v>22</v>
      </c>
      <c r="AJ259" t="s">
        <v>22</v>
      </c>
      <c r="AK259" t="s">
        <v>22</v>
      </c>
    </row>
    <row r="260" spans="1:37" ht="11.25" customHeight="1">
      <c r="A260" t="s">
        <v>22</v>
      </c>
      <c r="B260" t="s">
        <v>48</v>
      </c>
      <c r="C260" t="s">
        <v>50</v>
      </c>
      <c r="D260" t="s">
        <v>22</v>
      </c>
      <c r="E260" t="s">
        <v>5228</v>
      </c>
      <c r="F260" t="s">
        <v>1104</v>
      </c>
      <c r="G260" t="s">
        <v>106</v>
      </c>
      <c r="H260" t="s">
        <v>106</v>
      </c>
      <c r="I260" t="s">
        <v>107</v>
      </c>
      <c r="J260" t="s">
        <v>5114</v>
      </c>
      <c r="K260" t="s">
        <v>5115</v>
      </c>
      <c r="L260" t="s">
        <v>5206</v>
      </c>
      <c r="M260" t="s">
        <v>786</v>
      </c>
      <c r="N260" t="s">
        <v>114</v>
      </c>
      <c r="O260" t="s">
        <v>106</v>
      </c>
      <c r="P260" t="s">
        <v>106</v>
      </c>
      <c r="Q260" t="s">
        <v>107</v>
      </c>
      <c r="R260" t="s">
        <v>5114</v>
      </c>
      <c r="S260" t="s">
        <v>5115</v>
      </c>
      <c r="T260" t="s">
        <v>4467</v>
      </c>
      <c r="U260" t="s">
        <v>4468</v>
      </c>
      <c r="V260" t="s">
        <v>4469</v>
      </c>
      <c r="W260" t="s">
        <v>4470</v>
      </c>
      <c r="X260" t="s">
        <v>4471</v>
      </c>
      <c r="Y260" t="s">
        <v>4468</v>
      </c>
      <c r="Z260" t="s">
        <v>1015</v>
      </c>
      <c r="AA260" t="s">
        <v>4472</v>
      </c>
      <c r="AB260" t="s">
        <v>4469</v>
      </c>
      <c r="AC260" t="s">
        <v>61</v>
      </c>
      <c r="AD260" t="s">
        <v>19</v>
      </c>
      <c r="AE260" t="s">
        <v>19</v>
      </c>
      <c r="AF260" t="s">
        <v>4481</v>
      </c>
      <c r="AG260" t="s">
        <v>4482</v>
      </c>
      <c r="AH260" t="s">
        <v>22</v>
      </c>
      <c r="AI260" t="s">
        <v>22</v>
      </c>
      <c r="AJ260" t="s">
        <v>22</v>
      </c>
      <c r="AK260" t="s">
        <v>22</v>
      </c>
    </row>
    <row r="261" spans="1:37" ht="11.25" customHeight="1">
      <c r="A261" t="s">
        <v>22</v>
      </c>
      <c r="B261" t="s">
        <v>48</v>
      </c>
      <c r="C261" t="s">
        <v>50</v>
      </c>
      <c r="D261" t="s">
        <v>22</v>
      </c>
      <c r="E261" t="s">
        <v>5229</v>
      </c>
      <c r="F261" t="s">
        <v>1104</v>
      </c>
      <c r="G261" t="s">
        <v>106</v>
      </c>
      <c r="H261" t="s">
        <v>106</v>
      </c>
      <c r="I261" t="s">
        <v>107</v>
      </c>
      <c r="J261" t="s">
        <v>4909</v>
      </c>
      <c r="K261" t="s">
        <v>4910</v>
      </c>
      <c r="L261" t="s">
        <v>4911</v>
      </c>
      <c r="M261" t="s">
        <v>1015</v>
      </c>
      <c r="N261" t="s">
        <v>114</v>
      </c>
      <c r="O261" t="s">
        <v>106</v>
      </c>
      <c r="P261" t="s">
        <v>106</v>
      </c>
      <c r="Q261" t="s">
        <v>107</v>
      </c>
      <c r="R261" t="s">
        <v>4909</v>
      </c>
      <c r="S261" t="s">
        <v>4910</v>
      </c>
      <c r="T261" t="s">
        <v>4467</v>
      </c>
      <c r="U261" t="s">
        <v>4468</v>
      </c>
      <c r="V261" t="s">
        <v>4469</v>
      </c>
      <c r="W261" t="s">
        <v>4487</v>
      </c>
      <c r="X261" t="s">
        <v>4471</v>
      </c>
      <c r="Y261" t="s">
        <v>4468</v>
      </c>
      <c r="Z261" t="s">
        <v>1015</v>
      </c>
      <c r="AA261" t="s">
        <v>4472</v>
      </c>
      <c r="AB261" t="s">
        <v>4469</v>
      </c>
      <c r="AC261" t="s">
        <v>61</v>
      </c>
      <c r="AD261" t="s">
        <v>19</v>
      </c>
      <c r="AE261" t="s">
        <v>19</v>
      </c>
      <c r="AF261" t="s">
        <v>1766</v>
      </c>
      <c r="AG261" t="s">
        <v>387</v>
      </c>
      <c r="AH261" t="s">
        <v>22</v>
      </c>
      <c r="AI261" t="s">
        <v>22</v>
      </c>
      <c r="AJ261" t="s">
        <v>22</v>
      </c>
      <c r="AK261" t="s">
        <v>22</v>
      </c>
    </row>
    <row r="262" spans="1:37" ht="11.25" customHeight="1">
      <c r="A262" t="s">
        <v>22</v>
      </c>
      <c r="B262" t="s">
        <v>48</v>
      </c>
      <c r="C262" t="s">
        <v>50</v>
      </c>
      <c r="D262" t="s">
        <v>22</v>
      </c>
      <c r="E262" t="s">
        <v>5230</v>
      </c>
      <c r="F262" t="s">
        <v>1104</v>
      </c>
      <c r="G262" t="s">
        <v>106</v>
      </c>
      <c r="H262" t="s">
        <v>106</v>
      </c>
      <c r="I262" t="s">
        <v>107</v>
      </c>
      <c r="J262" t="s">
        <v>4886</v>
      </c>
      <c r="K262" t="s">
        <v>4887</v>
      </c>
      <c r="L262" t="s">
        <v>4888</v>
      </c>
      <c r="M262" t="s">
        <v>786</v>
      </c>
      <c r="N262" t="s">
        <v>114</v>
      </c>
      <c r="O262" t="s">
        <v>106</v>
      </c>
      <c r="P262" t="s">
        <v>106</v>
      </c>
      <c r="Q262" t="s">
        <v>107</v>
      </c>
      <c r="R262" t="s">
        <v>4886</v>
      </c>
      <c r="S262" t="s">
        <v>4887</v>
      </c>
      <c r="T262" t="s">
        <v>4467</v>
      </c>
      <c r="U262" t="s">
        <v>4468</v>
      </c>
      <c r="V262" t="s">
        <v>4469</v>
      </c>
      <c r="W262" t="s">
        <v>4470</v>
      </c>
      <c r="X262" t="s">
        <v>4471</v>
      </c>
      <c r="Y262" t="s">
        <v>4468</v>
      </c>
      <c r="Z262" t="s">
        <v>1015</v>
      </c>
      <c r="AA262" t="s">
        <v>4472</v>
      </c>
      <c r="AB262" t="s">
        <v>4469</v>
      </c>
      <c r="AC262" t="s">
        <v>61</v>
      </c>
      <c r="AD262" t="s">
        <v>19</v>
      </c>
      <c r="AE262" t="s">
        <v>19</v>
      </c>
      <c r="AF262" t="s">
        <v>162</v>
      </c>
      <c r="AG262" t="s">
        <v>102</v>
      </c>
      <c r="AH262" t="s">
        <v>22</v>
      </c>
      <c r="AI262" t="s">
        <v>22</v>
      </c>
      <c r="AJ262" t="s">
        <v>22</v>
      </c>
      <c r="AK262" t="s">
        <v>22</v>
      </c>
    </row>
    <row r="263" spans="1:37" ht="11.25" customHeight="1">
      <c r="A263" t="s">
        <v>22</v>
      </c>
      <c r="B263" t="s">
        <v>48</v>
      </c>
      <c r="C263" t="s">
        <v>50</v>
      </c>
      <c r="D263" t="s">
        <v>22</v>
      </c>
      <c r="E263" t="s">
        <v>5231</v>
      </c>
      <c r="F263" t="s">
        <v>1104</v>
      </c>
      <c r="G263" t="s">
        <v>106</v>
      </c>
      <c r="H263" t="s">
        <v>106</v>
      </c>
      <c r="I263" t="s">
        <v>107</v>
      </c>
      <c r="J263" t="s">
        <v>5232</v>
      </c>
      <c r="K263" t="s">
        <v>5233</v>
      </c>
      <c r="L263" t="s">
        <v>5234</v>
      </c>
      <c r="M263" t="s">
        <v>1015</v>
      </c>
      <c r="N263" t="s">
        <v>114</v>
      </c>
      <c r="O263" t="s">
        <v>106</v>
      </c>
      <c r="P263" t="s">
        <v>106</v>
      </c>
      <c r="Q263" t="s">
        <v>107</v>
      </c>
      <c r="R263" t="s">
        <v>5232</v>
      </c>
      <c r="S263" t="s">
        <v>5233</v>
      </c>
      <c r="T263" t="s">
        <v>4467</v>
      </c>
      <c r="U263" t="s">
        <v>4468</v>
      </c>
      <c r="V263" t="s">
        <v>4469</v>
      </c>
      <c r="W263" t="s">
        <v>4487</v>
      </c>
      <c r="X263" t="s">
        <v>4471</v>
      </c>
      <c r="Y263" t="s">
        <v>4468</v>
      </c>
      <c r="Z263" t="s">
        <v>1015</v>
      </c>
      <c r="AA263" t="s">
        <v>4472</v>
      </c>
      <c r="AB263" t="s">
        <v>4469</v>
      </c>
      <c r="AC263" t="s">
        <v>61</v>
      </c>
      <c r="AD263" t="s">
        <v>19</v>
      </c>
      <c r="AE263" t="s">
        <v>19</v>
      </c>
      <c r="AF263" t="s">
        <v>162</v>
      </c>
      <c r="AG263" t="s">
        <v>387</v>
      </c>
      <c r="AH263" t="s">
        <v>22</v>
      </c>
      <c r="AI263" t="s">
        <v>22</v>
      </c>
      <c r="AJ263" t="s">
        <v>22</v>
      </c>
      <c r="AK263" t="s">
        <v>22</v>
      </c>
    </row>
    <row r="264" spans="1:37" ht="11.25" customHeight="1">
      <c r="A264" t="s">
        <v>22</v>
      </c>
      <c r="B264" t="s">
        <v>48</v>
      </c>
      <c r="C264" t="s">
        <v>50</v>
      </c>
      <c r="D264" t="s">
        <v>22</v>
      </c>
      <c r="E264" t="s">
        <v>5235</v>
      </c>
      <c r="F264" t="s">
        <v>1104</v>
      </c>
      <c r="G264" t="s">
        <v>106</v>
      </c>
      <c r="H264" t="s">
        <v>106</v>
      </c>
      <c r="I264" t="s">
        <v>107</v>
      </c>
      <c r="J264" t="s">
        <v>5065</v>
      </c>
      <c r="K264" t="s">
        <v>5066</v>
      </c>
      <c r="L264" t="s">
        <v>5067</v>
      </c>
      <c r="M264" t="s">
        <v>786</v>
      </c>
      <c r="N264" t="s">
        <v>114</v>
      </c>
      <c r="O264" t="s">
        <v>106</v>
      </c>
      <c r="P264" t="s">
        <v>106</v>
      </c>
      <c r="Q264" t="s">
        <v>107</v>
      </c>
      <c r="R264" t="s">
        <v>5065</v>
      </c>
      <c r="S264" t="s">
        <v>5066</v>
      </c>
      <c r="T264" t="s">
        <v>4467</v>
      </c>
      <c r="U264" t="s">
        <v>4468</v>
      </c>
      <c r="V264" t="s">
        <v>4469</v>
      </c>
      <c r="W264" t="s">
        <v>4470</v>
      </c>
      <c r="X264" t="s">
        <v>4471</v>
      </c>
      <c r="Y264" t="s">
        <v>4468</v>
      </c>
      <c r="Z264" t="s">
        <v>1015</v>
      </c>
      <c r="AA264" t="s">
        <v>4472</v>
      </c>
      <c r="AB264" t="s">
        <v>4469</v>
      </c>
      <c r="AC264" t="s">
        <v>61</v>
      </c>
      <c r="AD264" t="s">
        <v>19</v>
      </c>
      <c r="AE264" t="s">
        <v>19</v>
      </c>
      <c r="AF264" t="s">
        <v>162</v>
      </c>
      <c r="AG264" t="s">
        <v>102</v>
      </c>
      <c r="AH264" t="s">
        <v>22</v>
      </c>
      <c r="AI264" t="s">
        <v>22</v>
      </c>
      <c r="AJ264" t="s">
        <v>22</v>
      </c>
      <c r="AK264" t="s">
        <v>22</v>
      </c>
    </row>
    <row r="265" spans="1:37" ht="11.25" customHeight="1">
      <c r="A265" t="s">
        <v>22</v>
      </c>
      <c r="B265" t="s">
        <v>48</v>
      </c>
      <c r="C265" t="s">
        <v>50</v>
      </c>
      <c r="D265" t="s">
        <v>22</v>
      </c>
      <c r="E265" t="s">
        <v>5236</v>
      </c>
      <c r="F265" t="s">
        <v>1104</v>
      </c>
      <c r="G265" t="s">
        <v>106</v>
      </c>
      <c r="H265" t="s">
        <v>106</v>
      </c>
      <c r="I265" t="s">
        <v>107</v>
      </c>
      <c r="J265" t="s">
        <v>4497</v>
      </c>
      <c r="K265" t="s">
        <v>4498</v>
      </c>
      <c r="L265" t="s">
        <v>4499</v>
      </c>
      <c r="M265" t="s">
        <v>786</v>
      </c>
      <c r="N265" t="s">
        <v>114</v>
      </c>
      <c r="O265" t="s">
        <v>106</v>
      </c>
      <c r="P265" t="s">
        <v>106</v>
      </c>
      <c r="Q265" t="s">
        <v>107</v>
      </c>
      <c r="R265" t="s">
        <v>4497</v>
      </c>
      <c r="S265" t="s">
        <v>4498</v>
      </c>
      <c r="T265" t="s">
        <v>4467</v>
      </c>
      <c r="U265" t="s">
        <v>4468</v>
      </c>
      <c r="V265" t="s">
        <v>4469</v>
      </c>
      <c r="W265" t="s">
        <v>4470</v>
      </c>
      <c r="X265" t="s">
        <v>4471</v>
      </c>
      <c r="Y265" t="s">
        <v>4468</v>
      </c>
      <c r="Z265" t="s">
        <v>1015</v>
      </c>
      <c r="AA265" t="s">
        <v>4472</v>
      </c>
      <c r="AB265" t="s">
        <v>4469</v>
      </c>
      <c r="AC265" t="s">
        <v>61</v>
      </c>
      <c r="AD265" t="s">
        <v>19</v>
      </c>
      <c r="AE265" t="s">
        <v>19</v>
      </c>
      <c r="AF265" t="s">
        <v>162</v>
      </c>
      <c r="AG265" t="s">
        <v>1206</v>
      </c>
      <c r="AH265" t="s">
        <v>22</v>
      </c>
      <c r="AI265" t="s">
        <v>22</v>
      </c>
      <c r="AJ265" t="s">
        <v>22</v>
      </c>
      <c r="AK265" t="s">
        <v>22</v>
      </c>
    </row>
    <row r="266" spans="1:37" ht="11.25" customHeight="1">
      <c r="A266" t="s">
        <v>22</v>
      </c>
      <c r="B266" t="s">
        <v>48</v>
      </c>
      <c r="C266" t="s">
        <v>50</v>
      </c>
      <c r="D266" t="s">
        <v>22</v>
      </c>
      <c r="E266" t="s">
        <v>5237</v>
      </c>
      <c r="F266" t="s">
        <v>1104</v>
      </c>
      <c r="G266" t="s">
        <v>106</v>
      </c>
      <c r="H266" t="s">
        <v>106</v>
      </c>
      <c r="I266" t="s">
        <v>107</v>
      </c>
      <c r="J266" t="s">
        <v>4917</v>
      </c>
      <c r="K266" t="s">
        <v>4918</v>
      </c>
      <c r="L266" t="s">
        <v>4919</v>
      </c>
      <c r="M266" t="s">
        <v>786</v>
      </c>
      <c r="N266" t="s">
        <v>114</v>
      </c>
      <c r="O266" t="s">
        <v>106</v>
      </c>
      <c r="P266" t="s">
        <v>106</v>
      </c>
      <c r="Q266" t="s">
        <v>107</v>
      </c>
      <c r="R266" t="s">
        <v>4917</v>
      </c>
      <c r="S266" t="s">
        <v>4918</v>
      </c>
      <c r="T266" t="s">
        <v>4467</v>
      </c>
      <c r="U266" t="s">
        <v>4468</v>
      </c>
      <c r="V266" t="s">
        <v>4469</v>
      </c>
      <c r="W266" t="s">
        <v>4470</v>
      </c>
      <c r="X266" t="s">
        <v>4471</v>
      </c>
      <c r="Y266" t="s">
        <v>4468</v>
      </c>
      <c r="Z266" t="s">
        <v>1015</v>
      </c>
      <c r="AA266" t="s">
        <v>4472</v>
      </c>
      <c r="AB266" t="s">
        <v>4469</v>
      </c>
      <c r="AC266" t="s">
        <v>61</v>
      </c>
      <c r="AD266" t="s">
        <v>19</v>
      </c>
      <c r="AE266" t="s">
        <v>19</v>
      </c>
      <c r="AF266" t="s">
        <v>162</v>
      </c>
      <c r="AG266" t="s">
        <v>4920</v>
      </c>
      <c r="AH266" t="s">
        <v>22</v>
      </c>
      <c r="AI266" t="s">
        <v>22</v>
      </c>
      <c r="AJ266" t="s">
        <v>22</v>
      </c>
      <c r="AK266" t="s">
        <v>22</v>
      </c>
    </row>
    <row r="267" spans="1:37" ht="11.25" customHeight="1">
      <c r="A267" t="s">
        <v>22</v>
      </c>
      <c r="B267" t="s">
        <v>48</v>
      </c>
      <c r="C267" t="s">
        <v>50</v>
      </c>
      <c r="D267" t="s">
        <v>22</v>
      </c>
      <c r="E267" t="s">
        <v>5238</v>
      </c>
      <c r="F267" t="s">
        <v>1104</v>
      </c>
      <c r="G267" t="s">
        <v>106</v>
      </c>
      <c r="H267" t="s">
        <v>106</v>
      </c>
      <c r="I267" t="s">
        <v>107</v>
      </c>
      <c r="J267" t="s">
        <v>4909</v>
      </c>
      <c r="K267" t="s">
        <v>4910</v>
      </c>
      <c r="L267" t="s">
        <v>4911</v>
      </c>
      <c r="M267" t="s">
        <v>1015</v>
      </c>
      <c r="N267" t="s">
        <v>114</v>
      </c>
      <c r="O267" t="s">
        <v>106</v>
      </c>
      <c r="P267" t="s">
        <v>106</v>
      </c>
      <c r="Q267" t="s">
        <v>107</v>
      </c>
      <c r="R267" t="s">
        <v>4909</v>
      </c>
      <c r="S267" t="s">
        <v>4910</v>
      </c>
      <c r="T267" t="s">
        <v>4467</v>
      </c>
      <c r="U267" t="s">
        <v>4468</v>
      </c>
      <c r="V267" t="s">
        <v>4469</v>
      </c>
      <c r="W267" t="s">
        <v>4487</v>
      </c>
      <c r="X267" t="s">
        <v>4471</v>
      </c>
      <c r="Y267" t="s">
        <v>4468</v>
      </c>
      <c r="Z267" t="s">
        <v>1015</v>
      </c>
      <c r="AA267" t="s">
        <v>4472</v>
      </c>
      <c r="AB267" t="s">
        <v>4469</v>
      </c>
      <c r="AC267" t="s">
        <v>61</v>
      </c>
      <c r="AD267" t="s">
        <v>19</v>
      </c>
      <c r="AE267" t="s">
        <v>19</v>
      </c>
      <c r="AF267" t="s">
        <v>1766</v>
      </c>
      <c r="AG267" t="s">
        <v>387</v>
      </c>
      <c r="AH267" t="s">
        <v>22</v>
      </c>
      <c r="AI267" t="s">
        <v>22</v>
      </c>
      <c r="AJ267" t="s">
        <v>22</v>
      </c>
      <c r="AK267" t="s">
        <v>22</v>
      </c>
    </row>
    <row r="268" spans="1:37" ht="11.25" customHeight="1">
      <c r="A268" t="s">
        <v>22</v>
      </c>
      <c r="B268" t="s">
        <v>48</v>
      </c>
      <c r="C268" t="s">
        <v>50</v>
      </c>
      <c r="D268" t="s">
        <v>22</v>
      </c>
      <c r="E268" t="s">
        <v>5239</v>
      </c>
      <c r="F268" t="s">
        <v>1104</v>
      </c>
      <c r="G268" t="s">
        <v>106</v>
      </c>
      <c r="H268" t="s">
        <v>106</v>
      </c>
      <c r="I268" t="s">
        <v>107</v>
      </c>
      <c r="J268" t="s">
        <v>5023</v>
      </c>
      <c r="K268" t="s">
        <v>5024</v>
      </c>
      <c r="L268" t="s">
        <v>5025</v>
      </c>
      <c r="M268" t="s">
        <v>786</v>
      </c>
      <c r="N268" t="s">
        <v>114</v>
      </c>
      <c r="O268" t="s">
        <v>106</v>
      </c>
      <c r="P268" t="s">
        <v>106</v>
      </c>
      <c r="Q268" t="s">
        <v>107</v>
      </c>
      <c r="R268" t="s">
        <v>5023</v>
      </c>
      <c r="S268" t="s">
        <v>5024</v>
      </c>
      <c r="T268" t="s">
        <v>4467</v>
      </c>
      <c r="U268" t="s">
        <v>4468</v>
      </c>
      <c r="V268" t="s">
        <v>4469</v>
      </c>
      <c r="W268" t="s">
        <v>4470</v>
      </c>
      <c r="X268" t="s">
        <v>4471</v>
      </c>
      <c r="Y268" t="s">
        <v>4468</v>
      </c>
      <c r="Z268" t="s">
        <v>1015</v>
      </c>
      <c r="AA268" t="s">
        <v>4472</v>
      </c>
      <c r="AB268" t="s">
        <v>4469</v>
      </c>
      <c r="AC268" t="s">
        <v>61</v>
      </c>
      <c r="AD268" t="s">
        <v>19</v>
      </c>
      <c r="AE268" t="s">
        <v>19</v>
      </c>
      <c r="AF268" t="s">
        <v>1173</v>
      </c>
      <c r="AG268" t="s">
        <v>5026</v>
      </c>
      <c r="AH268" t="s">
        <v>22</v>
      </c>
      <c r="AI268" t="s">
        <v>22</v>
      </c>
      <c r="AJ268" t="s">
        <v>22</v>
      </c>
      <c r="AK268" t="s">
        <v>22</v>
      </c>
    </row>
    <row r="269" spans="1:37" ht="11.25" customHeight="1">
      <c r="A269" t="s">
        <v>22</v>
      </c>
      <c r="B269" t="s">
        <v>48</v>
      </c>
      <c r="C269" t="s">
        <v>50</v>
      </c>
      <c r="D269" t="s">
        <v>22</v>
      </c>
      <c r="E269" t="s">
        <v>5240</v>
      </c>
      <c r="F269" t="s">
        <v>1104</v>
      </c>
      <c r="G269" t="s">
        <v>106</v>
      </c>
      <c r="H269" t="s">
        <v>106</v>
      </c>
      <c r="I269" t="s">
        <v>107</v>
      </c>
      <c r="J269" t="s">
        <v>5128</v>
      </c>
      <c r="K269" t="s">
        <v>5129</v>
      </c>
      <c r="L269" t="s">
        <v>5130</v>
      </c>
      <c r="M269" t="s">
        <v>786</v>
      </c>
      <c r="N269" t="s">
        <v>114</v>
      </c>
      <c r="O269" t="s">
        <v>106</v>
      </c>
      <c r="P269" t="s">
        <v>106</v>
      </c>
      <c r="Q269" t="s">
        <v>107</v>
      </c>
      <c r="R269" t="s">
        <v>5128</v>
      </c>
      <c r="S269" t="s">
        <v>5129</v>
      </c>
      <c r="T269" t="s">
        <v>4467</v>
      </c>
      <c r="U269" t="s">
        <v>4468</v>
      </c>
      <c r="V269" t="s">
        <v>4469</v>
      </c>
      <c r="W269" t="s">
        <v>4470</v>
      </c>
      <c r="X269" t="s">
        <v>4471</v>
      </c>
      <c r="Y269" t="s">
        <v>4468</v>
      </c>
      <c r="Z269" t="s">
        <v>1015</v>
      </c>
      <c r="AA269" t="s">
        <v>4472</v>
      </c>
      <c r="AB269" t="s">
        <v>4469</v>
      </c>
      <c r="AC269" t="s">
        <v>61</v>
      </c>
      <c r="AD269" t="s">
        <v>19</v>
      </c>
      <c r="AE269" t="s">
        <v>19</v>
      </c>
      <c r="AF269" t="s">
        <v>4482</v>
      </c>
      <c r="AG269" t="s">
        <v>5026</v>
      </c>
      <c r="AH269" t="s">
        <v>22</v>
      </c>
      <c r="AI269" t="s">
        <v>22</v>
      </c>
      <c r="AJ269" t="s">
        <v>22</v>
      </c>
      <c r="AK269" t="s">
        <v>22</v>
      </c>
    </row>
    <row r="270" spans="1:37" ht="11.25" customHeight="1">
      <c r="A270" t="s">
        <v>22</v>
      </c>
      <c r="B270" t="s">
        <v>48</v>
      </c>
      <c r="C270" t="s">
        <v>50</v>
      </c>
      <c r="D270" t="s">
        <v>22</v>
      </c>
      <c r="E270" t="s">
        <v>5241</v>
      </c>
      <c r="F270" t="s">
        <v>1104</v>
      </c>
      <c r="G270" t="s">
        <v>106</v>
      </c>
      <c r="H270" t="s">
        <v>106</v>
      </c>
      <c r="I270" t="s">
        <v>107</v>
      </c>
      <c r="J270" t="s">
        <v>5242</v>
      </c>
      <c r="K270" t="s">
        <v>5243</v>
      </c>
      <c r="L270" t="s">
        <v>5244</v>
      </c>
      <c r="M270" t="s">
        <v>786</v>
      </c>
      <c r="N270" t="s">
        <v>114</v>
      </c>
      <c r="O270" t="s">
        <v>106</v>
      </c>
      <c r="P270" t="s">
        <v>106</v>
      </c>
      <c r="Q270" t="s">
        <v>107</v>
      </c>
      <c r="R270" t="s">
        <v>5242</v>
      </c>
      <c r="S270" t="s">
        <v>5243</v>
      </c>
      <c r="T270" t="s">
        <v>4732</v>
      </c>
      <c r="U270" t="s">
        <v>4660</v>
      </c>
      <c r="V270" t="s">
        <v>5245</v>
      </c>
      <c r="W270" t="s">
        <v>4470</v>
      </c>
      <c r="X270" t="s">
        <v>4734</v>
      </c>
      <c r="Y270" t="s">
        <v>4735</v>
      </c>
      <c r="Z270" t="s">
        <v>1015</v>
      </c>
      <c r="AA270" t="s">
        <v>5185</v>
      </c>
      <c r="AB270" t="s">
        <v>5245</v>
      </c>
      <c r="AC270" t="s">
        <v>61</v>
      </c>
      <c r="AD270" t="s">
        <v>19</v>
      </c>
      <c r="AE270" t="s">
        <v>19</v>
      </c>
      <c r="AF270" t="s">
        <v>162</v>
      </c>
      <c r="AG270" t="s">
        <v>5246</v>
      </c>
      <c r="AH270" t="s">
        <v>22</v>
      </c>
      <c r="AI270" t="s">
        <v>22</v>
      </c>
      <c r="AJ270" t="s">
        <v>22</v>
      </c>
      <c r="AK270" t="s">
        <v>22</v>
      </c>
    </row>
    <row r="271" spans="1:37" ht="11.25" customHeight="1">
      <c r="A271" t="s">
        <v>22</v>
      </c>
      <c r="B271" t="s">
        <v>48</v>
      </c>
      <c r="C271" t="s">
        <v>50</v>
      </c>
      <c r="D271" t="s">
        <v>22</v>
      </c>
      <c r="E271" t="s">
        <v>5247</v>
      </c>
      <c r="F271" t="s">
        <v>1104</v>
      </c>
      <c r="G271" t="s">
        <v>106</v>
      </c>
      <c r="H271" t="s">
        <v>106</v>
      </c>
      <c r="I271" t="s">
        <v>107</v>
      </c>
      <c r="J271" t="s">
        <v>4904</v>
      </c>
      <c r="K271" t="s">
        <v>4905</v>
      </c>
      <c r="L271" t="s">
        <v>4906</v>
      </c>
      <c r="M271" t="s">
        <v>1015</v>
      </c>
      <c r="N271" t="s">
        <v>114</v>
      </c>
      <c r="O271" t="s">
        <v>106</v>
      </c>
      <c r="P271" t="s">
        <v>106</v>
      </c>
      <c r="Q271" t="s">
        <v>107</v>
      </c>
      <c r="R271" t="s">
        <v>4904</v>
      </c>
      <c r="S271" t="s">
        <v>4905</v>
      </c>
      <c r="T271" t="s">
        <v>4732</v>
      </c>
      <c r="U271" t="s">
        <v>4660</v>
      </c>
      <c r="V271" t="s">
        <v>5248</v>
      </c>
      <c r="W271" t="s">
        <v>4470</v>
      </c>
      <c r="X271" t="s">
        <v>4734</v>
      </c>
      <c r="Y271" t="s">
        <v>4735</v>
      </c>
      <c r="Z271" t="s">
        <v>1015</v>
      </c>
      <c r="AA271" t="s">
        <v>5249</v>
      </c>
      <c r="AB271" t="s">
        <v>5248</v>
      </c>
      <c r="AC271" t="s">
        <v>61</v>
      </c>
      <c r="AD271" t="s">
        <v>19</v>
      </c>
      <c r="AE271" t="s">
        <v>19</v>
      </c>
      <c r="AF271" t="s">
        <v>162</v>
      </c>
      <c r="AG271" t="s">
        <v>4907</v>
      </c>
      <c r="AH271" t="s">
        <v>22</v>
      </c>
      <c r="AI271" t="s">
        <v>22</v>
      </c>
      <c r="AJ271" t="s">
        <v>22</v>
      </c>
      <c r="AK271" t="s">
        <v>22</v>
      </c>
    </row>
    <row r="272" spans="1:37" ht="11.25" customHeight="1">
      <c r="A272" t="s">
        <v>22</v>
      </c>
      <c r="B272" t="s">
        <v>48</v>
      </c>
      <c r="C272" t="s">
        <v>50</v>
      </c>
      <c r="D272" t="s">
        <v>22</v>
      </c>
      <c r="E272" t="s">
        <v>5250</v>
      </c>
      <c r="F272" t="s">
        <v>1104</v>
      </c>
      <c r="G272" t="s">
        <v>106</v>
      </c>
      <c r="H272" t="s">
        <v>106</v>
      </c>
      <c r="I272" t="s">
        <v>107</v>
      </c>
      <c r="J272" t="s">
        <v>4497</v>
      </c>
      <c r="K272" t="s">
        <v>4498</v>
      </c>
      <c r="L272" t="s">
        <v>4499</v>
      </c>
      <c r="M272" t="s">
        <v>786</v>
      </c>
      <c r="N272" t="s">
        <v>114</v>
      </c>
      <c r="O272" t="s">
        <v>106</v>
      </c>
      <c r="P272" t="s">
        <v>106</v>
      </c>
      <c r="Q272" t="s">
        <v>107</v>
      </c>
      <c r="R272" t="s">
        <v>4497</v>
      </c>
      <c r="S272" t="s">
        <v>4498</v>
      </c>
      <c r="T272" t="s">
        <v>4467</v>
      </c>
      <c r="U272" t="s">
        <v>4468</v>
      </c>
      <c r="V272" t="s">
        <v>4469</v>
      </c>
      <c r="W272" t="s">
        <v>4470</v>
      </c>
      <c r="X272" t="s">
        <v>4471</v>
      </c>
      <c r="Y272" t="s">
        <v>4468</v>
      </c>
      <c r="Z272" t="s">
        <v>1015</v>
      </c>
      <c r="AA272" t="s">
        <v>4472</v>
      </c>
      <c r="AB272" t="s">
        <v>4469</v>
      </c>
      <c r="AC272" t="s">
        <v>61</v>
      </c>
      <c r="AD272" t="s">
        <v>19</v>
      </c>
      <c r="AE272" t="s">
        <v>19</v>
      </c>
      <c r="AF272" t="s">
        <v>162</v>
      </c>
      <c r="AG272" t="s">
        <v>102</v>
      </c>
      <c r="AH272" t="s">
        <v>22</v>
      </c>
      <c r="AI272" t="s">
        <v>22</v>
      </c>
      <c r="AJ272" t="s">
        <v>22</v>
      </c>
      <c r="AK272" t="s">
        <v>22</v>
      </c>
    </row>
    <row r="273" spans="1:37" ht="11.25" customHeight="1">
      <c r="A273" t="s">
        <v>22</v>
      </c>
      <c r="B273" t="s">
        <v>48</v>
      </c>
      <c r="C273" t="s">
        <v>50</v>
      </c>
      <c r="D273" t="s">
        <v>22</v>
      </c>
      <c r="E273" t="s">
        <v>5251</v>
      </c>
      <c r="F273" t="s">
        <v>1104</v>
      </c>
      <c r="G273" t="s">
        <v>106</v>
      </c>
      <c r="H273" t="s">
        <v>106</v>
      </c>
      <c r="I273" t="s">
        <v>107</v>
      </c>
      <c r="J273" t="s">
        <v>4983</v>
      </c>
      <c r="K273" t="s">
        <v>4984</v>
      </c>
      <c r="L273" t="s">
        <v>4985</v>
      </c>
      <c r="M273" t="s">
        <v>786</v>
      </c>
      <c r="N273" t="s">
        <v>114</v>
      </c>
      <c r="O273" t="s">
        <v>106</v>
      </c>
      <c r="P273" t="s">
        <v>106</v>
      </c>
      <c r="Q273" t="s">
        <v>107</v>
      </c>
      <c r="R273" t="s">
        <v>4983</v>
      </c>
      <c r="S273" t="s">
        <v>4984</v>
      </c>
      <c r="T273" t="s">
        <v>4467</v>
      </c>
      <c r="U273" t="s">
        <v>4468</v>
      </c>
      <c r="V273" t="s">
        <v>4469</v>
      </c>
      <c r="W273" t="s">
        <v>4470</v>
      </c>
      <c r="X273" t="s">
        <v>4471</v>
      </c>
      <c r="Y273" t="s">
        <v>4468</v>
      </c>
      <c r="Z273" t="s">
        <v>1015</v>
      </c>
      <c r="AA273" t="s">
        <v>4472</v>
      </c>
      <c r="AB273" t="s">
        <v>4469</v>
      </c>
      <c r="AC273" t="s">
        <v>61</v>
      </c>
      <c r="AD273" t="s">
        <v>19</v>
      </c>
      <c r="AE273" t="s">
        <v>19</v>
      </c>
      <c r="AF273" t="s">
        <v>1766</v>
      </c>
      <c r="AG273" t="s">
        <v>4495</v>
      </c>
      <c r="AH273" t="s">
        <v>22</v>
      </c>
      <c r="AI273" t="s">
        <v>22</v>
      </c>
      <c r="AJ273" t="s">
        <v>22</v>
      </c>
      <c r="AK273" t="s">
        <v>22</v>
      </c>
    </row>
    <row r="274" spans="1:37" ht="11.25" customHeight="1">
      <c r="A274" t="s">
        <v>22</v>
      </c>
      <c r="B274" t="s">
        <v>48</v>
      </c>
      <c r="C274" t="s">
        <v>50</v>
      </c>
      <c r="D274" t="s">
        <v>22</v>
      </c>
      <c r="E274" t="s">
        <v>5252</v>
      </c>
      <c r="F274" t="s">
        <v>1104</v>
      </c>
      <c r="G274" t="s">
        <v>106</v>
      </c>
      <c r="H274" t="s">
        <v>106</v>
      </c>
      <c r="I274" t="s">
        <v>107</v>
      </c>
      <c r="J274" t="s">
        <v>4492</v>
      </c>
      <c r="K274" t="s">
        <v>4493</v>
      </c>
      <c r="L274" t="s">
        <v>4494</v>
      </c>
      <c r="M274" t="s">
        <v>786</v>
      </c>
      <c r="N274" t="s">
        <v>114</v>
      </c>
      <c r="O274" t="s">
        <v>106</v>
      </c>
      <c r="P274" t="s">
        <v>106</v>
      </c>
      <c r="Q274" t="s">
        <v>107</v>
      </c>
      <c r="R274" t="s">
        <v>4492</v>
      </c>
      <c r="S274" t="s">
        <v>4493</v>
      </c>
      <c r="T274" t="s">
        <v>4467</v>
      </c>
      <c r="U274" t="s">
        <v>4468</v>
      </c>
      <c r="V274" t="s">
        <v>4469</v>
      </c>
      <c r="W274" t="s">
        <v>4470</v>
      </c>
      <c r="X274" t="s">
        <v>4471</v>
      </c>
      <c r="Y274" t="s">
        <v>4468</v>
      </c>
      <c r="Z274" t="s">
        <v>1015</v>
      </c>
      <c r="AA274" t="s">
        <v>4472</v>
      </c>
      <c r="AB274" t="s">
        <v>4469</v>
      </c>
      <c r="AC274" t="s">
        <v>61</v>
      </c>
      <c r="AD274" t="s">
        <v>19</v>
      </c>
      <c r="AE274" t="s">
        <v>19</v>
      </c>
      <c r="AF274" t="s">
        <v>4481</v>
      </c>
      <c r="AG274" t="s">
        <v>102</v>
      </c>
      <c r="AH274" t="s">
        <v>22</v>
      </c>
      <c r="AI274" t="s">
        <v>22</v>
      </c>
      <c r="AJ274" t="s">
        <v>22</v>
      </c>
      <c r="AK274" t="s">
        <v>22</v>
      </c>
    </row>
    <row r="275" spans="1:37" ht="11.25" customHeight="1">
      <c r="A275" t="s">
        <v>22</v>
      </c>
      <c r="B275" t="s">
        <v>48</v>
      </c>
      <c r="C275" t="s">
        <v>50</v>
      </c>
      <c r="D275" t="s">
        <v>22</v>
      </c>
      <c r="E275" t="s">
        <v>5253</v>
      </c>
      <c r="F275" t="s">
        <v>1104</v>
      </c>
      <c r="G275" t="s">
        <v>106</v>
      </c>
      <c r="H275" t="s">
        <v>106</v>
      </c>
      <c r="I275" t="s">
        <v>107</v>
      </c>
      <c r="J275" t="s">
        <v>4871</v>
      </c>
      <c r="K275" t="s">
        <v>4872</v>
      </c>
      <c r="L275" t="s">
        <v>4873</v>
      </c>
      <c r="M275" t="s">
        <v>786</v>
      </c>
      <c r="N275" t="s">
        <v>114</v>
      </c>
      <c r="O275" t="s">
        <v>106</v>
      </c>
      <c r="P275" t="s">
        <v>106</v>
      </c>
      <c r="Q275" t="s">
        <v>107</v>
      </c>
      <c r="R275" t="s">
        <v>4871</v>
      </c>
      <c r="S275" t="s">
        <v>4872</v>
      </c>
      <c r="T275" t="s">
        <v>4467</v>
      </c>
      <c r="U275" t="s">
        <v>4468</v>
      </c>
      <c r="V275" t="s">
        <v>4469</v>
      </c>
      <c r="W275" t="s">
        <v>4487</v>
      </c>
      <c r="X275" t="s">
        <v>4471</v>
      </c>
      <c r="Y275" t="s">
        <v>4468</v>
      </c>
      <c r="Z275" t="s">
        <v>1015</v>
      </c>
      <c r="AA275" t="s">
        <v>4472</v>
      </c>
      <c r="AB275" t="s">
        <v>4469</v>
      </c>
      <c r="AC275" t="s">
        <v>61</v>
      </c>
      <c r="AD275" t="s">
        <v>19</v>
      </c>
      <c r="AE275" t="s">
        <v>19</v>
      </c>
      <c r="AF275" t="s">
        <v>1153</v>
      </c>
      <c r="AG275" t="s">
        <v>1206</v>
      </c>
      <c r="AH275" t="s">
        <v>22</v>
      </c>
      <c r="AI275" t="s">
        <v>22</v>
      </c>
      <c r="AJ275" t="s">
        <v>22</v>
      </c>
      <c r="AK275" t="s">
        <v>22</v>
      </c>
    </row>
    <row r="276" spans="1:37" ht="11.25" customHeight="1">
      <c r="A276" t="s">
        <v>22</v>
      </c>
      <c r="B276" t="s">
        <v>48</v>
      </c>
      <c r="C276" t="s">
        <v>50</v>
      </c>
      <c r="D276" t="s">
        <v>22</v>
      </c>
      <c r="E276" t="s">
        <v>5254</v>
      </c>
      <c r="F276" t="s">
        <v>1104</v>
      </c>
      <c r="G276" t="s">
        <v>106</v>
      </c>
      <c r="H276" t="s">
        <v>106</v>
      </c>
      <c r="I276" t="s">
        <v>107</v>
      </c>
      <c r="J276" t="s">
        <v>5057</v>
      </c>
      <c r="K276" t="s">
        <v>5058</v>
      </c>
      <c r="L276" t="s">
        <v>5059</v>
      </c>
      <c r="M276" t="s">
        <v>1015</v>
      </c>
      <c r="N276" t="s">
        <v>114</v>
      </c>
      <c r="O276" t="s">
        <v>106</v>
      </c>
      <c r="P276" t="s">
        <v>106</v>
      </c>
      <c r="Q276" t="s">
        <v>107</v>
      </c>
      <c r="R276" t="s">
        <v>5057</v>
      </c>
      <c r="S276" t="s">
        <v>5058</v>
      </c>
      <c r="T276" t="s">
        <v>4732</v>
      </c>
      <c r="U276" t="s">
        <v>4660</v>
      </c>
      <c r="V276" t="s">
        <v>5255</v>
      </c>
      <c r="W276" t="s">
        <v>4470</v>
      </c>
      <c r="X276" t="s">
        <v>4734</v>
      </c>
      <c r="Y276" t="s">
        <v>4735</v>
      </c>
      <c r="Z276" t="s">
        <v>1015</v>
      </c>
      <c r="AA276" t="s">
        <v>5249</v>
      </c>
      <c r="AB276" t="s">
        <v>5255</v>
      </c>
      <c r="AC276" t="s">
        <v>61</v>
      </c>
      <c r="AD276" t="s">
        <v>19</v>
      </c>
      <c r="AE276" t="s">
        <v>19</v>
      </c>
      <c r="AF276" t="s">
        <v>729</v>
      </c>
      <c r="AG276" t="s">
        <v>729</v>
      </c>
      <c r="AH276" t="s">
        <v>22</v>
      </c>
      <c r="AI276" t="s">
        <v>22</v>
      </c>
      <c r="AJ276" t="s">
        <v>22</v>
      </c>
      <c r="AK276" t="s">
        <v>22</v>
      </c>
    </row>
    <row r="277" spans="1:37" ht="11.25" customHeight="1">
      <c r="A277" t="s">
        <v>22</v>
      </c>
      <c r="B277" t="s">
        <v>48</v>
      </c>
      <c r="C277" t="s">
        <v>50</v>
      </c>
      <c r="D277" t="s">
        <v>22</v>
      </c>
      <c r="E277" t="s">
        <v>5256</v>
      </c>
      <c r="F277" t="s">
        <v>1104</v>
      </c>
      <c r="G277" t="s">
        <v>106</v>
      </c>
      <c r="H277" t="s">
        <v>106</v>
      </c>
      <c r="I277" t="s">
        <v>107</v>
      </c>
      <c r="J277" t="s">
        <v>5061</v>
      </c>
      <c r="K277" t="s">
        <v>5062</v>
      </c>
      <c r="L277" t="s">
        <v>5063</v>
      </c>
      <c r="M277" t="s">
        <v>1015</v>
      </c>
      <c r="N277" t="s">
        <v>114</v>
      </c>
      <c r="O277" t="s">
        <v>106</v>
      </c>
      <c r="P277" t="s">
        <v>106</v>
      </c>
      <c r="Q277" t="s">
        <v>107</v>
      </c>
      <c r="R277" t="s">
        <v>5061</v>
      </c>
      <c r="S277" t="s">
        <v>5062</v>
      </c>
      <c r="T277" t="s">
        <v>4732</v>
      </c>
      <c r="U277" t="s">
        <v>4660</v>
      </c>
      <c r="V277" t="s">
        <v>5257</v>
      </c>
      <c r="W277" t="s">
        <v>4470</v>
      </c>
      <c r="X277" t="s">
        <v>4734</v>
      </c>
      <c r="Y277" t="s">
        <v>4735</v>
      </c>
      <c r="Z277" t="s">
        <v>1015</v>
      </c>
      <c r="AA277" t="s">
        <v>5249</v>
      </c>
      <c r="AB277" t="s">
        <v>5257</v>
      </c>
      <c r="AC277" t="s">
        <v>61</v>
      </c>
      <c r="AD277" t="s">
        <v>19</v>
      </c>
      <c r="AE277" t="s">
        <v>19</v>
      </c>
      <c r="AF277" t="s">
        <v>729</v>
      </c>
      <c r="AG277" t="s">
        <v>729</v>
      </c>
      <c r="AH277" t="s">
        <v>22</v>
      </c>
      <c r="AI277" t="s">
        <v>22</v>
      </c>
      <c r="AJ277" t="s">
        <v>22</v>
      </c>
      <c r="AK277" t="s">
        <v>22</v>
      </c>
    </row>
    <row r="278" spans="1:37" ht="11.25" customHeight="1">
      <c r="A278" t="s">
        <v>22</v>
      </c>
      <c r="B278" t="s">
        <v>48</v>
      </c>
      <c r="C278" t="s">
        <v>50</v>
      </c>
      <c r="D278" t="s">
        <v>22</v>
      </c>
      <c r="E278" t="s">
        <v>5258</v>
      </c>
      <c r="F278" t="s">
        <v>1104</v>
      </c>
      <c r="G278" t="s">
        <v>106</v>
      </c>
      <c r="H278" t="s">
        <v>106</v>
      </c>
      <c r="I278" t="s">
        <v>107</v>
      </c>
      <c r="J278" t="s">
        <v>5095</v>
      </c>
      <c r="K278" t="s">
        <v>5096</v>
      </c>
      <c r="L278" t="s">
        <v>5202</v>
      </c>
      <c r="M278" t="s">
        <v>1015</v>
      </c>
      <c r="N278" t="s">
        <v>114</v>
      </c>
      <c r="O278" t="s">
        <v>106</v>
      </c>
      <c r="P278" t="s">
        <v>106</v>
      </c>
      <c r="Q278" t="s">
        <v>107</v>
      </c>
      <c r="R278" t="s">
        <v>5095</v>
      </c>
      <c r="S278" t="s">
        <v>5096</v>
      </c>
      <c r="T278" t="s">
        <v>4732</v>
      </c>
      <c r="U278" t="s">
        <v>4660</v>
      </c>
      <c r="V278" t="s">
        <v>5259</v>
      </c>
      <c r="W278" t="s">
        <v>4470</v>
      </c>
      <c r="X278" t="s">
        <v>4734</v>
      </c>
      <c r="Y278" t="s">
        <v>4735</v>
      </c>
      <c r="Z278" t="s">
        <v>1015</v>
      </c>
      <c r="AA278" t="s">
        <v>5260</v>
      </c>
      <c r="AB278" t="s">
        <v>5259</v>
      </c>
      <c r="AC278" t="s">
        <v>61</v>
      </c>
      <c r="AD278" t="s">
        <v>19</v>
      </c>
      <c r="AE278" t="s">
        <v>19</v>
      </c>
      <c r="AF278" t="s">
        <v>116</v>
      </c>
      <c r="AG278" t="s">
        <v>115</v>
      </c>
      <c r="AH278" t="s">
        <v>22</v>
      </c>
      <c r="AI278" t="s">
        <v>22</v>
      </c>
      <c r="AJ278" t="s">
        <v>22</v>
      </c>
      <c r="AK278" t="s">
        <v>22</v>
      </c>
    </row>
    <row r="279" spans="1:37" ht="11.25" customHeight="1">
      <c r="A279" t="s">
        <v>22</v>
      </c>
      <c r="B279" t="s">
        <v>48</v>
      </c>
      <c r="C279" t="s">
        <v>50</v>
      </c>
      <c r="D279" t="s">
        <v>22</v>
      </c>
      <c r="E279" t="s">
        <v>5261</v>
      </c>
      <c r="F279" t="s">
        <v>1104</v>
      </c>
      <c r="G279" t="s">
        <v>106</v>
      </c>
      <c r="H279" t="s">
        <v>106</v>
      </c>
      <c r="I279" t="s">
        <v>107</v>
      </c>
      <c r="J279" t="s">
        <v>4867</v>
      </c>
      <c r="K279" t="s">
        <v>4868</v>
      </c>
      <c r="L279" t="s">
        <v>5262</v>
      </c>
      <c r="M279" t="s">
        <v>1015</v>
      </c>
      <c r="N279" t="s">
        <v>114</v>
      </c>
      <c r="O279" t="s">
        <v>106</v>
      </c>
      <c r="P279" t="s">
        <v>106</v>
      </c>
      <c r="Q279" t="s">
        <v>107</v>
      </c>
      <c r="R279" t="s">
        <v>4867</v>
      </c>
      <c r="S279" t="s">
        <v>4868</v>
      </c>
      <c r="T279" t="s">
        <v>4732</v>
      </c>
      <c r="U279" t="s">
        <v>4660</v>
      </c>
      <c r="V279" t="s">
        <v>5263</v>
      </c>
      <c r="W279" t="s">
        <v>4470</v>
      </c>
      <c r="X279" t="s">
        <v>4734</v>
      </c>
      <c r="Y279" t="s">
        <v>4735</v>
      </c>
      <c r="Z279" t="s">
        <v>1015</v>
      </c>
      <c r="AA279" t="s">
        <v>5249</v>
      </c>
      <c r="AB279" t="s">
        <v>5263</v>
      </c>
      <c r="AC279" t="s">
        <v>61</v>
      </c>
      <c r="AD279" t="s">
        <v>19</v>
      </c>
      <c r="AE279" t="s">
        <v>19</v>
      </c>
      <c r="AF279" t="s">
        <v>164</v>
      </c>
      <c r="AG279" t="s">
        <v>162</v>
      </c>
      <c r="AH279" t="s">
        <v>22</v>
      </c>
      <c r="AI279" t="s">
        <v>22</v>
      </c>
      <c r="AJ279" t="s">
        <v>22</v>
      </c>
      <c r="AK279" t="s">
        <v>22</v>
      </c>
    </row>
    <row r="280" spans="1:37" ht="11.25" customHeight="1">
      <c r="A280" t="s">
        <v>22</v>
      </c>
      <c r="B280" t="s">
        <v>48</v>
      </c>
      <c r="C280" t="s">
        <v>50</v>
      </c>
      <c r="D280" t="s">
        <v>22</v>
      </c>
      <c r="E280" t="s">
        <v>5264</v>
      </c>
      <c r="F280" t="s">
        <v>1104</v>
      </c>
      <c r="G280" t="s">
        <v>106</v>
      </c>
      <c r="H280" t="s">
        <v>106</v>
      </c>
      <c r="I280" t="s">
        <v>107</v>
      </c>
      <c r="J280" t="s">
        <v>5053</v>
      </c>
      <c r="K280" t="s">
        <v>5054</v>
      </c>
      <c r="L280" t="s">
        <v>5265</v>
      </c>
      <c r="M280" t="s">
        <v>1015</v>
      </c>
      <c r="N280" t="s">
        <v>114</v>
      </c>
      <c r="O280" t="s">
        <v>106</v>
      </c>
      <c r="P280" t="s">
        <v>106</v>
      </c>
      <c r="Q280" t="s">
        <v>107</v>
      </c>
      <c r="R280" t="s">
        <v>5053</v>
      </c>
      <c r="S280" t="s">
        <v>5054</v>
      </c>
      <c r="T280" t="s">
        <v>4732</v>
      </c>
      <c r="U280" t="s">
        <v>4660</v>
      </c>
      <c r="V280" t="s">
        <v>5266</v>
      </c>
      <c r="W280" t="s">
        <v>4470</v>
      </c>
      <c r="X280" t="s">
        <v>4734</v>
      </c>
      <c r="Y280" t="s">
        <v>4735</v>
      </c>
      <c r="Z280" t="s">
        <v>1015</v>
      </c>
      <c r="AA280" t="s">
        <v>5267</v>
      </c>
      <c r="AB280" t="s">
        <v>5266</v>
      </c>
      <c r="AC280" t="s">
        <v>61</v>
      </c>
      <c r="AD280" t="s">
        <v>19</v>
      </c>
      <c r="AE280" t="s">
        <v>19</v>
      </c>
      <c r="AF280" t="s">
        <v>5268</v>
      </c>
      <c r="AG280" t="s">
        <v>5268</v>
      </c>
      <c r="AH280" t="s">
        <v>22</v>
      </c>
      <c r="AI280" t="s">
        <v>22</v>
      </c>
      <c r="AJ280" t="s">
        <v>22</v>
      </c>
      <c r="AK280" t="s">
        <v>22</v>
      </c>
    </row>
    <row r="281" spans="1:37" ht="11.25" customHeight="1">
      <c r="A281" t="s">
        <v>22</v>
      </c>
      <c r="B281" t="s">
        <v>48</v>
      </c>
      <c r="C281" t="s">
        <v>50</v>
      </c>
      <c r="D281" t="s">
        <v>22</v>
      </c>
      <c r="E281" t="s">
        <v>5269</v>
      </c>
      <c r="F281" t="s">
        <v>1104</v>
      </c>
      <c r="G281" t="s">
        <v>106</v>
      </c>
      <c r="H281" t="s">
        <v>106</v>
      </c>
      <c r="I281" t="s">
        <v>107</v>
      </c>
      <c r="J281" t="s">
        <v>4923</v>
      </c>
      <c r="K281" t="s">
        <v>4924</v>
      </c>
      <c r="L281" t="s">
        <v>5270</v>
      </c>
      <c r="M281" t="s">
        <v>786</v>
      </c>
      <c r="N281" t="s">
        <v>114</v>
      </c>
      <c r="O281" t="s">
        <v>106</v>
      </c>
      <c r="P281" t="s">
        <v>106</v>
      </c>
      <c r="Q281" t="s">
        <v>107</v>
      </c>
      <c r="R281" t="s">
        <v>4923</v>
      </c>
      <c r="S281" t="s">
        <v>4924</v>
      </c>
      <c r="T281" t="s">
        <v>4467</v>
      </c>
      <c r="U281" t="s">
        <v>4468</v>
      </c>
      <c r="V281" t="s">
        <v>4469</v>
      </c>
      <c r="W281" t="s">
        <v>4470</v>
      </c>
      <c r="X281" t="s">
        <v>4471</v>
      </c>
      <c r="Y281" t="s">
        <v>4468</v>
      </c>
      <c r="Z281" t="s">
        <v>1015</v>
      </c>
      <c r="AA281" t="s">
        <v>4472</v>
      </c>
      <c r="AB281" t="s">
        <v>4469</v>
      </c>
      <c r="AC281" t="s">
        <v>61</v>
      </c>
      <c r="AD281" t="s">
        <v>19</v>
      </c>
      <c r="AE281" t="s">
        <v>19</v>
      </c>
      <c r="AF281" t="s">
        <v>162</v>
      </c>
      <c r="AG281" t="s">
        <v>162</v>
      </c>
      <c r="AH281" t="s">
        <v>22</v>
      </c>
      <c r="AI281" t="s">
        <v>22</v>
      </c>
      <c r="AJ281" t="s">
        <v>22</v>
      </c>
      <c r="AK281" t="s">
        <v>22</v>
      </c>
    </row>
    <row r="282" spans="1:37" ht="11.25" customHeight="1">
      <c r="A282" t="s">
        <v>22</v>
      </c>
      <c r="B282" t="s">
        <v>48</v>
      </c>
      <c r="C282" t="s">
        <v>50</v>
      </c>
      <c r="D282" t="s">
        <v>22</v>
      </c>
      <c r="E282" t="s">
        <v>5271</v>
      </c>
      <c r="F282" t="s">
        <v>1104</v>
      </c>
      <c r="G282" t="s">
        <v>106</v>
      </c>
      <c r="H282" t="s">
        <v>106</v>
      </c>
      <c r="I282" t="s">
        <v>107</v>
      </c>
      <c r="J282" t="s">
        <v>4492</v>
      </c>
      <c r="K282" t="s">
        <v>4493</v>
      </c>
      <c r="L282" t="s">
        <v>4494</v>
      </c>
      <c r="M282" t="s">
        <v>786</v>
      </c>
      <c r="N282" t="s">
        <v>114</v>
      </c>
      <c r="O282" t="s">
        <v>106</v>
      </c>
      <c r="P282" t="s">
        <v>106</v>
      </c>
      <c r="Q282" t="s">
        <v>107</v>
      </c>
      <c r="R282" t="s">
        <v>4492</v>
      </c>
      <c r="S282" t="s">
        <v>4493</v>
      </c>
      <c r="T282" t="s">
        <v>4467</v>
      </c>
      <c r="U282" t="s">
        <v>4468</v>
      </c>
      <c r="V282" t="s">
        <v>4469</v>
      </c>
      <c r="W282" t="s">
        <v>4470</v>
      </c>
      <c r="X282" t="s">
        <v>4471</v>
      </c>
      <c r="Y282" t="s">
        <v>4468</v>
      </c>
      <c r="Z282" t="s">
        <v>1015</v>
      </c>
      <c r="AA282" t="s">
        <v>4472</v>
      </c>
      <c r="AB282" t="s">
        <v>4469</v>
      </c>
      <c r="AC282" t="s">
        <v>61</v>
      </c>
      <c r="AD282" t="s">
        <v>19</v>
      </c>
      <c r="AE282" t="s">
        <v>19</v>
      </c>
      <c r="AF282" t="s">
        <v>162</v>
      </c>
      <c r="AG282" t="s">
        <v>102</v>
      </c>
      <c r="AH282" t="s">
        <v>22</v>
      </c>
      <c r="AI282" t="s">
        <v>22</v>
      </c>
      <c r="AJ282" t="s">
        <v>22</v>
      </c>
      <c r="AK282" t="s">
        <v>22</v>
      </c>
    </row>
    <row r="283" spans="1:37" ht="11.25" customHeight="1">
      <c r="A283" t="s">
        <v>22</v>
      </c>
      <c r="B283" t="s">
        <v>48</v>
      </c>
      <c r="C283" t="s">
        <v>50</v>
      </c>
      <c r="D283" t="s">
        <v>22</v>
      </c>
      <c r="E283" t="s">
        <v>5272</v>
      </c>
      <c r="F283" t="s">
        <v>1104</v>
      </c>
      <c r="G283" t="s">
        <v>99</v>
      </c>
      <c r="H283" t="s">
        <v>99</v>
      </c>
      <c r="I283" t="s">
        <v>100</v>
      </c>
      <c r="J283" t="s">
        <v>1059</v>
      </c>
      <c r="K283" t="s">
        <v>1060</v>
      </c>
      <c r="L283" t="s">
        <v>4748</v>
      </c>
      <c r="M283" t="s">
        <v>1738</v>
      </c>
      <c r="N283" t="s">
        <v>114</v>
      </c>
      <c r="O283" t="s">
        <v>4520</v>
      </c>
      <c r="P283" t="s">
        <v>4520</v>
      </c>
      <c r="Q283" t="s">
        <v>100</v>
      </c>
      <c r="R283" t="s">
        <v>1059</v>
      </c>
      <c r="S283" t="s">
        <v>1060</v>
      </c>
      <c r="T283" t="s">
        <v>4467</v>
      </c>
      <c r="U283" t="s">
        <v>4468</v>
      </c>
      <c r="V283" t="s">
        <v>4521</v>
      </c>
      <c r="W283" t="s">
        <v>4470</v>
      </c>
      <c r="X283" t="s">
        <v>4471</v>
      </c>
      <c r="Y283" t="s">
        <v>4468</v>
      </c>
      <c r="Z283" t="s">
        <v>1015</v>
      </c>
      <c r="AA283" t="s">
        <v>4522</v>
      </c>
      <c r="AB283" t="s">
        <v>4521</v>
      </c>
      <c r="AC283" t="s">
        <v>61</v>
      </c>
      <c r="AD283" t="s">
        <v>19</v>
      </c>
      <c r="AE283" t="s">
        <v>19</v>
      </c>
      <c r="AF283" t="s">
        <v>5273</v>
      </c>
      <c r="AG283" t="s">
        <v>387</v>
      </c>
      <c r="AH283" t="s">
        <v>22</v>
      </c>
      <c r="AI283" t="s">
        <v>22</v>
      </c>
      <c r="AJ283" t="s">
        <v>22</v>
      </c>
      <c r="AK283" t="s">
        <v>22</v>
      </c>
    </row>
    <row r="284" spans="1:37" ht="11.25" customHeight="1">
      <c r="A284" t="s">
        <v>22</v>
      </c>
      <c r="B284" t="s">
        <v>48</v>
      </c>
      <c r="C284" t="s">
        <v>50</v>
      </c>
      <c r="D284" t="s">
        <v>22</v>
      </c>
      <c r="E284" t="s">
        <v>5274</v>
      </c>
      <c r="F284" t="s">
        <v>4972</v>
      </c>
      <c r="G284" t="s">
        <v>106</v>
      </c>
      <c r="H284" t="s">
        <v>106</v>
      </c>
      <c r="I284" t="s">
        <v>107</v>
      </c>
      <c r="J284" t="s">
        <v>5023</v>
      </c>
      <c r="K284" t="s">
        <v>5024</v>
      </c>
      <c r="L284" t="s">
        <v>5275</v>
      </c>
      <c r="M284" t="s">
        <v>1015</v>
      </c>
      <c r="N284" t="s">
        <v>114</v>
      </c>
      <c r="O284" t="s">
        <v>106</v>
      </c>
      <c r="P284" t="s">
        <v>106</v>
      </c>
      <c r="Q284" t="s">
        <v>107</v>
      </c>
      <c r="R284" t="s">
        <v>5023</v>
      </c>
      <c r="S284" t="s">
        <v>5024</v>
      </c>
      <c r="T284" t="s">
        <v>4732</v>
      </c>
      <c r="U284" t="s">
        <v>4660</v>
      </c>
      <c r="V284" t="s">
        <v>5276</v>
      </c>
      <c r="W284" t="s">
        <v>4470</v>
      </c>
      <c r="X284" t="s">
        <v>4734</v>
      </c>
      <c r="Y284" t="s">
        <v>4735</v>
      </c>
      <c r="Z284" t="s">
        <v>1015</v>
      </c>
      <c r="AA284" t="s">
        <v>5277</v>
      </c>
      <c r="AB284" t="s">
        <v>5276</v>
      </c>
      <c r="AC284" t="s">
        <v>19</v>
      </c>
      <c r="AD284" t="s">
        <v>19</v>
      </c>
      <c r="AE284" t="s">
        <v>61</v>
      </c>
      <c r="AF284" t="s">
        <v>22</v>
      </c>
      <c r="AG284" t="s">
        <v>22</v>
      </c>
      <c r="AH284" t="s">
        <v>22</v>
      </c>
      <c r="AI284" t="s">
        <v>22</v>
      </c>
      <c r="AJ284" t="s">
        <v>1166</v>
      </c>
      <c r="AK284" t="s">
        <v>5278</v>
      </c>
    </row>
    <row r="285" spans="1:37" ht="11.25" customHeight="1">
      <c r="A285" t="s">
        <v>22</v>
      </c>
      <c r="B285" t="s">
        <v>48</v>
      </c>
      <c r="C285" t="s">
        <v>50</v>
      </c>
      <c r="D285" t="s">
        <v>22</v>
      </c>
      <c r="E285" t="s">
        <v>5279</v>
      </c>
      <c r="F285" t="s">
        <v>4972</v>
      </c>
      <c r="G285" t="s">
        <v>106</v>
      </c>
      <c r="H285" t="s">
        <v>106</v>
      </c>
      <c r="I285" t="s">
        <v>107</v>
      </c>
      <c r="J285" t="s">
        <v>5023</v>
      </c>
      <c r="K285" t="s">
        <v>5024</v>
      </c>
      <c r="L285" t="s">
        <v>5275</v>
      </c>
      <c r="M285" t="s">
        <v>1015</v>
      </c>
      <c r="N285" t="s">
        <v>114</v>
      </c>
      <c r="O285" t="s">
        <v>106</v>
      </c>
      <c r="P285" t="s">
        <v>106</v>
      </c>
      <c r="Q285" t="s">
        <v>107</v>
      </c>
      <c r="R285" t="s">
        <v>5023</v>
      </c>
      <c r="S285" t="s">
        <v>5024</v>
      </c>
      <c r="T285" t="s">
        <v>4732</v>
      </c>
      <c r="U285" t="s">
        <v>4660</v>
      </c>
      <c r="V285" t="s">
        <v>5280</v>
      </c>
      <c r="W285" t="s">
        <v>4470</v>
      </c>
      <c r="X285" t="s">
        <v>4734</v>
      </c>
      <c r="Y285" t="s">
        <v>4735</v>
      </c>
      <c r="Z285" t="s">
        <v>1015</v>
      </c>
      <c r="AA285" t="s">
        <v>5277</v>
      </c>
      <c r="AB285" t="s">
        <v>5280</v>
      </c>
      <c r="AC285" t="s">
        <v>19</v>
      </c>
      <c r="AD285" t="s">
        <v>19</v>
      </c>
      <c r="AE285" t="s">
        <v>61</v>
      </c>
      <c r="AF285" t="s">
        <v>22</v>
      </c>
      <c r="AG285" t="s">
        <v>22</v>
      </c>
      <c r="AH285" t="s">
        <v>22</v>
      </c>
      <c r="AI285" t="s">
        <v>22</v>
      </c>
      <c r="AJ285" t="s">
        <v>1166</v>
      </c>
      <c r="AK285" t="s">
        <v>5278</v>
      </c>
    </row>
    <row r="286" spans="1:37" ht="11.25" customHeight="1">
      <c r="A286" t="s">
        <v>22</v>
      </c>
      <c r="B286" t="s">
        <v>48</v>
      </c>
      <c r="C286" t="s">
        <v>50</v>
      </c>
      <c r="D286" t="s">
        <v>22</v>
      </c>
      <c r="E286" t="s">
        <v>5281</v>
      </c>
      <c r="F286" t="s">
        <v>4972</v>
      </c>
      <c r="G286" t="s">
        <v>106</v>
      </c>
      <c r="H286" t="s">
        <v>106</v>
      </c>
      <c r="I286" t="s">
        <v>107</v>
      </c>
      <c r="J286" t="s">
        <v>5282</v>
      </c>
      <c r="K286" t="s">
        <v>5283</v>
      </c>
      <c r="L286" t="s">
        <v>5284</v>
      </c>
      <c r="M286" t="s">
        <v>1015</v>
      </c>
      <c r="N286" t="s">
        <v>114</v>
      </c>
      <c r="O286" t="s">
        <v>106</v>
      </c>
      <c r="P286" t="s">
        <v>106</v>
      </c>
      <c r="Q286" t="s">
        <v>107</v>
      </c>
      <c r="R286" t="s">
        <v>5282</v>
      </c>
      <c r="S286" t="s">
        <v>5283</v>
      </c>
      <c r="T286" t="s">
        <v>4732</v>
      </c>
      <c r="U286" t="s">
        <v>4660</v>
      </c>
      <c r="V286" t="s">
        <v>5285</v>
      </c>
      <c r="W286" t="s">
        <v>4470</v>
      </c>
      <c r="X286" t="s">
        <v>4734</v>
      </c>
      <c r="Y286" t="s">
        <v>4735</v>
      </c>
      <c r="Z286" t="s">
        <v>1015</v>
      </c>
      <c r="AA286" t="s">
        <v>5286</v>
      </c>
      <c r="AB286" t="s">
        <v>5285</v>
      </c>
      <c r="AC286" t="s">
        <v>19</v>
      </c>
      <c r="AD286" t="s">
        <v>19</v>
      </c>
      <c r="AE286" t="s">
        <v>61</v>
      </c>
      <c r="AF286" t="s">
        <v>22</v>
      </c>
      <c r="AG286" t="s">
        <v>22</v>
      </c>
      <c r="AH286" t="s">
        <v>22</v>
      </c>
      <c r="AI286" t="s">
        <v>22</v>
      </c>
      <c r="AJ286" t="s">
        <v>1766</v>
      </c>
      <c r="AK286" t="s">
        <v>5093</v>
      </c>
    </row>
    <row r="287" spans="1:37" ht="11.25" customHeight="1">
      <c r="A287" t="s">
        <v>22</v>
      </c>
      <c r="B287" t="s">
        <v>48</v>
      </c>
      <c r="C287" t="s">
        <v>50</v>
      </c>
      <c r="D287" t="s">
        <v>22</v>
      </c>
      <c r="E287" t="s">
        <v>5287</v>
      </c>
      <c r="F287" t="s">
        <v>4972</v>
      </c>
      <c r="G287" t="s">
        <v>106</v>
      </c>
      <c r="H287" t="s">
        <v>106</v>
      </c>
      <c r="I287" t="s">
        <v>107</v>
      </c>
      <c r="J287" t="s">
        <v>5288</v>
      </c>
      <c r="K287" t="s">
        <v>5289</v>
      </c>
      <c r="L287" t="s">
        <v>5290</v>
      </c>
      <c r="M287" t="s">
        <v>1015</v>
      </c>
      <c r="N287" t="s">
        <v>114</v>
      </c>
      <c r="O287" t="s">
        <v>106</v>
      </c>
      <c r="P287" t="s">
        <v>106</v>
      </c>
      <c r="Q287" t="s">
        <v>107</v>
      </c>
      <c r="R287" t="s">
        <v>5288</v>
      </c>
      <c r="S287" t="s">
        <v>5289</v>
      </c>
      <c r="T287" t="s">
        <v>4732</v>
      </c>
      <c r="U287" t="s">
        <v>4660</v>
      </c>
      <c r="V287" t="s">
        <v>5291</v>
      </c>
      <c r="W287" t="s">
        <v>4470</v>
      </c>
      <c r="X287" t="s">
        <v>4734</v>
      </c>
      <c r="Y287" t="s">
        <v>4735</v>
      </c>
      <c r="Z287" t="s">
        <v>1015</v>
      </c>
      <c r="AA287" t="s">
        <v>5292</v>
      </c>
      <c r="AB287" t="s">
        <v>5291</v>
      </c>
      <c r="AC287" t="s">
        <v>19</v>
      </c>
      <c r="AD287" t="s">
        <v>19</v>
      </c>
      <c r="AE287" t="s">
        <v>61</v>
      </c>
      <c r="AF287" t="s">
        <v>22</v>
      </c>
      <c r="AG287" t="s">
        <v>22</v>
      </c>
      <c r="AH287" t="s">
        <v>22</v>
      </c>
      <c r="AI287" t="s">
        <v>22</v>
      </c>
      <c r="AJ287" t="s">
        <v>1166</v>
      </c>
      <c r="AK287" t="s">
        <v>1206</v>
      </c>
    </row>
    <row r="288" spans="1:37" ht="11.25" customHeight="1">
      <c r="A288" t="s">
        <v>22</v>
      </c>
      <c r="B288" t="s">
        <v>48</v>
      </c>
      <c r="C288" t="s">
        <v>50</v>
      </c>
      <c r="D288" t="s">
        <v>22</v>
      </c>
      <c r="E288" t="s">
        <v>5293</v>
      </c>
      <c r="F288" t="s">
        <v>4972</v>
      </c>
      <c r="G288" t="s">
        <v>106</v>
      </c>
      <c r="H288" t="s">
        <v>106</v>
      </c>
      <c r="I288" t="s">
        <v>107</v>
      </c>
      <c r="J288" t="s">
        <v>4927</v>
      </c>
      <c r="K288" t="s">
        <v>4928</v>
      </c>
      <c r="L288" t="s">
        <v>5294</v>
      </c>
      <c r="M288" t="s">
        <v>1015</v>
      </c>
      <c r="N288" t="s">
        <v>114</v>
      </c>
      <c r="O288" t="s">
        <v>106</v>
      </c>
      <c r="P288" t="s">
        <v>106</v>
      </c>
      <c r="Q288" t="s">
        <v>107</v>
      </c>
      <c r="R288" t="s">
        <v>4927</v>
      </c>
      <c r="S288" t="s">
        <v>4928</v>
      </c>
      <c r="T288" t="s">
        <v>4732</v>
      </c>
      <c r="U288" t="s">
        <v>4660</v>
      </c>
      <c r="V288" t="s">
        <v>5295</v>
      </c>
      <c r="W288" t="s">
        <v>4470</v>
      </c>
      <c r="X288" t="s">
        <v>4734</v>
      </c>
      <c r="Y288" t="s">
        <v>4735</v>
      </c>
      <c r="Z288" t="s">
        <v>1015</v>
      </c>
      <c r="AA288" t="s">
        <v>5296</v>
      </c>
      <c r="AB288" t="s">
        <v>5295</v>
      </c>
      <c r="AC288" t="s">
        <v>19</v>
      </c>
      <c r="AD288" t="s">
        <v>19</v>
      </c>
      <c r="AE288" t="s">
        <v>61</v>
      </c>
      <c r="AF288" t="s">
        <v>22</v>
      </c>
      <c r="AG288" t="s">
        <v>22</v>
      </c>
      <c r="AH288" t="s">
        <v>22</v>
      </c>
      <c r="AI288" t="s">
        <v>22</v>
      </c>
      <c r="AJ288" t="s">
        <v>1752</v>
      </c>
      <c r="AK288" t="s">
        <v>89</v>
      </c>
    </row>
    <row r="289" spans="1:37" ht="11.25" customHeight="1">
      <c r="A289" t="s">
        <v>22</v>
      </c>
      <c r="B289" t="s">
        <v>48</v>
      </c>
      <c r="C289" t="s">
        <v>50</v>
      </c>
      <c r="D289" t="s">
        <v>22</v>
      </c>
      <c r="E289" t="s">
        <v>5297</v>
      </c>
      <c r="F289" t="s">
        <v>4972</v>
      </c>
      <c r="G289" t="s">
        <v>106</v>
      </c>
      <c r="H289" t="s">
        <v>106</v>
      </c>
      <c r="I289" t="s">
        <v>107</v>
      </c>
      <c r="J289" t="s">
        <v>4923</v>
      </c>
      <c r="K289" t="s">
        <v>4924</v>
      </c>
      <c r="L289" t="s">
        <v>5092</v>
      </c>
      <c r="M289" t="s">
        <v>1015</v>
      </c>
      <c r="N289" t="s">
        <v>114</v>
      </c>
      <c r="O289" t="s">
        <v>106</v>
      </c>
      <c r="P289" t="s">
        <v>106</v>
      </c>
      <c r="Q289" t="s">
        <v>107</v>
      </c>
      <c r="R289" t="s">
        <v>4923</v>
      </c>
      <c r="S289" t="s">
        <v>4924</v>
      </c>
      <c r="T289" t="s">
        <v>4732</v>
      </c>
      <c r="U289" t="s">
        <v>4660</v>
      </c>
      <c r="V289" t="s">
        <v>5298</v>
      </c>
      <c r="W289" t="s">
        <v>4470</v>
      </c>
      <c r="X289" t="s">
        <v>4734</v>
      </c>
      <c r="Y289" t="s">
        <v>4735</v>
      </c>
      <c r="Z289" t="s">
        <v>1015</v>
      </c>
      <c r="AA289" t="s">
        <v>5296</v>
      </c>
      <c r="AB289" t="s">
        <v>5298</v>
      </c>
      <c r="AC289" t="s">
        <v>19</v>
      </c>
      <c r="AD289" t="s">
        <v>19</v>
      </c>
      <c r="AE289" t="s">
        <v>61</v>
      </c>
      <c r="AF289" t="s">
        <v>22</v>
      </c>
      <c r="AG289" t="s">
        <v>22</v>
      </c>
      <c r="AH289" t="s">
        <v>22</v>
      </c>
      <c r="AI289" t="s">
        <v>22</v>
      </c>
      <c r="AJ289" t="s">
        <v>162</v>
      </c>
      <c r="AK289" t="s">
        <v>162</v>
      </c>
    </row>
    <row r="290" spans="1:37" ht="11.25" customHeight="1">
      <c r="A290" t="s">
        <v>22</v>
      </c>
      <c r="B290" t="s">
        <v>48</v>
      </c>
      <c r="C290" t="s">
        <v>50</v>
      </c>
      <c r="D290" t="s">
        <v>22</v>
      </c>
      <c r="E290" t="s">
        <v>5299</v>
      </c>
      <c r="F290" t="s">
        <v>4972</v>
      </c>
      <c r="G290" t="s">
        <v>106</v>
      </c>
      <c r="H290" t="s">
        <v>106</v>
      </c>
      <c r="I290" t="s">
        <v>107</v>
      </c>
      <c r="J290" t="s">
        <v>5300</v>
      </c>
      <c r="K290" t="s">
        <v>5301</v>
      </c>
      <c r="L290" t="s">
        <v>5302</v>
      </c>
      <c r="M290" t="s">
        <v>1015</v>
      </c>
      <c r="N290" t="s">
        <v>114</v>
      </c>
      <c r="O290" t="s">
        <v>106</v>
      </c>
      <c r="P290" t="s">
        <v>106</v>
      </c>
      <c r="Q290" t="s">
        <v>107</v>
      </c>
      <c r="R290" t="s">
        <v>5300</v>
      </c>
      <c r="S290" t="s">
        <v>5301</v>
      </c>
      <c r="T290" t="s">
        <v>4732</v>
      </c>
      <c r="U290" t="s">
        <v>4660</v>
      </c>
      <c r="V290" t="s">
        <v>5303</v>
      </c>
      <c r="W290" t="s">
        <v>4470</v>
      </c>
      <c r="X290" t="s">
        <v>4734</v>
      </c>
      <c r="Y290" t="s">
        <v>4735</v>
      </c>
      <c r="Z290" t="s">
        <v>1015</v>
      </c>
      <c r="AA290" t="s">
        <v>5304</v>
      </c>
      <c r="AB290" t="s">
        <v>5303</v>
      </c>
      <c r="AC290" t="s">
        <v>19</v>
      </c>
      <c r="AD290" t="s">
        <v>19</v>
      </c>
      <c r="AE290" t="s">
        <v>61</v>
      </c>
      <c r="AF290" t="s">
        <v>22</v>
      </c>
      <c r="AG290" t="s">
        <v>22</v>
      </c>
      <c r="AH290" t="s">
        <v>22</v>
      </c>
      <c r="AI290" t="s">
        <v>22</v>
      </c>
      <c r="AJ290" t="s">
        <v>1766</v>
      </c>
      <c r="AK290" t="s">
        <v>5305</v>
      </c>
    </row>
    <row r="291" spans="1:37" ht="11.25" customHeight="1">
      <c r="A291" t="s">
        <v>22</v>
      </c>
      <c r="B291" t="s">
        <v>48</v>
      </c>
      <c r="C291" t="s">
        <v>50</v>
      </c>
      <c r="D291" t="s">
        <v>22</v>
      </c>
      <c r="E291" t="s">
        <v>5306</v>
      </c>
      <c r="F291" t="s">
        <v>4972</v>
      </c>
      <c r="G291" t="s">
        <v>106</v>
      </c>
      <c r="H291" t="s">
        <v>106</v>
      </c>
      <c r="I291" t="s">
        <v>107</v>
      </c>
      <c r="J291" t="s">
        <v>4904</v>
      </c>
      <c r="K291" t="s">
        <v>4905</v>
      </c>
      <c r="L291" t="s">
        <v>5307</v>
      </c>
      <c r="M291" t="s">
        <v>1015</v>
      </c>
      <c r="N291" t="s">
        <v>114</v>
      </c>
      <c r="O291" t="s">
        <v>106</v>
      </c>
      <c r="P291" t="s">
        <v>106</v>
      </c>
      <c r="Q291" t="s">
        <v>107</v>
      </c>
      <c r="R291" t="s">
        <v>4904</v>
      </c>
      <c r="S291" t="s">
        <v>4905</v>
      </c>
      <c r="T291" t="s">
        <v>4732</v>
      </c>
      <c r="U291" t="s">
        <v>4660</v>
      </c>
      <c r="V291" t="s">
        <v>5308</v>
      </c>
      <c r="W291" t="s">
        <v>4470</v>
      </c>
      <c r="X291" t="s">
        <v>4734</v>
      </c>
      <c r="Y291" t="s">
        <v>4735</v>
      </c>
      <c r="Z291" t="s">
        <v>1015</v>
      </c>
      <c r="AA291" t="s">
        <v>5309</v>
      </c>
      <c r="AB291" t="s">
        <v>5308</v>
      </c>
      <c r="AC291" t="s">
        <v>19</v>
      </c>
      <c r="AD291" t="s">
        <v>19</v>
      </c>
      <c r="AE291" t="s">
        <v>61</v>
      </c>
      <c r="AF291" t="s">
        <v>22</v>
      </c>
      <c r="AG291" t="s">
        <v>22</v>
      </c>
      <c r="AH291" t="s">
        <v>22</v>
      </c>
      <c r="AI291" t="s">
        <v>22</v>
      </c>
      <c r="AJ291" t="s">
        <v>162</v>
      </c>
      <c r="AK291" t="s">
        <v>4907</v>
      </c>
    </row>
    <row r="292" spans="1:37" ht="11.25" customHeight="1">
      <c r="A292" t="s">
        <v>22</v>
      </c>
      <c r="B292" t="s">
        <v>48</v>
      </c>
      <c r="C292" t="s">
        <v>50</v>
      </c>
      <c r="D292" t="s">
        <v>22</v>
      </c>
      <c r="E292" t="s">
        <v>5310</v>
      </c>
      <c r="F292" t="s">
        <v>4972</v>
      </c>
      <c r="G292" t="s">
        <v>106</v>
      </c>
      <c r="H292" t="s">
        <v>106</v>
      </c>
      <c r="I292" t="s">
        <v>107</v>
      </c>
      <c r="J292" t="s">
        <v>5311</v>
      </c>
      <c r="K292" t="s">
        <v>5312</v>
      </c>
      <c r="L292" t="s">
        <v>5313</v>
      </c>
      <c r="M292" t="s">
        <v>1015</v>
      </c>
      <c r="N292" t="s">
        <v>114</v>
      </c>
      <c r="O292" t="s">
        <v>106</v>
      </c>
      <c r="P292" t="s">
        <v>106</v>
      </c>
      <c r="Q292" t="s">
        <v>107</v>
      </c>
      <c r="R292" t="s">
        <v>5311</v>
      </c>
      <c r="S292" t="s">
        <v>5312</v>
      </c>
      <c r="T292" t="s">
        <v>4732</v>
      </c>
      <c r="U292" t="s">
        <v>4660</v>
      </c>
      <c r="V292" t="s">
        <v>5314</v>
      </c>
      <c r="W292" t="s">
        <v>4470</v>
      </c>
      <c r="X292" t="s">
        <v>4734</v>
      </c>
      <c r="Y292" t="s">
        <v>4735</v>
      </c>
      <c r="Z292" t="s">
        <v>1015</v>
      </c>
      <c r="AA292" t="s">
        <v>5304</v>
      </c>
      <c r="AB292" t="s">
        <v>5314</v>
      </c>
      <c r="AC292" t="s">
        <v>19</v>
      </c>
      <c r="AD292" t="s">
        <v>19</v>
      </c>
      <c r="AE292" t="s">
        <v>61</v>
      </c>
      <c r="AF292" t="s">
        <v>22</v>
      </c>
      <c r="AG292" t="s">
        <v>22</v>
      </c>
      <c r="AH292" t="s">
        <v>22</v>
      </c>
      <c r="AI292" t="s">
        <v>22</v>
      </c>
      <c r="AJ292" t="s">
        <v>5278</v>
      </c>
      <c r="AK292" t="s">
        <v>5315</v>
      </c>
    </row>
    <row r="293" spans="1:37" ht="11.25" customHeight="1">
      <c r="A293" t="s">
        <v>22</v>
      </c>
      <c r="B293" t="s">
        <v>48</v>
      </c>
      <c r="C293" t="s">
        <v>50</v>
      </c>
      <c r="D293" t="s">
        <v>22</v>
      </c>
      <c r="E293" t="s">
        <v>5316</v>
      </c>
      <c r="F293" t="s">
        <v>4972</v>
      </c>
      <c r="G293" t="s">
        <v>106</v>
      </c>
      <c r="H293" t="s">
        <v>106</v>
      </c>
      <c r="I293" t="s">
        <v>107</v>
      </c>
      <c r="J293" t="s">
        <v>4994</v>
      </c>
      <c r="K293" t="s">
        <v>4995</v>
      </c>
      <c r="L293" t="s">
        <v>5317</v>
      </c>
      <c r="M293" t="s">
        <v>1015</v>
      </c>
      <c r="N293" t="s">
        <v>114</v>
      </c>
      <c r="O293" t="s">
        <v>106</v>
      </c>
      <c r="P293" t="s">
        <v>106</v>
      </c>
      <c r="Q293" t="s">
        <v>107</v>
      </c>
      <c r="R293" t="s">
        <v>4994</v>
      </c>
      <c r="S293" t="s">
        <v>4995</v>
      </c>
      <c r="T293" t="s">
        <v>4732</v>
      </c>
      <c r="U293" t="s">
        <v>4660</v>
      </c>
      <c r="V293" t="s">
        <v>5318</v>
      </c>
      <c r="W293" t="s">
        <v>4470</v>
      </c>
      <c r="X293" t="s">
        <v>4734</v>
      </c>
      <c r="Y293" t="s">
        <v>4735</v>
      </c>
      <c r="Z293" t="s">
        <v>1015</v>
      </c>
      <c r="AA293" t="s">
        <v>5296</v>
      </c>
      <c r="AB293" t="s">
        <v>5318</v>
      </c>
      <c r="AC293" t="s">
        <v>19</v>
      </c>
      <c r="AD293" t="s">
        <v>19</v>
      </c>
      <c r="AE293" t="s">
        <v>61</v>
      </c>
      <c r="AF293" t="s">
        <v>22</v>
      </c>
      <c r="AG293" t="s">
        <v>22</v>
      </c>
      <c r="AH293" t="s">
        <v>22</v>
      </c>
      <c r="AI293" t="s">
        <v>22</v>
      </c>
      <c r="AJ293" t="s">
        <v>1823</v>
      </c>
      <c r="AK293" t="s">
        <v>4997</v>
      </c>
    </row>
    <row r="294" spans="1:37" ht="11.25" customHeight="1">
      <c r="A294" t="s">
        <v>22</v>
      </c>
      <c r="B294" t="s">
        <v>48</v>
      </c>
      <c r="C294" t="s">
        <v>50</v>
      </c>
      <c r="D294" t="s">
        <v>22</v>
      </c>
      <c r="E294" t="s">
        <v>5319</v>
      </c>
      <c r="F294" t="s">
        <v>4972</v>
      </c>
      <c r="G294" t="s">
        <v>106</v>
      </c>
      <c r="H294" t="s">
        <v>106</v>
      </c>
      <c r="I294" t="s">
        <v>107</v>
      </c>
      <c r="J294" t="s">
        <v>5232</v>
      </c>
      <c r="K294" t="s">
        <v>5233</v>
      </c>
      <c r="L294" t="s">
        <v>5320</v>
      </c>
      <c r="M294" t="s">
        <v>1015</v>
      </c>
      <c r="N294" t="s">
        <v>114</v>
      </c>
      <c r="O294" t="s">
        <v>106</v>
      </c>
      <c r="P294" t="s">
        <v>106</v>
      </c>
      <c r="Q294" t="s">
        <v>107</v>
      </c>
      <c r="R294" t="s">
        <v>5232</v>
      </c>
      <c r="S294" t="s">
        <v>5233</v>
      </c>
      <c r="T294" t="s">
        <v>4732</v>
      </c>
      <c r="U294" t="s">
        <v>4660</v>
      </c>
      <c r="V294" t="s">
        <v>5321</v>
      </c>
      <c r="W294" t="s">
        <v>4470</v>
      </c>
      <c r="X294" t="s">
        <v>4734</v>
      </c>
      <c r="Y294" t="s">
        <v>4735</v>
      </c>
      <c r="Z294" t="s">
        <v>1015</v>
      </c>
      <c r="AA294" t="s">
        <v>5322</v>
      </c>
      <c r="AB294" t="s">
        <v>5321</v>
      </c>
      <c r="AC294" t="s">
        <v>19</v>
      </c>
      <c r="AD294" t="s">
        <v>19</v>
      </c>
      <c r="AE294" t="s">
        <v>61</v>
      </c>
      <c r="AF294" t="s">
        <v>22</v>
      </c>
      <c r="AG294" t="s">
        <v>22</v>
      </c>
      <c r="AH294" t="s">
        <v>22</v>
      </c>
      <c r="AI294" t="s">
        <v>22</v>
      </c>
      <c r="AJ294" t="s">
        <v>1166</v>
      </c>
      <c r="AK294" t="s">
        <v>1198</v>
      </c>
    </row>
    <row r="295" spans="1:37" ht="11.25" customHeight="1">
      <c r="A295" t="s">
        <v>22</v>
      </c>
      <c r="B295" t="s">
        <v>48</v>
      </c>
      <c r="C295" t="s">
        <v>50</v>
      </c>
      <c r="D295" t="s">
        <v>22</v>
      </c>
      <c r="E295" t="s">
        <v>5323</v>
      </c>
      <c r="F295" t="s">
        <v>1104</v>
      </c>
      <c r="G295" t="s">
        <v>106</v>
      </c>
      <c r="H295" t="s">
        <v>106</v>
      </c>
      <c r="I295" t="s">
        <v>107</v>
      </c>
      <c r="J295" t="s">
        <v>5085</v>
      </c>
      <c r="K295" t="s">
        <v>5086</v>
      </c>
      <c r="L295" t="s">
        <v>5223</v>
      </c>
      <c r="M295" t="s">
        <v>786</v>
      </c>
      <c r="N295" t="s">
        <v>114</v>
      </c>
      <c r="O295" t="s">
        <v>106</v>
      </c>
      <c r="P295" t="s">
        <v>106</v>
      </c>
      <c r="Q295" t="s">
        <v>107</v>
      </c>
      <c r="R295" t="s">
        <v>5085</v>
      </c>
      <c r="S295" t="s">
        <v>5086</v>
      </c>
      <c r="T295" t="s">
        <v>4467</v>
      </c>
      <c r="U295" t="s">
        <v>4468</v>
      </c>
      <c r="V295" t="s">
        <v>4469</v>
      </c>
      <c r="W295" t="s">
        <v>4470</v>
      </c>
      <c r="X295" t="s">
        <v>4471</v>
      </c>
      <c r="Y295" t="s">
        <v>4468</v>
      </c>
      <c r="Z295" t="s">
        <v>1015</v>
      </c>
      <c r="AA295" t="s">
        <v>4472</v>
      </c>
      <c r="AB295" t="s">
        <v>4469</v>
      </c>
      <c r="AC295" t="s">
        <v>61</v>
      </c>
      <c r="AD295" t="s">
        <v>19</v>
      </c>
      <c r="AE295" t="s">
        <v>19</v>
      </c>
      <c r="AF295" t="s">
        <v>1823</v>
      </c>
      <c r="AG295" t="s">
        <v>5224</v>
      </c>
      <c r="AH295" t="s">
        <v>22</v>
      </c>
      <c r="AI295" t="s">
        <v>22</v>
      </c>
      <c r="AJ295" t="s">
        <v>22</v>
      </c>
      <c r="AK295" t="s">
        <v>22</v>
      </c>
    </row>
    <row r="296" spans="1:37" ht="11.25" customHeight="1">
      <c r="A296" t="s">
        <v>22</v>
      </c>
      <c r="B296" t="s">
        <v>48</v>
      </c>
      <c r="C296" t="s">
        <v>50</v>
      </c>
      <c r="D296" t="s">
        <v>22</v>
      </c>
      <c r="E296" t="s">
        <v>5324</v>
      </c>
      <c r="F296" t="s">
        <v>1104</v>
      </c>
      <c r="G296" t="s">
        <v>106</v>
      </c>
      <c r="H296" t="s">
        <v>106</v>
      </c>
      <c r="I296" t="s">
        <v>107</v>
      </c>
      <c r="J296" t="s">
        <v>4484</v>
      </c>
      <c r="K296" t="s">
        <v>4485</v>
      </c>
      <c r="L296" t="s">
        <v>4486</v>
      </c>
      <c r="M296" t="s">
        <v>786</v>
      </c>
      <c r="N296" t="s">
        <v>114</v>
      </c>
      <c r="O296" t="s">
        <v>106</v>
      </c>
      <c r="P296" t="s">
        <v>106</v>
      </c>
      <c r="Q296" t="s">
        <v>107</v>
      </c>
      <c r="R296" t="s">
        <v>4484</v>
      </c>
      <c r="S296" t="s">
        <v>4485</v>
      </c>
      <c r="T296" t="s">
        <v>4467</v>
      </c>
      <c r="U296" t="s">
        <v>4468</v>
      </c>
      <c r="V296" t="s">
        <v>4469</v>
      </c>
      <c r="W296" t="s">
        <v>4470</v>
      </c>
      <c r="X296" t="s">
        <v>4471</v>
      </c>
      <c r="Y296" t="s">
        <v>4468</v>
      </c>
      <c r="Z296" t="s">
        <v>1015</v>
      </c>
      <c r="AA296" t="s">
        <v>4472</v>
      </c>
      <c r="AB296" t="s">
        <v>4469</v>
      </c>
      <c r="AC296" t="s">
        <v>61</v>
      </c>
      <c r="AD296" t="s">
        <v>19</v>
      </c>
      <c r="AE296" t="s">
        <v>19</v>
      </c>
      <c r="AF296" t="s">
        <v>162</v>
      </c>
      <c r="AG296" t="s">
        <v>162</v>
      </c>
      <c r="AH296" t="s">
        <v>22</v>
      </c>
      <c r="AI296" t="s">
        <v>22</v>
      </c>
      <c r="AJ296" t="s">
        <v>22</v>
      </c>
      <c r="AK296" t="s">
        <v>22</v>
      </c>
    </row>
    <row r="297" spans="1:37" ht="11.25" customHeight="1">
      <c r="A297" t="s">
        <v>22</v>
      </c>
      <c r="B297" t="s">
        <v>48</v>
      </c>
      <c r="C297" t="s">
        <v>50</v>
      </c>
      <c r="D297" t="s">
        <v>22</v>
      </c>
      <c r="E297" t="s">
        <v>5325</v>
      </c>
      <c r="F297" t="s">
        <v>1104</v>
      </c>
      <c r="G297" t="s">
        <v>106</v>
      </c>
      <c r="H297" t="s">
        <v>106</v>
      </c>
      <c r="I297" t="s">
        <v>107</v>
      </c>
      <c r="J297" t="s">
        <v>4464</v>
      </c>
      <c r="K297" t="s">
        <v>4465</v>
      </c>
      <c r="L297" t="s">
        <v>4466</v>
      </c>
      <c r="M297" t="s">
        <v>786</v>
      </c>
      <c r="N297" t="s">
        <v>114</v>
      </c>
      <c r="O297" t="s">
        <v>106</v>
      </c>
      <c r="P297" t="s">
        <v>106</v>
      </c>
      <c r="Q297" t="s">
        <v>107</v>
      </c>
      <c r="R297" t="s">
        <v>4464</v>
      </c>
      <c r="S297" t="s">
        <v>4465</v>
      </c>
      <c r="T297" t="s">
        <v>4467</v>
      </c>
      <c r="U297" t="s">
        <v>4468</v>
      </c>
      <c r="V297" t="s">
        <v>4469</v>
      </c>
      <c r="W297" t="s">
        <v>4470</v>
      </c>
      <c r="X297" t="s">
        <v>4471</v>
      </c>
      <c r="Y297" t="s">
        <v>4468</v>
      </c>
      <c r="Z297" t="s">
        <v>1015</v>
      </c>
      <c r="AA297" t="s">
        <v>4472</v>
      </c>
      <c r="AB297" t="s">
        <v>4469</v>
      </c>
      <c r="AC297" t="s">
        <v>61</v>
      </c>
      <c r="AD297" t="s">
        <v>19</v>
      </c>
      <c r="AE297" t="s">
        <v>19</v>
      </c>
      <c r="AF297" t="s">
        <v>162</v>
      </c>
      <c r="AG297" t="s">
        <v>162</v>
      </c>
      <c r="AH297" t="s">
        <v>22</v>
      </c>
      <c r="AI297" t="s">
        <v>22</v>
      </c>
      <c r="AJ297" t="s">
        <v>22</v>
      </c>
      <c r="AK297" t="s">
        <v>22</v>
      </c>
    </row>
    <row r="298" spans="1:37" ht="11.25" customHeight="1">
      <c r="A298" t="s">
        <v>22</v>
      </c>
      <c r="B298" t="s">
        <v>48</v>
      </c>
      <c r="C298" t="s">
        <v>50</v>
      </c>
      <c r="D298" t="s">
        <v>22</v>
      </c>
      <c r="E298" t="s">
        <v>5326</v>
      </c>
      <c r="F298" t="s">
        <v>1104</v>
      </c>
      <c r="G298" t="s">
        <v>106</v>
      </c>
      <c r="H298" t="s">
        <v>106</v>
      </c>
      <c r="I298" t="s">
        <v>107</v>
      </c>
      <c r="J298" t="s">
        <v>5023</v>
      </c>
      <c r="K298" t="s">
        <v>5024</v>
      </c>
      <c r="L298" t="s">
        <v>5327</v>
      </c>
      <c r="M298" t="s">
        <v>786</v>
      </c>
      <c r="N298" t="s">
        <v>114</v>
      </c>
      <c r="O298" t="s">
        <v>106</v>
      </c>
      <c r="P298" t="s">
        <v>106</v>
      </c>
      <c r="Q298" t="s">
        <v>107</v>
      </c>
      <c r="R298" t="s">
        <v>5023</v>
      </c>
      <c r="S298" t="s">
        <v>5024</v>
      </c>
      <c r="T298" t="s">
        <v>4467</v>
      </c>
      <c r="U298" t="s">
        <v>4468</v>
      </c>
      <c r="V298" t="s">
        <v>4469</v>
      </c>
      <c r="W298" t="s">
        <v>4470</v>
      </c>
      <c r="X298" t="s">
        <v>4471</v>
      </c>
      <c r="Y298" t="s">
        <v>4468</v>
      </c>
      <c r="Z298" t="s">
        <v>1015</v>
      </c>
      <c r="AA298" t="s">
        <v>4472</v>
      </c>
      <c r="AB298" t="s">
        <v>4469</v>
      </c>
      <c r="AC298" t="s">
        <v>61</v>
      </c>
      <c r="AD298" t="s">
        <v>19</v>
      </c>
      <c r="AE298" t="s">
        <v>19</v>
      </c>
      <c r="AF298" t="s">
        <v>1166</v>
      </c>
      <c r="AG298" t="s">
        <v>1166</v>
      </c>
      <c r="AH298" t="s">
        <v>22</v>
      </c>
      <c r="AI298" t="s">
        <v>22</v>
      </c>
      <c r="AJ298" t="s">
        <v>22</v>
      </c>
      <c r="AK298" t="s">
        <v>22</v>
      </c>
    </row>
    <row r="299" spans="1:37" ht="11.25" customHeight="1">
      <c r="A299" t="s">
        <v>22</v>
      </c>
      <c r="B299" t="s">
        <v>48</v>
      </c>
      <c r="C299" t="s">
        <v>50</v>
      </c>
      <c r="D299" t="s">
        <v>22</v>
      </c>
      <c r="E299" t="s">
        <v>5328</v>
      </c>
      <c r="F299" t="s">
        <v>1104</v>
      </c>
      <c r="G299" t="s">
        <v>106</v>
      </c>
      <c r="H299" t="s">
        <v>106</v>
      </c>
      <c r="I299" t="s">
        <v>107</v>
      </c>
      <c r="J299" t="s">
        <v>4987</v>
      </c>
      <c r="K299" t="s">
        <v>4988</v>
      </c>
      <c r="L299" t="s">
        <v>5210</v>
      </c>
      <c r="M299" t="s">
        <v>786</v>
      </c>
      <c r="N299" t="s">
        <v>114</v>
      </c>
      <c r="O299" t="s">
        <v>106</v>
      </c>
      <c r="P299" t="s">
        <v>106</v>
      </c>
      <c r="Q299" t="s">
        <v>107</v>
      </c>
      <c r="R299" t="s">
        <v>4987</v>
      </c>
      <c r="S299" t="s">
        <v>4988</v>
      </c>
      <c r="T299" t="s">
        <v>4467</v>
      </c>
      <c r="U299" t="s">
        <v>4468</v>
      </c>
      <c r="V299" t="s">
        <v>4469</v>
      </c>
      <c r="W299" t="s">
        <v>4470</v>
      </c>
      <c r="X299" t="s">
        <v>4471</v>
      </c>
      <c r="Y299" t="s">
        <v>4468</v>
      </c>
      <c r="Z299" t="s">
        <v>1015</v>
      </c>
      <c r="AA299" t="s">
        <v>4472</v>
      </c>
      <c r="AB299" t="s">
        <v>4469</v>
      </c>
      <c r="AC299" t="s">
        <v>61</v>
      </c>
      <c r="AD299" t="s">
        <v>19</v>
      </c>
      <c r="AE299" t="s">
        <v>19</v>
      </c>
      <c r="AF299" t="s">
        <v>5036</v>
      </c>
      <c r="AG299" t="s">
        <v>5036</v>
      </c>
      <c r="AH299" t="s">
        <v>22</v>
      </c>
      <c r="AI299" t="s">
        <v>22</v>
      </c>
      <c r="AJ299" t="s">
        <v>22</v>
      </c>
      <c r="AK299" t="s">
        <v>22</v>
      </c>
    </row>
    <row r="300" spans="1:37" ht="11.25" customHeight="1">
      <c r="A300" t="s">
        <v>22</v>
      </c>
      <c r="B300" t="s">
        <v>48</v>
      </c>
      <c r="C300" t="s">
        <v>50</v>
      </c>
      <c r="D300" t="s">
        <v>22</v>
      </c>
      <c r="E300" t="s">
        <v>5329</v>
      </c>
      <c r="F300" t="s">
        <v>1104</v>
      </c>
      <c r="G300" t="s">
        <v>106</v>
      </c>
      <c r="H300" t="s">
        <v>106</v>
      </c>
      <c r="I300" t="s">
        <v>107</v>
      </c>
      <c r="J300" t="s">
        <v>5085</v>
      </c>
      <c r="K300" t="s">
        <v>5086</v>
      </c>
      <c r="L300" t="s">
        <v>5223</v>
      </c>
      <c r="M300" t="s">
        <v>786</v>
      </c>
      <c r="N300" t="s">
        <v>114</v>
      </c>
      <c r="O300" t="s">
        <v>106</v>
      </c>
      <c r="P300" t="s">
        <v>106</v>
      </c>
      <c r="Q300" t="s">
        <v>107</v>
      </c>
      <c r="R300" t="s">
        <v>5085</v>
      </c>
      <c r="S300" t="s">
        <v>5086</v>
      </c>
      <c r="T300" t="s">
        <v>4467</v>
      </c>
      <c r="U300" t="s">
        <v>4468</v>
      </c>
      <c r="V300" t="s">
        <v>4469</v>
      </c>
      <c r="W300" t="s">
        <v>4470</v>
      </c>
      <c r="X300" t="s">
        <v>4471</v>
      </c>
      <c r="Y300" t="s">
        <v>4468</v>
      </c>
      <c r="Z300" t="s">
        <v>1015</v>
      </c>
      <c r="AA300" t="s">
        <v>4472</v>
      </c>
      <c r="AB300" t="s">
        <v>4469</v>
      </c>
      <c r="AC300" t="s">
        <v>61</v>
      </c>
      <c r="AD300" t="s">
        <v>19</v>
      </c>
      <c r="AE300" t="s">
        <v>19</v>
      </c>
      <c r="AF300" t="s">
        <v>1823</v>
      </c>
      <c r="AG300" t="s">
        <v>5224</v>
      </c>
      <c r="AH300" t="s">
        <v>22</v>
      </c>
      <c r="AI300" t="s">
        <v>22</v>
      </c>
      <c r="AJ300" t="s">
        <v>22</v>
      </c>
      <c r="AK300" t="s">
        <v>22</v>
      </c>
    </row>
    <row r="301" spans="1:37" ht="11.25" customHeight="1">
      <c r="A301" t="s">
        <v>22</v>
      </c>
      <c r="B301" t="s">
        <v>48</v>
      </c>
      <c r="C301" t="s">
        <v>50</v>
      </c>
      <c r="D301" t="s">
        <v>22</v>
      </c>
      <c r="E301" t="s">
        <v>5330</v>
      </c>
      <c r="F301" t="s">
        <v>1104</v>
      </c>
      <c r="G301" t="s">
        <v>106</v>
      </c>
      <c r="H301" t="s">
        <v>106</v>
      </c>
      <c r="I301" t="s">
        <v>107</v>
      </c>
      <c r="J301" t="s">
        <v>4464</v>
      </c>
      <c r="K301" t="s">
        <v>4465</v>
      </c>
      <c r="L301" t="s">
        <v>4466</v>
      </c>
      <c r="M301" t="s">
        <v>786</v>
      </c>
      <c r="N301" t="s">
        <v>114</v>
      </c>
      <c r="O301" t="s">
        <v>106</v>
      </c>
      <c r="P301" t="s">
        <v>106</v>
      </c>
      <c r="Q301" t="s">
        <v>107</v>
      </c>
      <c r="R301" t="s">
        <v>4464</v>
      </c>
      <c r="S301" t="s">
        <v>4465</v>
      </c>
      <c r="T301" t="s">
        <v>4467</v>
      </c>
      <c r="U301" t="s">
        <v>4468</v>
      </c>
      <c r="V301" t="s">
        <v>4469</v>
      </c>
      <c r="W301" t="s">
        <v>4470</v>
      </c>
      <c r="X301" t="s">
        <v>4471</v>
      </c>
      <c r="Y301" t="s">
        <v>4468</v>
      </c>
      <c r="Z301" t="s">
        <v>1015</v>
      </c>
      <c r="AA301" t="s">
        <v>4472</v>
      </c>
      <c r="AB301" t="s">
        <v>4469</v>
      </c>
      <c r="AC301" t="s">
        <v>61</v>
      </c>
      <c r="AD301" t="s">
        <v>19</v>
      </c>
      <c r="AE301" t="s">
        <v>19</v>
      </c>
      <c r="AF301" t="s">
        <v>162</v>
      </c>
      <c r="AG301" t="s">
        <v>162</v>
      </c>
      <c r="AH301" t="s">
        <v>22</v>
      </c>
      <c r="AI301" t="s">
        <v>22</v>
      </c>
      <c r="AJ301" t="s">
        <v>22</v>
      </c>
      <c r="AK301" t="s">
        <v>22</v>
      </c>
    </row>
    <row r="302" spans="1:37" ht="11.25" customHeight="1">
      <c r="A302" t="s">
        <v>22</v>
      </c>
      <c r="B302" t="s">
        <v>48</v>
      </c>
      <c r="C302" t="s">
        <v>50</v>
      </c>
      <c r="D302" t="s">
        <v>22</v>
      </c>
      <c r="E302" t="s">
        <v>5331</v>
      </c>
      <c r="F302" t="s">
        <v>1104</v>
      </c>
      <c r="G302" t="s">
        <v>106</v>
      </c>
      <c r="H302" t="s">
        <v>106</v>
      </c>
      <c r="I302" t="s">
        <v>107</v>
      </c>
      <c r="J302" t="s">
        <v>4484</v>
      </c>
      <c r="K302" t="s">
        <v>4485</v>
      </c>
      <c r="L302" t="s">
        <v>4486</v>
      </c>
      <c r="M302" t="s">
        <v>786</v>
      </c>
      <c r="N302" t="s">
        <v>114</v>
      </c>
      <c r="O302" t="s">
        <v>106</v>
      </c>
      <c r="P302" t="s">
        <v>106</v>
      </c>
      <c r="Q302" t="s">
        <v>107</v>
      </c>
      <c r="R302" t="s">
        <v>4484</v>
      </c>
      <c r="S302" t="s">
        <v>4485</v>
      </c>
      <c r="T302" t="s">
        <v>4467</v>
      </c>
      <c r="U302" t="s">
        <v>4468</v>
      </c>
      <c r="V302" t="s">
        <v>4469</v>
      </c>
      <c r="W302" t="s">
        <v>4470</v>
      </c>
      <c r="X302" t="s">
        <v>4471</v>
      </c>
      <c r="Y302" t="s">
        <v>4468</v>
      </c>
      <c r="Z302" t="s">
        <v>1015</v>
      </c>
      <c r="AA302" t="s">
        <v>4472</v>
      </c>
      <c r="AB302" t="s">
        <v>4469</v>
      </c>
      <c r="AC302" t="s">
        <v>61</v>
      </c>
      <c r="AD302" t="s">
        <v>19</v>
      </c>
      <c r="AE302" t="s">
        <v>19</v>
      </c>
      <c r="AF302" t="s">
        <v>162</v>
      </c>
      <c r="AG302" t="s">
        <v>4506</v>
      </c>
      <c r="AH302" t="s">
        <v>22</v>
      </c>
      <c r="AI302" t="s">
        <v>22</v>
      </c>
      <c r="AJ302" t="s">
        <v>22</v>
      </c>
      <c r="AK302" t="s">
        <v>22</v>
      </c>
    </row>
    <row r="303" spans="1:37" ht="11.25" customHeight="1">
      <c r="A303" t="s">
        <v>22</v>
      </c>
      <c r="B303" t="s">
        <v>48</v>
      </c>
      <c r="C303" t="s">
        <v>50</v>
      </c>
      <c r="D303" t="s">
        <v>22</v>
      </c>
      <c r="E303" t="s">
        <v>5332</v>
      </c>
      <c r="F303" t="s">
        <v>1104</v>
      </c>
      <c r="G303" t="s">
        <v>106</v>
      </c>
      <c r="H303" t="s">
        <v>106</v>
      </c>
      <c r="I303" t="s">
        <v>107</v>
      </c>
      <c r="J303" t="s">
        <v>5023</v>
      </c>
      <c r="K303" t="s">
        <v>5024</v>
      </c>
      <c r="L303" t="s">
        <v>5327</v>
      </c>
      <c r="M303" t="s">
        <v>786</v>
      </c>
      <c r="N303" t="s">
        <v>114</v>
      </c>
      <c r="O303" t="s">
        <v>106</v>
      </c>
      <c r="P303" t="s">
        <v>106</v>
      </c>
      <c r="Q303" t="s">
        <v>107</v>
      </c>
      <c r="R303" t="s">
        <v>5023</v>
      </c>
      <c r="S303" t="s">
        <v>5024</v>
      </c>
      <c r="T303" t="s">
        <v>4467</v>
      </c>
      <c r="U303" t="s">
        <v>4468</v>
      </c>
      <c r="V303" t="s">
        <v>4469</v>
      </c>
      <c r="W303" t="s">
        <v>4470</v>
      </c>
      <c r="X303" t="s">
        <v>4471</v>
      </c>
      <c r="Y303" t="s">
        <v>4468</v>
      </c>
      <c r="Z303" t="s">
        <v>1015</v>
      </c>
      <c r="AA303" t="s">
        <v>4472</v>
      </c>
      <c r="AB303" t="s">
        <v>4469</v>
      </c>
      <c r="AC303" t="s">
        <v>61</v>
      </c>
      <c r="AD303" t="s">
        <v>19</v>
      </c>
      <c r="AE303" t="s">
        <v>19</v>
      </c>
      <c r="AF303" t="s">
        <v>1166</v>
      </c>
      <c r="AG303" t="s">
        <v>1166</v>
      </c>
      <c r="AH303" t="s">
        <v>22</v>
      </c>
      <c r="AI303" t="s">
        <v>22</v>
      </c>
      <c r="AJ303" t="s">
        <v>22</v>
      </c>
      <c r="AK303" t="s">
        <v>22</v>
      </c>
    </row>
    <row r="304" spans="1:37" ht="11.25" customHeight="1">
      <c r="A304" t="s">
        <v>22</v>
      </c>
      <c r="B304" t="s">
        <v>48</v>
      </c>
      <c r="C304" t="s">
        <v>50</v>
      </c>
      <c r="D304" t="s">
        <v>22</v>
      </c>
      <c r="E304" t="s">
        <v>5333</v>
      </c>
      <c r="F304" t="s">
        <v>1104</v>
      </c>
      <c r="G304" t="s">
        <v>106</v>
      </c>
      <c r="H304" t="s">
        <v>106</v>
      </c>
      <c r="I304" t="s">
        <v>107</v>
      </c>
      <c r="J304" t="s">
        <v>4987</v>
      </c>
      <c r="K304" t="s">
        <v>4988</v>
      </c>
      <c r="L304" t="s">
        <v>5210</v>
      </c>
      <c r="M304" t="s">
        <v>786</v>
      </c>
      <c r="N304" t="s">
        <v>114</v>
      </c>
      <c r="O304" t="s">
        <v>106</v>
      </c>
      <c r="P304" t="s">
        <v>106</v>
      </c>
      <c r="Q304" t="s">
        <v>107</v>
      </c>
      <c r="R304" t="s">
        <v>4987</v>
      </c>
      <c r="S304" t="s">
        <v>4988</v>
      </c>
      <c r="T304" t="s">
        <v>4467</v>
      </c>
      <c r="U304" t="s">
        <v>4468</v>
      </c>
      <c r="V304" t="s">
        <v>4469</v>
      </c>
      <c r="W304" t="s">
        <v>4470</v>
      </c>
      <c r="X304" t="s">
        <v>4471</v>
      </c>
      <c r="Y304" t="s">
        <v>4468</v>
      </c>
      <c r="Z304" t="s">
        <v>1015</v>
      </c>
      <c r="AA304" t="s">
        <v>4472</v>
      </c>
      <c r="AB304" t="s">
        <v>4469</v>
      </c>
      <c r="AC304" t="s">
        <v>61</v>
      </c>
      <c r="AD304" t="s">
        <v>19</v>
      </c>
      <c r="AE304" t="s">
        <v>19</v>
      </c>
      <c r="AF304" t="s">
        <v>4532</v>
      </c>
      <c r="AG304" t="s">
        <v>5155</v>
      </c>
      <c r="AH304" t="s">
        <v>22</v>
      </c>
      <c r="AI304" t="s">
        <v>22</v>
      </c>
      <c r="AJ304" t="s">
        <v>22</v>
      </c>
      <c r="AK304" t="s">
        <v>22</v>
      </c>
    </row>
    <row r="305" spans="1:37" ht="11.25" customHeight="1">
      <c r="A305" t="s">
        <v>22</v>
      </c>
      <c r="B305" t="s">
        <v>48</v>
      </c>
      <c r="C305" t="s">
        <v>50</v>
      </c>
      <c r="D305" t="s">
        <v>22</v>
      </c>
      <c r="E305" t="s">
        <v>5334</v>
      </c>
      <c r="F305" t="s">
        <v>1104</v>
      </c>
      <c r="G305" t="s">
        <v>106</v>
      </c>
      <c r="H305" t="s">
        <v>106</v>
      </c>
      <c r="I305" t="s">
        <v>107</v>
      </c>
      <c r="J305" t="s">
        <v>4484</v>
      </c>
      <c r="K305" t="s">
        <v>4485</v>
      </c>
      <c r="L305" t="s">
        <v>4486</v>
      </c>
      <c r="M305" t="s">
        <v>786</v>
      </c>
      <c r="N305" t="s">
        <v>114</v>
      </c>
      <c r="O305" t="s">
        <v>106</v>
      </c>
      <c r="P305" t="s">
        <v>106</v>
      </c>
      <c r="Q305" t="s">
        <v>107</v>
      </c>
      <c r="R305" t="s">
        <v>4484</v>
      </c>
      <c r="S305" t="s">
        <v>4485</v>
      </c>
      <c r="T305" t="s">
        <v>4467</v>
      </c>
      <c r="U305" t="s">
        <v>4468</v>
      </c>
      <c r="V305" t="s">
        <v>4469</v>
      </c>
      <c r="W305" t="s">
        <v>4470</v>
      </c>
      <c r="X305" t="s">
        <v>4471</v>
      </c>
      <c r="Y305" t="s">
        <v>4468</v>
      </c>
      <c r="Z305" t="s">
        <v>1015</v>
      </c>
      <c r="AA305" t="s">
        <v>4472</v>
      </c>
      <c r="AB305" t="s">
        <v>4469</v>
      </c>
      <c r="AC305" t="s">
        <v>61</v>
      </c>
      <c r="AD305" t="s">
        <v>19</v>
      </c>
      <c r="AE305" t="s">
        <v>19</v>
      </c>
      <c r="AF305" t="s">
        <v>162</v>
      </c>
      <c r="AG305" t="s">
        <v>4506</v>
      </c>
      <c r="AH305" t="s">
        <v>22</v>
      </c>
      <c r="AI305" t="s">
        <v>22</v>
      </c>
      <c r="AJ305" t="s">
        <v>22</v>
      </c>
      <c r="AK305" t="s">
        <v>22</v>
      </c>
    </row>
    <row r="306" spans="1:37" ht="11.25" customHeight="1">
      <c r="A306" t="s">
        <v>22</v>
      </c>
      <c r="B306" t="s">
        <v>48</v>
      </c>
      <c r="C306" t="s">
        <v>50</v>
      </c>
      <c r="D306" t="s">
        <v>22</v>
      </c>
      <c r="E306" t="s">
        <v>5335</v>
      </c>
      <c r="F306" t="s">
        <v>1104</v>
      </c>
      <c r="G306" t="s">
        <v>106</v>
      </c>
      <c r="H306" t="s">
        <v>106</v>
      </c>
      <c r="I306" t="s">
        <v>107</v>
      </c>
      <c r="J306" t="s">
        <v>5023</v>
      </c>
      <c r="K306" t="s">
        <v>5024</v>
      </c>
      <c r="L306" t="s">
        <v>5327</v>
      </c>
      <c r="M306" t="s">
        <v>786</v>
      </c>
      <c r="N306" t="s">
        <v>114</v>
      </c>
      <c r="O306" t="s">
        <v>106</v>
      </c>
      <c r="P306" t="s">
        <v>106</v>
      </c>
      <c r="Q306" t="s">
        <v>107</v>
      </c>
      <c r="R306" t="s">
        <v>5023</v>
      </c>
      <c r="S306" t="s">
        <v>5024</v>
      </c>
      <c r="T306" t="s">
        <v>4467</v>
      </c>
      <c r="U306" t="s">
        <v>4468</v>
      </c>
      <c r="V306" t="s">
        <v>4469</v>
      </c>
      <c r="W306" t="s">
        <v>4470</v>
      </c>
      <c r="X306" t="s">
        <v>4471</v>
      </c>
      <c r="Y306" t="s">
        <v>4468</v>
      </c>
      <c r="Z306" t="s">
        <v>1015</v>
      </c>
      <c r="AA306" t="s">
        <v>4472</v>
      </c>
      <c r="AB306" t="s">
        <v>4469</v>
      </c>
      <c r="AC306" t="s">
        <v>61</v>
      </c>
      <c r="AD306" t="s">
        <v>19</v>
      </c>
      <c r="AE306" t="s">
        <v>19</v>
      </c>
      <c r="AF306" t="s">
        <v>1166</v>
      </c>
      <c r="AG306" t="s">
        <v>1166</v>
      </c>
      <c r="AH306" t="s">
        <v>22</v>
      </c>
      <c r="AI306" t="s">
        <v>22</v>
      </c>
      <c r="AJ306" t="s">
        <v>22</v>
      </c>
      <c r="AK306" t="s">
        <v>22</v>
      </c>
    </row>
    <row r="307" spans="1:37" ht="11.25" customHeight="1">
      <c r="A307" t="s">
        <v>22</v>
      </c>
      <c r="B307" t="s">
        <v>48</v>
      </c>
      <c r="C307" t="s">
        <v>50</v>
      </c>
      <c r="D307" t="s">
        <v>22</v>
      </c>
      <c r="E307" t="s">
        <v>5336</v>
      </c>
      <c r="F307" t="s">
        <v>1104</v>
      </c>
      <c r="G307" t="s">
        <v>106</v>
      </c>
      <c r="H307" t="s">
        <v>106</v>
      </c>
      <c r="I307" t="s">
        <v>107</v>
      </c>
      <c r="J307" t="s">
        <v>4987</v>
      </c>
      <c r="K307" t="s">
        <v>4988</v>
      </c>
      <c r="L307" t="s">
        <v>5210</v>
      </c>
      <c r="M307" t="s">
        <v>786</v>
      </c>
      <c r="N307" t="s">
        <v>114</v>
      </c>
      <c r="O307" t="s">
        <v>106</v>
      </c>
      <c r="P307" t="s">
        <v>106</v>
      </c>
      <c r="Q307" t="s">
        <v>107</v>
      </c>
      <c r="R307" t="s">
        <v>4987</v>
      </c>
      <c r="S307" t="s">
        <v>4988</v>
      </c>
      <c r="T307" t="s">
        <v>4467</v>
      </c>
      <c r="U307" t="s">
        <v>4468</v>
      </c>
      <c r="V307" t="s">
        <v>4469</v>
      </c>
      <c r="W307" t="s">
        <v>4470</v>
      </c>
      <c r="X307" t="s">
        <v>4471</v>
      </c>
      <c r="Y307" t="s">
        <v>4468</v>
      </c>
      <c r="Z307" t="s">
        <v>1015</v>
      </c>
      <c r="AA307" t="s">
        <v>4472</v>
      </c>
      <c r="AB307" t="s">
        <v>4469</v>
      </c>
      <c r="AC307" t="s">
        <v>61</v>
      </c>
      <c r="AD307" t="s">
        <v>19</v>
      </c>
      <c r="AE307" t="s">
        <v>19</v>
      </c>
      <c r="AF307" t="s">
        <v>5337</v>
      </c>
      <c r="AG307" t="s">
        <v>5337</v>
      </c>
      <c r="AH307" t="s">
        <v>22</v>
      </c>
      <c r="AI307" t="s">
        <v>22</v>
      </c>
      <c r="AJ307" t="s">
        <v>22</v>
      </c>
      <c r="AK307" t="s">
        <v>22</v>
      </c>
    </row>
    <row r="308" spans="1:37" ht="11.25" customHeight="1">
      <c r="A308" t="s">
        <v>22</v>
      </c>
      <c r="B308" t="s">
        <v>48</v>
      </c>
      <c r="C308" t="s">
        <v>50</v>
      </c>
      <c r="D308" t="s">
        <v>22</v>
      </c>
      <c r="E308" t="s">
        <v>5338</v>
      </c>
      <c r="F308" t="s">
        <v>1104</v>
      </c>
      <c r="G308" t="s">
        <v>106</v>
      </c>
      <c r="H308" t="s">
        <v>106</v>
      </c>
      <c r="I308" t="s">
        <v>107</v>
      </c>
      <c r="J308" t="s">
        <v>5023</v>
      </c>
      <c r="K308" t="s">
        <v>5024</v>
      </c>
      <c r="L308" t="s">
        <v>5327</v>
      </c>
      <c r="M308" t="s">
        <v>786</v>
      </c>
      <c r="N308" t="s">
        <v>114</v>
      </c>
      <c r="O308" t="s">
        <v>106</v>
      </c>
      <c r="P308" t="s">
        <v>106</v>
      </c>
      <c r="Q308" t="s">
        <v>107</v>
      </c>
      <c r="R308" t="s">
        <v>5023</v>
      </c>
      <c r="S308" t="s">
        <v>5024</v>
      </c>
      <c r="T308" t="s">
        <v>4467</v>
      </c>
      <c r="U308" t="s">
        <v>4468</v>
      </c>
      <c r="V308" t="s">
        <v>4469</v>
      </c>
      <c r="W308" t="s">
        <v>4470</v>
      </c>
      <c r="X308" t="s">
        <v>4471</v>
      </c>
      <c r="Y308" t="s">
        <v>4468</v>
      </c>
      <c r="Z308" t="s">
        <v>1015</v>
      </c>
      <c r="AA308" t="s">
        <v>4472</v>
      </c>
      <c r="AB308" t="s">
        <v>4469</v>
      </c>
      <c r="AC308" t="s">
        <v>61</v>
      </c>
      <c r="AD308" t="s">
        <v>19</v>
      </c>
      <c r="AE308" t="s">
        <v>19</v>
      </c>
      <c r="AF308" t="s">
        <v>1166</v>
      </c>
      <c r="AG308" t="s">
        <v>1166</v>
      </c>
      <c r="AH308" t="s">
        <v>22</v>
      </c>
      <c r="AI308" t="s">
        <v>22</v>
      </c>
      <c r="AJ308" t="s">
        <v>22</v>
      </c>
      <c r="AK308" t="s">
        <v>22</v>
      </c>
    </row>
    <row r="309" spans="1:37" ht="11.25" customHeight="1">
      <c r="A309" t="s">
        <v>22</v>
      </c>
      <c r="B309" t="s">
        <v>48</v>
      </c>
      <c r="C309" t="s">
        <v>50</v>
      </c>
      <c r="D309" t="s">
        <v>22</v>
      </c>
      <c r="E309" t="s">
        <v>5339</v>
      </c>
      <c r="F309" t="s">
        <v>1104</v>
      </c>
      <c r="G309" t="s">
        <v>106</v>
      </c>
      <c r="H309" t="s">
        <v>106</v>
      </c>
      <c r="I309" t="s">
        <v>107</v>
      </c>
      <c r="J309" t="s">
        <v>4871</v>
      </c>
      <c r="K309" t="s">
        <v>4872</v>
      </c>
      <c r="L309" t="s">
        <v>4873</v>
      </c>
      <c r="M309" t="s">
        <v>786</v>
      </c>
      <c r="N309" t="s">
        <v>114</v>
      </c>
      <c r="O309" t="s">
        <v>106</v>
      </c>
      <c r="P309" t="s">
        <v>106</v>
      </c>
      <c r="Q309" t="s">
        <v>107</v>
      </c>
      <c r="R309" t="s">
        <v>4871</v>
      </c>
      <c r="S309" t="s">
        <v>4872</v>
      </c>
      <c r="T309" t="s">
        <v>4467</v>
      </c>
      <c r="U309" t="s">
        <v>4468</v>
      </c>
      <c r="V309" t="s">
        <v>4469</v>
      </c>
      <c r="W309" t="s">
        <v>4470</v>
      </c>
      <c r="X309" t="s">
        <v>4471</v>
      </c>
      <c r="Y309" t="s">
        <v>4468</v>
      </c>
      <c r="Z309" t="s">
        <v>1015</v>
      </c>
      <c r="AA309" t="s">
        <v>4472</v>
      </c>
      <c r="AB309" t="s">
        <v>4469</v>
      </c>
      <c r="AC309" t="s">
        <v>61</v>
      </c>
      <c r="AD309" t="s">
        <v>19</v>
      </c>
      <c r="AE309" t="s">
        <v>19</v>
      </c>
      <c r="AF309" t="s">
        <v>1153</v>
      </c>
      <c r="AG309" t="s">
        <v>1206</v>
      </c>
      <c r="AH309" t="s">
        <v>22</v>
      </c>
      <c r="AI309" t="s">
        <v>22</v>
      </c>
      <c r="AJ309" t="s">
        <v>22</v>
      </c>
      <c r="AK309" t="s">
        <v>22</v>
      </c>
    </row>
    <row r="310" spans="1:37" ht="11.25" customHeight="1">
      <c r="A310" t="s">
        <v>22</v>
      </c>
      <c r="B310" t="s">
        <v>48</v>
      </c>
      <c r="C310" t="s">
        <v>50</v>
      </c>
      <c r="D310" t="s">
        <v>22</v>
      </c>
      <c r="E310" t="s">
        <v>5340</v>
      </c>
      <c r="F310" t="s">
        <v>1104</v>
      </c>
      <c r="G310" t="s">
        <v>106</v>
      </c>
      <c r="H310" t="s">
        <v>106</v>
      </c>
      <c r="I310" t="s">
        <v>107</v>
      </c>
      <c r="J310" t="s">
        <v>4987</v>
      </c>
      <c r="K310" t="s">
        <v>4988</v>
      </c>
      <c r="L310" t="s">
        <v>5210</v>
      </c>
      <c r="M310" t="s">
        <v>786</v>
      </c>
      <c r="N310" t="s">
        <v>114</v>
      </c>
      <c r="O310" t="s">
        <v>106</v>
      </c>
      <c r="P310" t="s">
        <v>106</v>
      </c>
      <c r="Q310" t="s">
        <v>107</v>
      </c>
      <c r="R310" t="s">
        <v>4987</v>
      </c>
      <c r="S310" t="s">
        <v>4988</v>
      </c>
      <c r="T310" t="s">
        <v>4467</v>
      </c>
      <c r="U310" t="s">
        <v>4468</v>
      </c>
      <c r="V310" t="s">
        <v>4469</v>
      </c>
      <c r="W310" t="s">
        <v>4470</v>
      </c>
      <c r="X310" t="s">
        <v>4471</v>
      </c>
      <c r="Y310" t="s">
        <v>4468</v>
      </c>
      <c r="Z310" t="s">
        <v>1015</v>
      </c>
      <c r="AA310" t="s">
        <v>4472</v>
      </c>
      <c r="AB310" t="s">
        <v>4469</v>
      </c>
      <c r="AC310" t="s">
        <v>61</v>
      </c>
      <c r="AD310" t="s">
        <v>19</v>
      </c>
      <c r="AE310" t="s">
        <v>19</v>
      </c>
      <c r="AF310" t="s">
        <v>1166</v>
      </c>
      <c r="AG310" t="s">
        <v>116</v>
      </c>
      <c r="AH310" t="s">
        <v>22</v>
      </c>
      <c r="AI310" t="s">
        <v>22</v>
      </c>
      <c r="AJ310" t="s">
        <v>22</v>
      </c>
      <c r="AK310" t="s">
        <v>22</v>
      </c>
    </row>
    <row r="311" spans="1:37" ht="11.25" customHeight="1">
      <c r="A311" t="s">
        <v>22</v>
      </c>
      <c r="B311" t="s">
        <v>48</v>
      </c>
      <c r="C311" t="s">
        <v>50</v>
      </c>
      <c r="D311" t="s">
        <v>22</v>
      </c>
      <c r="E311" t="s">
        <v>5341</v>
      </c>
      <c r="F311" t="s">
        <v>1104</v>
      </c>
      <c r="G311" t="s">
        <v>106</v>
      </c>
      <c r="H311" t="s">
        <v>106</v>
      </c>
      <c r="I311" t="s">
        <v>107</v>
      </c>
      <c r="J311" t="s">
        <v>4913</v>
      </c>
      <c r="K311" t="s">
        <v>4914</v>
      </c>
      <c r="L311" t="s">
        <v>4915</v>
      </c>
      <c r="M311" t="s">
        <v>1015</v>
      </c>
      <c r="N311" t="s">
        <v>114</v>
      </c>
      <c r="O311" t="s">
        <v>106</v>
      </c>
      <c r="P311" t="s">
        <v>106</v>
      </c>
      <c r="Q311" t="s">
        <v>107</v>
      </c>
      <c r="R311" t="s">
        <v>4913</v>
      </c>
      <c r="S311" t="s">
        <v>4914</v>
      </c>
      <c r="T311" t="s">
        <v>4467</v>
      </c>
      <c r="U311" t="s">
        <v>4468</v>
      </c>
      <c r="V311" t="s">
        <v>4469</v>
      </c>
      <c r="W311" t="s">
        <v>4487</v>
      </c>
      <c r="X311" t="s">
        <v>4471</v>
      </c>
      <c r="Y311" t="s">
        <v>4468</v>
      </c>
      <c r="Z311" t="s">
        <v>1015</v>
      </c>
      <c r="AA311" t="s">
        <v>4472</v>
      </c>
      <c r="AB311" t="s">
        <v>4469</v>
      </c>
      <c r="AC311" t="s">
        <v>61</v>
      </c>
      <c r="AD311" t="s">
        <v>19</v>
      </c>
      <c r="AE311" t="s">
        <v>19</v>
      </c>
      <c r="AF311" t="s">
        <v>1166</v>
      </c>
      <c r="AG311" t="s">
        <v>387</v>
      </c>
      <c r="AH311" t="s">
        <v>22</v>
      </c>
      <c r="AI311" t="s">
        <v>22</v>
      </c>
      <c r="AJ311" t="s">
        <v>22</v>
      </c>
      <c r="AK311" t="s">
        <v>22</v>
      </c>
    </row>
    <row r="312" spans="1:37" ht="11.25" customHeight="1">
      <c r="A312" t="s">
        <v>22</v>
      </c>
      <c r="B312" t="s">
        <v>48</v>
      </c>
      <c r="C312" t="s">
        <v>50</v>
      </c>
      <c r="D312" t="s">
        <v>22</v>
      </c>
      <c r="E312" t="s">
        <v>5342</v>
      </c>
      <c r="F312" t="s">
        <v>1104</v>
      </c>
      <c r="G312" t="s">
        <v>106</v>
      </c>
      <c r="H312" t="s">
        <v>106</v>
      </c>
      <c r="I312" t="s">
        <v>107</v>
      </c>
      <c r="J312" t="s">
        <v>4913</v>
      </c>
      <c r="K312" t="s">
        <v>4914</v>
      </c>
      <c r="L312" t="s">
        <v>4915</v>
      </c>
      <c r="M312" t="s">
        <v>1015</v>
      </c>
      <c r="N312" t="s">
        <v>114</v>
      </c>
      <c r="O312" t="s">
        <v>106</v>
      </c>
      <c r="P312" t="s">
        <v>106</v>
      </c>
      <c r="Q312" t="s">
        <v>107</v>
      </c>
      <c r="R312" t="s">
        <v>4913</v>
      </c>
      <c r="S312" t="s">
        <v>4914</v>
      </c>
      <c r="T312" t="s">
        <v>4467</v>
      </c>
      <c r="U312" t="s">
        <v>4468</v>
      </c>
      <c r="V312" t="s">
        <v>4469</v>
      </c>
      <c r="W312" t="s">
        <v>4487</v>
      </c>
      <c r="X312" t="s">
        <v>4471</v>
      </c>
      <c r="Y312" t="s">
        <v>4468</v>
      </c>
      <c r="Z312" t="s">
        <v>1015</v>
      </c>
      <c r="AA312" t="s">
        <v>4472</v>
      </c>
      <c r="AB312" t="s">
        <v>4469</v>
      </c>
      <c r="AC312" t="s">
        <v>61</v>
      </c>
      <c r="AD312" t="s">
        <v>19</v>
      </c>
      <c r="AE312" t="s">
        <v>19</v>
      </c>
      <c r="AF312" t="s">
        <v>1823</v>
      </c>
      <c r="AG312" t="s">
        <v>387</v>
      </c>
      <c r="AH312" t="s">
        <v>22</v>
      </c>
      <c r="AI312" t="s">
        <v>22</v>
      </c>
      <c r="AJ312" t="s">
        <v>22</v>
      </c>
      <c r="AK312" t="s">
        <v>22</v>
      </c>
    </row>
    <row r="313" spans="1:37" ht="11.25" customHeight="1">
      <c r="A313" t="s">
        <v>22</v>
      </c>
      <c r="B313" t="s">
        <v>48</v>
      </c>
      <c r="C313" t="s">
        <v>50</v>
      </c>
      <c r="D313" t="s">
        <v>22</v>
      </c>
      <c r="E313" t="s">
        <v>5343</v>
      </c>
      <c r="F313" t="s">
        <v>1104</v>
      </c>
      <c r="G313" t="s">
        <v>106</v>
      </c>
      <c r="H313" t="s">
        <v>106</v>
      </c>
      <c r="I313" t="s">
        <v>107</v>
      </c>
      <c r="J313" t="s">
        <v>5344</v>
      </c>
      <c r="K313" t="s">
        <v>5345</v>
      </c>
      <c r="L313" t="s">
        <v>5346</v>
      </c>
      <c r="M313" t="s">
        <v>786</v>
      </c>
      <c r="N313" t="s">
        <v>114</v>
      </c>
      <c r="O313" t="s">
        <v>106</v>
      </c>
      <c r="P313" t="s">
        <v>106</v>
      </c>
      <c r="Q313" t="s">
        <v>107</v>
      </c>
      <c r="R313" t="s">
        <v>5344</v>
      </c>
      <c r="S313" t="s">
        <v>5345</v>
      </c>
      <c r="T313" t="s">
        <v>4467</v>
      </c>
      <c r="U313" t="s">
        <v>4468</v>
      </c>
      <c r="V313" t="s">
        <v>4469</v>
      </c>
      <c r="W313" t="s">
        <v>4470</v>
      </c>
      <c r="X313" t="s">
        <v>4471</v>
      </c>
      <c r="Y313" t="s">
        <v>4468</v>
      </c>
      <c r="Z313" t="s">
        <v>1015</v>
      </c>
      <c r="AA313" t="s">
        <v>4472</v>
      </c>
      <c r="AB313" t="s">
        <v>4469</v>
      </c>
      <c r="AC313" t="s">
        <v>61</v>
      </c>
      <c r="AD313" t="s">
        <v>19</v>
      </c>
      <c r="AE313" t="s">
        <v>19</v>
      </c>
      <c r="AF313" t="s">
        <v>5347</v>
      </c>
      <c r="AG313" t="s">
        <v>1173</v>
      </c>
      <c r="AH313" t="s">
        <v>22</v>
      </c>
      <c r="AI313" t="s">
        <v>22</v>
      </c>
      <c r="AJ313" t="s">
        <v>22</v>
      </c>
      <c r="AK313" t="s">
        <v>22</v>
      </c>
    </row>
    <row r="314" spans="1:37" ht="11.25" customHeight="1">
      <c r="A314" t="s">
        <v>22</v>
      </c>
      <c r="B314" t="s">
        <v>48</v>
      </c>
      <c r="C314" t="s">
        <v>50</v>
      </c>
      <c r="D314" t="s">
        <v>22</v>
      </c>
      <c r="E314" t="s">
        <v>5348</v>
      </c>
      <c r="F314" t="s">
        <v>1104</v>
      </c>
      <c r="G314" t="s">
        <v>106</v>
      </c>
      <c r="H314" t="s">
        <v>106</v>
      </c>
      <c r="I314" t="s">
        <v>107</v>
      </c>
      <c r="J314" t="s">
        <v>4890</v>
      </c>
      <c r="K314" t="s">
        <v>4891</v>
      </c>
      <c r="L314" t="s">
        <v>5009</v>
      </c>
      <c r="M314" t="s">
        <v>786</v>
      </c>
      <c r="N314" t="s">
        <v>114</v>
      </c>
      <c r="O314" t="s">
        <v>106</v>
      </c>
      <c r="P314" t="s">
        <v>106</v>
      </c>
      <c r="Q314" t="s">
        <v>107</v>
      </c>
      <c r="R314" t="s">
        <v>4890</v>
      </c>
      <c r="S314" t="s">
        <v>4891</v>
      </c>
      <c r="T314" t="s">
        <v>4467</v>
      </c>
      <c r="U314" t="s">
        <v>4468</v>
      </c>
      <c r="V314" t="s">
        <v>4469</v>
      </c>
      <c r="W314" t="s">
        <v>4470</v>
      </c>
      <c r="X314" t="s">
        <v>4471</v>
      </c>
      <c r="Y314" t="s">
        <v>4468</v>
      </c>
      <c r="Z314" t="s">
        <v>1015</v>
      </c>
      <c r="AA314" t="s">
        <v>4472</v>
      </c>
      <c r="AB314" t="s">
        <v>4469</v>
      </c>
      <c r="AC314" t="s">
        <v>61</v>
      </c>
      <c r="AD314" t="s">
        <v>19</v>
      </c>
      <c r="AE314" t="s">
        <v>19</v>
      </c>
      <c r="AF314" t="s">
        <v>1766</v>
      </c>
      <c r="AG314" t="s">
        <v>4902</v>
      </c>
      <c r="AH314" t="s">
        <v>22</v>
      </c>
      <c r="AI314" t="s">
        <v>22</v>
      </c>
      <c r="AJ314" t="s">
        <v>22</v>
      </c>
      <c r="AK314" t="s">
        <v>22</v>
      </c>
    </row>
    <row r="315" spans="1:37" ht="11.25" customHeight="1">
      <c r="A315" t="s">
        <v>22</v>
      </c>
      <c r="B315" t="s">
        <v>48</v>
      </c>
      <c r="C315" t="s">
        <v>50</v>
      </c>
      <c r="D315" t="s">
        <v>22</v>
      </c>
      <c r="E315" t="s">
        <v>5349</v>
      </c>
      <c r="F315" t="s">
        <v>1104</v>
      </c>
      <c r="G315" t="s">
        <v>106</v>
      </c>
      <c r="H315" t="s">
        <v>106</v>
      </c>
      <c r="I315" t="s">
        <v>107</v>
      </c>
      <c r="J315" t="s">
        <v>4890</v>
      </c>
      <c r="K315" t="s">
        <v>4891</v>
      </c>
      <c r="L315" t="s">
        <v>5009</v>
      </c>
      <c r="M315" t="s">
        <v>786</v>
      </c>
      <c r="N315" t="s">
        <v>114</v>
      </c>
      <c r="O315" t="s">
        <v>106</v>
      </c>
      <c r="P315" t="s">
        <v>106</v>
      </c>
      <c r="Q315" t="s">
        <v>107</v>
      </c>
      <c r="R315" t="s">
        <v>4890</v>
      </c>
      <c r="S315" t="s">
        <v>4891</v>
      </c>
      <c r="T315" t="s">
        <v>4467</v>
      </c>
      <c r="U315" t="s">
        <v>4468</v>
      </c>
      <c r="V315" t="s">
        <v>4469</v>
      </c>
      <c r="W315" t="s">
        <v>4470</v>
      </c>
      <c r="X315" t="s">
        <v>4471</v>
      </c>
      <c r="Y315" t="s">
        <v>4468</v>
      </c>
      <c r="Z315" t="s">
        <v>1015</v>
      </c>
      <c r="AA315" t="s">
        <v>4472</v>
      </c>
      <c r="AB315" t="s">
        <v>4469</v>
      </c>
      <c r="AC315" t="s">
        <v>61</v>
      </c>
      <c r="AD315" t="s">
        <v>19</v>
      </c>
      <c r="AE315" t="s">
        <v>19</v>
      </c>
      <c r="AF315" t="s">
        <v>1766</v>
      </c>
      <c r="AG315" t="s">
        <v>4902</v>
      </c>
      <c r="AH315" t="s">
        <v>22</v>
      </c>
      <c r="AI315" t="s">
        <v>22</v>
      </c>
      <c r="AJ315" t="s">
        <v>22</v>
      </c>
      <c r="AK315" t="s">
        <v>22</v>
      </c>
    </row>
    <row r="316" spans="1:37" ht="11.25" customHeight="1">
      <c r="A316" t="s">
        <v>22</v>
      </c>
      <c r="B316" t="s">
        <v>48</v>
      </c>
      <c r="C316" t="s">
        <v>50</v>
      </c>
      <c r="D316" t="s">
        <v>22</v>
      </c>
      <c r="E316" t="s">
        <v>5350</v>
      </c>
      <c r="F316" t="s">
        <v>1104</v>
      </c>
      <c r="G316" t="s">
        <v>106</v>
      </c>
      <c r="H316" t="s">
        <v>106</v>
      </c>
      <c r="I316" t="s">
        <v>107</v>
      </c>
      <c r="J316" t="s">
        <v>4979</v>
      </c>
      <c r="K316" t="s">
        <v>4980</v>
      </c>
      <c r="L316" t="s">
        <v>4981</v>
      </c>
      <c r="M316" t="s">
        <v>786</v>
      </c>
      <c r="N316" t="s">
        <v>114</v>
      </c>
      <c r="O316" t="s">
        <v>106</v>
      </c>
      <c r="P316" t="s">
        <v>106</v>
      </c>
      <c r="Q316" t="s">
        <v>107</v>
      </c>
      <c r="R316" t="s">
        <v>4979</v>
      </c>
      <c r="S316" t="s">
        <v>4980</v>
      </c>
      <c r="T316" t="s">
        <v>4467</v>
      </c>
      <c r="U316" t="s">
        <v>4468</v>
      </c>
      <c r="V316" t="s">
        <v>4469</v>
      </c>
      <c r="W316" t="s">
        <v>4470</v>
      </c>
      <c r="X316" t="s">
        <v>4471</v>
      </c>
      <c r="Y316" t="s">
        <v>4468</v>
      </c>
      <c r="Z316" t="s">
        <v>1015</v>
      </c>
      <c r="AA316" t="s">
        <v>4472</v>
      </c>
      <c r="AB316" t="s">
        <v>4469</v>
      </c>
      <c r="AC316" t="s">
        <v>61</v>
      </c>
      <c r="AD316" t="s">
        <v>19</v>
      </c>
      <c r="AE316" t="s">
        <v>19</v>
      </c>
      <c r="AF316" t="s">
        <v>1823</v>
      </c>
      <c r="AG316" t="s">
        <v>5227</v>
      </c>
      <c r="AH316" t="s">
        <v>22</v>
      </c>
      <c r="AI316" t="s">
        <v>22</v>
      </c>
      <c r="AJ316" t="s">
        <v>22</v>
      </c>
      <c r="AK316" t="s">
        <v>22</v>
      </c>
    </row>
    <row r="317" spans="1:37" ht="11.25" customHeight="1">
      <c r="A317" t="s">
        <v>22</v>
      </c>
      <c r="B317" t="s">
        <v>48</v>
      </c>
      <c r="C317" t="s">
        <v>50</v>
      </c>
      <c r="D317" t="s">
        <v>22</v>
      </c>
      <c r="E317" t="s">
        <v>5351</v>
      </c>
      <c r="F317" t="s">
        <v>1104</v>
      </c>
      <c r="G317" t="s">
        <v>106</v>
      </c>
      <c r="H317" t="s">
        <v>106</v>
      </c>
      <c r="I317" t="s">
        <v>107</v>
      </c>
      <c r="J317" t="s">
        <v>4909</v>
      </c>
      <c r="K317" t="s">
        <v>4910</v>
      </c>
      <c r="L317" t="s">
        <v>4911</v>
      </c>
      <c r="M317" t="s">
        <v>1015</v>
      </c>
      <c r="N317" t="s">
        <v>114</v>
      </c>
      <c r="O317" t="s">
        <v>106</v>
      </c>
      <c r="P317" t="s">
        <v>106</v>
      </c>
      <c r="Q317" t="s">
        <v>107</v>
      </c>
      <c r="R317" t="s">
        <v>4909</v>
      </c>
      <c r="S317" t="s">
        <v>4910</v>
      </c>
      <c r="T317" t="s">
        <v>4467</v>
      </c>
      <c r="U317" t="s">
        <v>4468</v>
      </c>
      <c r="V317" t="s">
        <v>4469</v>
      </c>
      <c r="W317" t="s">
        <v>4487</v>
      </c>
      <c r="X317" t="s">
        <v>4471</v>
      </c>
      <c r="Y317" t="s">
        <v>4468</v>
      </c>
      <c r="Z317" t="s">
        <v>1015</v>
      </c>
      <c r="AA317" t="s">
        <v>4472</v>
      </c>
      <c r="AB317" t="s">
        <v>4469</v>
      </c>
      <c r="AC317" t="s">
        <v>61</v>
      </c>
      <c r="AD317" t="s">
        <v>19</v>
      </c>
      <c r="AE317" t="s">
        <v>19</v>
      </c>
      <c r="AF317" t="s">
        <v>1766</v>
      </c>
      <c r="AG317" t="s">
        <v>387</v>
      </c>
      <c r="AH317" t="s">
        <v>22</v>
      </c>
      <c r="AI317" t="s">
        <v>22</v>
      </c>
      <c r="AJ317" t="s">
        <v>22</v>
      </c>
      <c r="AK317" t="s">
        <v>22</v>
      </c>
    </row>
    <row r="318" spans="1:37" ht="11.25" customHeight="1">
      <c r="A318" t="s">
        <v>22</v>
      </c>
      <c r="B318" t="s">
        <v>48</v>
      </c>
      <c r="C318" t="s">
        <v>50</v>
      </c>
      <c r="D318" t="s">
        <v>22</v>
      </c>
      <c r="E318" t="s">
        <v>5352</v>
      </c>
      <c r="F318" t="s">
        <v>1104</v>
      </c>
      <c r="G318" t="s">
        <v>106</v>
      </c>
      <c r="H318" t="s">
        <v>106</v>
      </c>
      <c r="I318" t="s">
        <v>107</v>
      </c>
      <c r="J318" t="s">
        <v>4909</v>
      </c>
      <c r="K318" t="s">
        <v>4910</v>
      </c>
      <c r="L318" t="s">
        <v>4911</v>
      </c>
      <c r="M318" t="s">
        <v>1015</v>
      </c>
      <c r="N318" t="s">
        <v>114</v>
      </c>
      <c r="O318" t="s">
        <v>106</v>
      </c>
      <c r="P318" t="s">
        <v>106</v>
      </c>
      <c r="Q318" t="s">
        <v>107</v>
      </c>
      <c r="R318" t="s">
        <v>4909</v>
      </c>
      <c r="S318" t="s">
        <v>4910</v>
      </c>
      <c r="T318" t="s">
        <v>4467</v>
      </c>
      <c r="U318" t="s">
        <v>4468</v>
      </c>
      <c r="V318" t="s">
        <v>4469</v>
      </c>
      <c r="W318" t="s">
        <v>4487</v>
      </c>
      <c r="X318" t="s">
        <v>4471</v>
      </c>
      <c r="Y318" t="s">
        <v>4468</v>
      </c>
      <c r="Z318" t="s">
        <v>1015</v>
      </c>
      <c r="AA318" t="s">
        <v>4472</v>
      </c>
      <c r="AB318" t="s">
        <v>4469</v>
      </c>
      <c r="AC318" t="s">
        <v>61</v>
      </c>
      <c r="AD318" t="s">
        <v>19</v>
      </c>
      <c r="AE318" t="s">
        <v>19</v>
      </c>
      <c r="AF318" t="s">
        <v>1766</v>
      </c>
      <c r="AG318" t="s">
        <v>387</v>
      </c>
      <c r="AH318" t="s">
        <v>22</v>
      </c>
      <c r="AI318" t="s">
        <v>22</v>
      </c>
      <c r="AJ318" t="s">
        <v>22</v>
      </c>
      <c r="AK318" t="s">
        <v>22</v>
      </c>
    </row>
    <row r="319" spans="1:37" ht="11.25" customHeight="1">
      <c r="A319" t="s">
        <v>22</v>
      </c>
      <c r="B319" t="s">
        <v>48</v>
      </c>
      <c r="C319" t="s">
        <v>50</v>
      </c>
      <c r="D319" t="s">
        <v>22</v>
      </c>
      <c r="E319" t="s">
        <v>5353</v>
      </c>
      <c r="F319" t="s">
        <v>1104</v>
      </c>
      <c r="G319" t="s">
        <v>106</v>
      </c>
      <c r="H319" t="s">
        <v>106</v>
      </c>
      <c r="I319" t="s">
        <v>107</v>
      </c>
      <c r="J319" t="s">
        <v>5101</v>
      </c>
      <c r="K319" t="s">
        <v>5102</v>
      </c>
      <c r="L319" t="s">
        <v>5354</v>
      </c>
      <c r="M319" t="s">
        <v>786</v>
      </c>
      <c r="N319" t="s">
        <v>114</v>
      </c>
      <c r="O319" t="s">
        <v>106</v>
      </c>
      <c r="P319" t="s">
        <v>106</v>
      </c>
      <c r="Q319" t="s">
        <v>107</v>
      </c>
      <c r="R319" t="s">
        <v>5101</v>
      </c>
      <c r="S319" t="s">
        <v>5102</v>
      </c>
      <c r="T319" t="s">
        <v>4467</v>
      </c>
      <c r="U319" t="s">
        <v>4468</v>
      </c>
      <c r="V319" t="s">
        <v>4469</v>
      </c>
      <c r="W319" t="s">
        <v>4470</v>
      </c>
      <c r="X319" t="s">
        <v>4471</v>
      </c>
      <c r="Y319" t="s">
        <v>4468</v>
      </c>
      <c r="Z319" t="s">
        <v>1015</v>
      </c>
      <c r="AA319" t="s">
        <v>4472</v>
      </c>
      <c r="AB319" t="s">
        <v>4469</v>
      </c>
      <c r="AC319" t="s">
        <v>61</v>
      </c>
      <c r="AD319" t="s">
        <v>19</v>
      </c>
      <c r="AE319" t="s">
        <v>19</v>
      </c>
      <c r="AF319" t="s">
        <v>90</v>
      </c>
      <c r="AG319" t="s">
        <v>1200</v>
      </c>
      <c r="AH319" t="s">
        <v>22</v>
      </c>
      <c r="AI319" t="s">
        <v>22</v>
      </c>
      <c r="AJ319" t="s">
        <v>22</v>
      </c>
      <c r="AK319" t="s">
        <v>22</v>
      </c>
    </row>
    <row r="320" spans="1:37" ht="11.25" customHeight="1">
      <c r="A320" t="s">
        <v>22</v>
      </c>
      <c r="B320" t="s">
        <v>48</v>
      </c>
      <c r="C320" t="s">
        <v>50</v>
      </c>
      <c r="D320" t="s">
        <v>22</v>
      </c>
      <c r="E320" t="s">
        <v>5355</v>
      </c>
      <c r="F320" t="s">
        <v>1104</v>
      </c>
      <c r="G320" t="s">
        <v>106</v>
      </c>
      <c r="H320" t="s">
        <v>106</v>
      </c>
      <c r="I320" t="s">
        <v>107</v>
      </c>
      <c r="J320" t="s">
        <v>4904</v>
      </c>
      <c r="K320" t="s">
        <v>4905</v>
      </c>
      <c r="L320" t="s">
        <v>4906</v>
      </c>
      <c r="M320" t="s">
        <v>786</v>
      </c>
      <c r="N320" t="s">
        <v>114</v>
      </c>
      <c r="O320" t="s">
        <v>106</v>
      </c>
      <c r="P320" t="s">
        <v>106</v>
      </c>
      <c r="Q320" t="s">
        <v>107</v>
      </c>
      <c r="R320" t="s">
        <v>4904</v>
      </c>
      <c r="S320" t="s">
        <v>4905</v>
      </c>
      <c r="T320" t="s">
        <v>4467</v>
      </c>
      <c r="U320" t="s">
        <v>4468</v>
      </c>
      <c r="V320" t="s">
        <v>4469</v>
      </c>
      <c r="W320" t="s">
        <v>4470</v>
      </c>
      <c r="X320" t="s">
        <v>4471</v>
      </c>
      <c r="Y320" t="s">
        <v>4468</v>
      </c>
      <c r="Z320" t="s">
        <v>1015</v>
      </c>
      <c r="AA320" t="s">
        <v>4472</v>
      </c>
      <c r="AB320" t="s">
        <v>4469</v>
      </c>
      <c r="AC320" t="s">
        <v>61</v>
      </c>
      <c r="AD320" t="s">
        <v>19</v>
      </c>
      <c r="AE320" t="s">
        <v>19</v>
      </c>
      <c r="AF320" t="s">
        <v>162</v>
      </c>
      <c r="AG320" t="s">
        <v>4907</v>
      </c>
      <c r="AH320" t="s">
        <v>22</v>
      </c>
      <c r="AI320" t="s">
        <v>22</v>
      </c>
      <c r="AJ320" t="s">
        <v>22</v>
      </c>
      <c r="AK320" t="s">
        <v>22</v>
      </c>
    </row>
    <row r="321" spans="1:37" ht="11.25" customHeight="1">
      <c r="A321" t="s">
        <v>22</v>
      </c>
      <c r="B321" t="s">
        <v>48</v>
      </c>
      <c r="C321" t="s">
        <v>50</v>
      </c>
      <c r="D321" t="s">
        <v>22</v>
      </c>
      <c r="E321" t="s">
        <v>5356</v>
      </c>
      <c r="F321" t="s">
        <v>1104</v>
      </c>
      <c r="G321" t="s">
        <v>106</v>
      </c>
      <c r="H321" t="s">
        <v>106</v>
      </c>
      <c r="I321" t="s">
        <v>107</v>
      </c>
      <c r="J321" t="s">
        <v>4890</v>
      </c>
      <c r="K321" t="s">
        <v>4891</v>
      </c>
      <c r="L321" t="s">
        <v>5009</v>
      </c>
      <c r="M321" t="s">
        <v>786</v>
      </c>
      <c r="N321" t="s">
        <v>114</v>
      </c>
      <c r="O321" t="s">
        <v>106</v>
      </c>
      <c r="P321" t="s">
        <v>106</v>
      </c>
      <c r="Q321" t="s">
        <v>107</v>
      </c>
      <c r="R321" t="s">
        <v>4890</v>
      </c>
      <c r="S321" t="s">
        <v>4891</v>
      </c>
      <c r="T321" t="s">
        <v>4467</v>
      </c>
      <c r="U321" t="s">
        <v>4468</v>
      </c>
      <c r="V321" t="s">
        <v>4469</v>
      </c>
      <c r="W321" t="s">
        <v>4470</v>
      </c>
      <c r="X321" t="s">
        <v>4471</v>
      </c>
      <c r="Y321" t="s">
        <v>4468</v>
      </c>
      <c r="Z321" t="s">
        <v>1015</v>
      </c>
      <c r="AA321" t="s">
        <v>4472</v>
      </c>
      <c r="AB321" t="s">
        <v>4469</v>
      </c>
      <c r="AC321" t="s">
        <v>61</v>
      </c>
      <c r="AD321" t="s">
        <v>19</v>
      </c>
      <c r="AE321" t="s">
        <v>19</v>
      </c>
      <c r="AF321" t="s">
        <v>162</v>
      </c>
      <c r="AG321" t="s">
        <v>4481</v>
      </c>
      <c r="AH321" t="s">
        <v>22</v>
      </c>
      <c r="AI321" t="s">
        <v>22</v>
      </c>
      <c r="AJ321" t="s">
        <v>22</v>
      </c>
      <c r="AK321" t="s">
        <v>22</v>
      </c>
    </row>
    <row r="322" spans="1:37" ht="11.25" customHeight="1">
      <c r="A322" t="s">
        <v>22</v>
      </c>
      <c r="B322" t="s">
        <v>48</v>
      </c>
      <c r="C322" t="s">
        <v>50</v>
      </c>
      <c r="D322" t="s">
        <v>22</v>
      </c>
      <c r="E322" t="s">
        <v>5357</v>
      </c>
      <c r="F322" t="s">
        <v>1104</v>
      </c>
      <c r="G322" t="s">
        <v>106</v>
      </c>
      <c r="H322" t="s">
        <v>106</v>
      </c>
      <c r="I322" t="s">
        <v>107</v>
      </c>
      <c r="J322" t="s">
        <v>4514</v>
      </c>
      <c r="K322" t="s">
        <v>4515</v>
      </c>
      <c r="L322" t="s">
        <v>5000</v>
      </c>
      <c r="M322" t="s">
        <v>786</v>
      </c>
      <c r="N322" t="s">
        <v>114</v>
      </c>
      <c r="O322" t="s">
        <v>106</v>
      </c>
      <c r="P322" t="s">
        <v>106</v>
      </c>
      <c r="Q322" t="s">
        <v>107</v>
      </c>
      <c r="R322" t="s">
        <v>4514</v>
      </c>
      <c r="S322" t="s">
        <v>4515</v>
      </c>
      <c r="T322" t="s">
        <v>4467</v>
      </c>
      <c r="U322" t="s">
        <v>4468</v>
      </c>
      <c r="V322" t="s">
        <v>4469</v>
      </c>
      <c r="W322" t="s">
        <v>4470</v>
      </c>
      <c r="X322" t="s">
        <v>4471</v>
      </c>
      <c r="Y322" t="s">
        <v>4468</v>
      </c>
      <c r="Z322" t="s">
        <v>1015</v>
      </c>
      <c r="AA322" t="s">
        <v>4472</v>
      </c>
      <c r="AB322" t="s">
        <v>4469</v>
      </c>
      <c r="AC322" t="s">
        <v>61</v>
      </c>
      <c r="AD322" t="s">
        <v>19</v>
      </c>
      <c r="AE322" t="s">
        <v>19</v>
      </c>
      <c r="AF322" t="s">
        <v>162</v>
      </c>
      <c r="AG322" t="s">
        <v>162</v>
      </c>
      <c r="AH322" t="s">
        <v>22</v>
      </c>
      <c r="AI322" t="s">
        <v>22</v>
      </c>
      <c r="AJ322" t="s">
        <v>22</v>
      </c>
      <c r="AK322" t="s">
        <v>22</v>
      </c>
    </row>
    <row r="323" spans="1:37" ht="11.25" customHeight="1">
      <c r="A323" t="s">
        <v>22</v>
      </c>
      <c r="B323" t="s">
        <v>48</v>
      </c>
      <c r="C323" t="s">
        <v>50</v>
      </c>
      <c r="D323" t="s">
        <v>22</v>
      </c>
      <c r="E323" t="s">
        <v>5358</v>
      </c>
      <c r="F323" t="s">
        <v>1104</v>
      </c>
      <c r="G323" t="s">
        <v>106</v>
      </c>
      <c r="H323" t="s">
        <v>106</v>
      </c>
      <c r="I323" t="s">
        <v>107</v>
      </c>
      <c r="J323" t="s">
        <v>4886</v>
      </c>
      <c r="K323" t="s">
        <v>4887</v>
      </c>
      <c r="L323" t="s">
        <v>4888</v>
      </c>
      <c r="M323" t="s">
        <v>786</v>
      </c>
      <c r="N323" t="s">
        <v>114</v>
      </c>
      <c r="O323" t="s">
        <v>106</v>
      </c>
      <c r="P323" t="s">
        <v>106</v>
      </c>
      <c r="Q323" t="s">
        <v>107</v>
      </c>
      <c r="R323" t="s">
        <v>4886</v>
      </c>
      <c r="S323" t="s">
        <v>4887</v>
      </c>
      <c r="T323" t="s">
        <v>4467</v>
      </c>
      <c r="U323" t="s">
        <v>4468</v>
      </c>
      <c r="V323" t="s">
        <v>4469</v>
      </c>
      <c r="W323" t="s">
        <v>4470</v>
      </c>
      <c r="X323" t="s">
        <v>4471</v>
      </c>
      <c r="Y323" t="s">
        <v>4468</v>
      </c>
      <c r="Z323" t="s">
        <v>1015</v>
      </c>
      <c r="AA323" t="s">
        <v>4472</v>
      </c>
      <c r="AB323" t="s">
        <v>4469</v>
      </c>
      <c r="AC323" t="s">
        <v>61</v>
      </c>
      <c r="AD323" t="s">
        <v>19</v>
      </c>
      <c r="AE323" t="s">
        <v>19</v>
      </c>
      <c r="AF323" t="s">
        <v>162</v>
      </c>
      <c r="AG323" t="s">
        <v>102</v>
      </c>
      <c r="AH323" t="s">
        <v>22</v>
      </c>
      <c r="AI323" t="s">
        <v>22</v>
      </c>
      <c r="AJ323" t="s">
        <v>22</v>
      </c>
      <c r="AK323" t="s">
        <v>22</v>
      </c>
    </row>
    <row r="324" spans="1:37" ht="11.25" customHeight="1">
      <c r="A324" t="s">
        <v>22</v>
      </c>
      <c r="B324" t="s">
        <v>48</v>
      </c>
      <c r="C324" t="s">
        <v>50</v>
      </c>
      <c r="D324" t="s">
        <v>22</v>
      </c>
      <c r="E324" t="s">
        <v>5359</v>
      </c>
      <c r="F324" t="s">
        <v>1104</v>
      </c>
      <c r="G324" t="s">
        <v>106</v>
      </c>
      <c r="H324" t="s">
        <v>106</v>
      </c>
      <c r="I324" t="s">
        <v>107</v>
      </c>
      <c r="J324" t="s">
        <v>5013</v>
      </c>
      <c r="K324" t="s">
        <v>5014</v>
      </c>
      <c r="L324" t="s">
        <v>5015</v>
      </c>
      <c r="M324" t="s">
        <v>786</v>
      </c>
      <c r="N324" t="s">
        <v>114</v>
      </c>
      <c r="O324" t="s">
        <v>106</v>
      </c>
      <c r="P324" t="s">
        <v>106</v>
      </c>
      <c r="Q324" t="s">
        <v>107</v>
      </c>
      <c r="R324" t="s">
        <v>5013</v>
      </c>
      <c r="S324" t="s">
        <v>5014</v>
      </c>
      <c r="T324" t="s">
        <v>4467</v>
      </c>
      <c r="U324" t="s">
        <v>4468</v>
      </c>
      <c r="V324" t="s">
        <v>4469</v>
      </c>
      <c r="W324" t="s">
        <v>4470</v>
      </c>
      <c r="X324" t="s">
        <v>4471</v>
      </c>
      <c r="Y324" t="s">
        <v>4468</v>
      </c>
      <c r="Z324" t="s">
        <v>1015</v>
      </c>
      <c r="AA324" t="s">
        <v>4472</v>
      </c>
      <c r="AB324" t="s">
        <v>4469</v>
      </c>
      <c r="AC324" t="s">
        <v>61</v>
      </c>
      <c r="AD324" t="s">
        <v>19</v>
      </c>
      <c r="AE324" t="s">
        <v>19</v>
      </c>
      <c r="AF324" t="s">
        <v>162</v>
      </c>
      <c r="AG324" t="s">
        <v>162</v>
      </c>
      <c r="AH324" t="s">
        <v>22</v>
      </c>
      <c r="AI324" t="s">
        <v>22</v>
      </c>
      <c r="AJ324" t="s">
        <v>22</v>
      </c>
      <c r="AK324" t="s">
        <v>22</v>
      </c>
    </row>
    <row r="325" spans="1:37" ht="11.25" customHeight="1">
      <c r="A325" t="s">
        <v>22</v>
      </c>
      <c r="B325" t="s">
        <v>48</v>
      </c>
      <c r="C325" t="s">
        <v>50</v>
      </c>
      <c r="D325" t="s">
        <v>22</v>
      </c>
      <c r="E325" t="s">
        <v>5360</v>
      </c>
      <c r="F325" t="s">
        <v>1104</v>
      </c>
      <c r="G325" t="s">
        <v>106</v>
      </c>
      <c r="H325" t="s">
        <v>106</v>
      </c>
      <c r="I325" t="s">
        <v>107</v>
      </c>
      <c r="J325" t="s">
        <v>4497</v>
      </c>
      <c r="K325" t="s">
        <v>4498</v>
      </c>
      <c r="L325" t="s">
        <v>4499</v>
      </c>
      <c r="M325" t="s">
        <v>786</v>
      </c>
      <c r="N325" t="s">
        <v>114</v>
      </c>
      <c r="O325" t="s">
        <v>106</v>
      </c>
      <c r="P325" t="s">
        <v>106</v>
      </c>
      <c r="Q325" t="s">
        <v>107</v>
      </c>
      <c r="R325" t="s">
        <v>4497</v>
      </c>
      <c r="S325" t="s">
        <v>4498</v>
      </c>
      <c r="T325" t="s">
        <v>4467</v>
      </c>
      <c r="U325" t="s">
        <v>4468</v>
      </c>
      <c r="V325" t="s">
        <v>4469</v>
      </c>
      <c r="W325" t="s">
        <v>4470</v>
      </c>
      <c r="X325" t="s">
        <v>4471</v>
      </c>
      <c r="Y325" t="s">
        <v>4468</v>
      </c>
      <c r="Z325" t="s">
        <v>1015</v>
      </c>
      <c r="AA325" t="s">
        <v>4472</v>
      </c>
      <c r="AB325" t="s">
        <v>4469</v>
      </c>
      <c r="AC325" t="s">
        <v>61</v>
      </c>
      <c r="AD325" t="s">
        <v>19</v>
      </c>
      <c r="AE325" t="s">
        <v>19</v>
      </c>
      <c r="AF325" t="s">
        <v>162</v>
      </c>
      <c r="AG325" t="s">
        <v>1206</v>
      </c>
      <c r="AH325" t="s">
        <v>22</v>
      </c>
      <c r="AI325" t="s">
        <v>22</v>
      </c>
      <c r="AJ325" t="s">
        <v>22</v>
      </c>
      <c r="AK325" t="s">
        <v>22</v>
      </c>
    </row>
    <row r="326" spans="1:37" ht="11.25" customHeight="1">
      <c r="A326" t="s">
        <v>22</v>
      </c>
      <c r="B326" t="s">
        <v>48</v>
      </c>
      <c r="C326" t="s">
        <v>50</v>
      </c>
      <c r="D326" t="s">
        <v>22</v>
      </c>
      <c r="E326" t="s">
        <v>5361</v>
      </c>
      <c r="F326" t="s">
        <v>1104</v>
      </c>
      <c r="G326" t="s">
        <v>106</v>
      </c>
      <c r="H326" t="s">
        <v>106</v>
      </c>
      <c r="I326" t="s">
        <v>107</v>
      </c>
      <c r="J326" t="s">
        <v>4917</v>
      </c>
      <c r="K326" t="s">
        <v>4918</v>
      </c>
      <c r="L326" t="s">
        <v>4919</v>
      </c>
      <c r="M326" t="s">
        <v>786</v>
      </c>
      <c r="N326" t="s">
        <v>114</v>
      </c>
      <c r="O326" t="s">
        <v>106</v>
      </c>
      <c r="P326" t="s">
        <v>106</v>
      </c>
      <c r="Q326" t="s">
        <v>107</v>
      </c>
      <c r="R326" t="s">
        <v>4917</v>
      </c>
      <c r="S326" t="s">
        <v>4918</v>
      </c>
      <c r="T326" t="s">
        <v>4467</v>
      </c>
      <c r="U326" t="s">
        <v>4468</v>
      </c>
      <c r="V326" t="s">
        <v>4469</v>
      </c>
      <c r="W326" t="s">
        <v>4470</v>
      </c>
      <c r="X326" t="s">
        <v>4471</v>
      </c>
      <c r="Y326" t="s">
        <v>4468</v>
      </c>
      <c r="Z326" t="s">
        <v>1015</v>
      </c>
      <c r="AA326" t="s">
        <v>4472</v>
      </c>
      <c r="AB326" t="s">
        <v>4469</v>
      </c>
      <c r="AC326" t="s">
        <v>61</v>
      </c>
      <c r="AD326" t="s">
        <v>19</v>
      </c>
      <c r="AE326" t="s">
        <v>19</v>
      </c>
      <c r="AF326" t="s">
        <v>162</v>
      </c>
      <c r="AG326" t="s">
        <v>4920</v>
      </c>
      <c r="AH326" t="s">
        <v>22</v>
      </c>
      <c r="AI326" t="s">
        <v>22</v>
      </c>
      <c r="AJ326" t="s">
        <v>22</v>
      </c>
      <c r="AK326" t="s">
        <v>22</v>
      </c>
    </row>
    <row r="327" spans="1:37" ht="11.25" customHeight="1">
      <c r="A327" t="s">
        <v>22</v>
      </c>
      <c r="B327" t="s">
        <v>48</v>
      </c>
      <c r="C327" t="s">
        <v>50</v>
      </c>
      <c r="D327" t="s">
        <v>22</v>
      </c>
      <c r="E327" t="s">
        <v>5362</v>
      </c>
      <c r="F327" t="s">
        <v>1104</v>
      </c>
      <c r="G327" t="s">
        <v>106</v>
      </c>
      <c r="H327" t="s">
        <v>106</v>
      </c>
      <c r="I327" t="s">
        <v>107</v>
      </c>
      <c r="J327" t="s">
        <v>4890</v>
      </c>
      <c r="K327" t="s">
        <v>4891</v>
      </c>
      <c r="L327" t="s">
        <v>5009</v>
      </c>
      <c r="M327" t="s">
        <v>786</v>
      </c>
      <c r="N327" t="s">
        <v>114</v>
      </c>
      <c r="O327" t="s">
        <v>106</v>
      </c>
      <c r="P327" t="s">
        <v>106</v>
      </c>
      <c r="Q327" t="s">
        <v>107</v>
      </c>
      <c r="R327" t="s">
        <v>4890</v>
      </c>
      <c r="S327" t="s">
        <v>4891</v>
      </c>
      <c r="T327" t="s">
        <v>4467</v>
      </c>
      <c r="U327" t="s">
        <v>4468</v>
      </c>
      <c r="V327" t="s">
        <v>4469</v>
      </c>
      <c r="W327" t="s">
        <v>4470</v>
      </c>
      <c r="X327" t="s">
        <v>4471</v>
      </c>
      <c r="Y327" t="s">
        <v>4468</v>
      </c>
      <c r="Z327" t="s">
        <v>1015</v>
      </c>
      <c r="AA327" t="s">
        <v>4472</v>
      </c>
      <c r="AB327" t="s">
        <v>4469</v>
      </c>
      <c r="AC327" t="s">
        <v>61</v>
      </c>
      <c r="AD327" t="s">
        <v>19</v>
      </c>
      <c r="AE327" t="s">
        <v>19</v>
      </c>
      <c r="AF327" t="s">
        <v>162</v>
      </c>
      <c r="AG327" t="s">
        <v>162</v>
      </c>
      <c r="AH327" t="s">
        <v>22</v>
      </c>
      <c r="AI327" t="s">
        <v>22</v>
      </c>
      <c r="AJ327" t="s">
        <v>22</v>
      </c>
      <c r="AK327" t="s">
        <v>22</v>
      </c>
    </row>
    <row r="328" spans="1:37" ht="11.25" customHeight="1">
      <c r="A328" t="s">
        <v>22</v>
      </c>
      <c r="B328" t="s">
        <v>48</v>
      </c>
      <c r="C328" t="s">
        <v>50</v>
      </c>
      <c r="D328" t="s">
        <v>22</v>
      </c>
      <c r="E328" t="s">
        <v>5363</v>
      </c>
      <c r="F328" t="s">
        <v>1104</v>
      </c>
      <c r="G328" t="s">
        <v>106</v>
      </c>
      <c r="H328" t="s">
        <v>106</v>
      </c>
      <c r="I328" t="s">
        <v>107</v>
      </c>
      <c r="J328" t="s">
        <v>4923</v>
      </c>
      <c r="K328" t="s">
        <v>4924</v>
      </c>
      <c r="L328" t="s">
        <v>4925</v>
      </c>
      <c r="M328" t="s">
        <v>786</v>
      </c>
      <c r="N328" t="s">
        <v>114</v>
      </c>
      <c r="O328" t="s">
        <v>106</v>
      </c>
      <c r="P328" t="s">
        <v>106</v>
      </c>
      <c r="Q328" t="s">
        <v>107</v>
      </c>
      <c r="R328" t="s">
        <v>4923</v>
      </c>
      <c r="S328" t="s">
        <v>4924</v>
      </c>
      <c r="T328" t="s">
        <v>4467</v>
      </c>
      <c r="U328" t="s">
        <v>4468</v>
      </c>
      <c r="V328" t="s">
        <v>4469</v>
      </c>
      <c r="W328" t="s">
        <v>4470</v>
      </c>
      <c r="X328" t="s">
        <v>4471</v>
      </c>
      <c r="Y328" t="s">
        <v>4468</v>
      </c>
      <c r="Z328" t="s">
        <v>1015</v>
      </c>
      <c r="AA328" t="s">
        <v>4472</v>
      </c>
      <c r="AB328" t="s">
        <v>4469</v>
      </c>
      <c r="AC328" t="s">
        <v>61</v>
      </c>
      <c r="AD328" t="s">
        <v>19</v>
      </c>
      <c r="AE328" t="s">
        <v>19</v>
      </c>
      <c r="AF328" t="s">
        <v>162</v>
      </c>
      <c r="AG328" t="s">
        <v>162</v>
      </c>
      <c r="AH328" t="s">
        <v>22</v>
      </c>
      <c r="AI328" t="s">
        <v>22</v>
      </c>
      <c r="AJ328" t="s">
        <v>22</v>
      </c>
      <c r="AK328" t="s">
        <v>22</v>
      </c>
    </row>
    <row r="329" spans="1:37" ht="11.25" customHeight="1">
      <c r="A329" t="s">
        <v>22</v>
      </c>
      <c r="B329" t="s">
        <v>48</v>
      </c>
      <c r="C329" t="s">
        <v>50</v>
      </c>
      <c r="D329" t="s">
        <v>22</v>
      </c>
      <c r="E329" t="s">
        <v>5364</v>
      </c>
      <c r="F329" t="s">
        <v>1104</v>
      </c>
      <c r="G329" t="s">
        <v>106</v>
      </c>
      <c r="H329" t="s">
        <v>106</v>
      </c>
      <c r="I329" t="s">
        <v>107</v>
      </c>
      <c r="J329" t="s">
        <v>4474</v>
      </c>
      <c r="K329" t="s">
        <v>4475</v>
      </c>
      <c r="L329" t="s">
        <v>4476</v>
      </c>
      <c r="M329" t="s">
        <v>786</v>
      </c>
      <c r="N329" t="s">
        <v>114</v>
      </c>
      <c r="O329" t="s">
        <v>106</v>
      </c>
      <c r="P329" t="s">
        <v>106</v>
      </c>
      <c r="Q329" t="s">
        <v>107</v>
      </c>
      <c r="R329" t="s">
        <v>4474</v>
      </c>
      <c r="S329" t="s">
        <v>4475</v>
      </c>
      <c r="T329" t="s">
        <v>4467</v>
      </c>
      <c r="U329" t="s">
        <v>4468</v>
      </c>
      <c r="V329" t="s">
        <v>4469</v>
      </c>
      <c r="W329" t="s">
        <v>4470</v>
      </c>
      <c r="X329" t="s">
        <v>4471</v>
      </c>
      <c r="Y329" t="s">
        <v>4468</v>
      </c>
      <c r="Z329" t="s">
        <v>1015</v>
      </c>
      <c r="AA329" t="s">
        <v>4472</v>
      </c>
      <c r="AB329" t="s">
        <v>4469</v>
      </c>
      <c r="AC329" t="s">
        <v>61</v>
      </c>
      <c r="AD329" t="s">
        <v>19</v>
      </c>
      <c r="AE329" t="s">
        <v>19</v>
      </c>
      <c r="AF329" t="s">
        <v>162</v>
      </c>
      <c r="AG329" t="s">
        <v>1200</v>
      </c>
      <c r="AH329" t="s">
        <v>22</v>
      </c>
      <c r="AI329" t="s">
        <v>22</v>
      </c>
      <c r="AJ329" t="s">
        <v>22</v>
      </c>
      <c r="AK329" t="s">
        <v>22</v>
      </c>
    </row>
    <row r="330" spans="1:37" ht="11.25" customHeight="1">
      <c r="A330" t="s">
        <v>22</v>
      </c>
      <c r="B330" t="s">
        <v>48</v>
      </c>
      <c r="C330" t="s">
        <v>50</v>
      </c>
      <c r="D330" t="s">
        <v>22</v>
      </c>
      <c r="E330" t="s">
        <v>5365</v>
      </c>
      <c r="F330" t="s">
        <v>1104</v>
      </c>
      <c r="G330" t="s">
        <v>5366</v>
      </c>
      <c r="H330" t="s">
        <v>5367</v>
      </c>
      <c r="I330" t="s">
        <v>5368</v>
      </c>
      <c r="J330" t="s">
        <v>5174</v>
      </c>
      <c r="K330" t="s">
        <v>5369</v>
      </c>
      <c r="L330" t="s">
        <v>5370</v>
      </c>
      <c r="M330" t="s">
        <v>786</v>
      </c>
      <c r="N330" t="s">
        <v>114</v>
      </c>
      <c r="O330" t="s">
        <v>5366</v>
      </c>
      <c r="P330" t="s">
        <v>5367</v>
      </c>
      <c r="Q330" t="s">
        <v>5368</v>
      </c>
      <c r="R330" t="s">
        <v>5174</v>
      </c>
      <c r="S330" t="s">
        <v>5369</v>
      </c>
      <c r="T330" t="s">
        <v>4467</v>
      </c>
      <c r="U330" t="s">
        <v>4468</v>
      </c>
      <c r="V330" t="s">
        <v>4469</v>
      </c>
      <c r="W330" t="s">
        <v>4470</v>
      </c>
      <c r="X330" t="s">
        <v>4471</v>
      </c>
      <c r="Y330" t="s">
        <v>4468</v>
      </c>
      <c r="Z330" t="s">
        <v>1015</v>
      </c>
      <c r="AA330" t="s">
        <v>4472</v>
      </c>
      <c r="AB330" t="s">
        <v>4469</v>
      </c>
      <c r="AC330" t="s">
        <v>61</v>
      </c>
      <c r="AD330" t="s">
        <v>19</v>
      </c>
      <c r="AE330" t="s">
        <v>19</v>
      </c>
      <c r="AF330" t="s">
        <v>162</v>
      </c>
      <c r="AG330" t="s">
        <v>5246</v>
      </c>
      <c r="AH330" t="s">
        <v>22</v>
      </c>
      <c r="AI330" t="s">
        <v>22</v>
      </c>
      <c r="AJ330" t="s">
        <v>22</v>
      </c>
      <c r="AK330" t="s">
        <v>22</v>
      </c>
    </row>
    <row r="331" spans="1:37" ht="11.25" customHeight="1">
      <c r="A331" t="s">
        <v>22</v>
      </c>
      <c r="B331" t="s">
        <v>48</v>
      </c>
      <c r="C331" t="s">
        <v>50</v>
      </c>
      <c r="D331" t="s">
        <v>22</v>
      </c>
      <c r="E331" t="s">
        <v>5371</v>
      </c>
      <c r="F331" t="s">
        <v>1104</v>
      </c>
      <c r="G331" t="s">
        <v>106</v>
      </c>
      <c r="H331" t="s">
        <v>106</v>
      </c>
      <c r="I331" t="s">
        <v>107</v>
      </c>
      <c r="J331" t="s">
        <v>4923</v>
      </c>
      <c r="K331" t="s">
        <v>4924</v>
      </c>
      <c r="L331" t="s">
        <v>4925</v>
      </c>
      <c r="M331" t="s">
        <v>786</v>
      </c>
      <c r="N331" t="s">
        <v>114</v>
      </c>
      <c r="O331" t="s">
        <v>106</v>
      </c>
      <c r="P331" t="s">
        <v>106</v>
      </c>
      <c r="Q331" t="s">
        <v>107</v>
      </c>
      <c r="R331" t="s">
        <v>4923</v>
      </c>
      <c r="S331" t="s">
        <v>4924</v>
      </c>
      <c r="T331" t="s">
        <v>4467</v>
      </c>
      <c r="U331" t="s">
        <v>4468</v>
      </c>
      <c r="V331" t="s">
        <v>4469</v>
      </c>
      <c r="W331" t="s">
        <v>4470</v>
      </c>
      <c r="X331" t="s">
        <v>4471</v>
      </c>
      <c r="Y331" t="s">
        <v>4468</v>
      </c>
      <c r="Z331" t="s">
        <v>1015</v>
      </c>
      <c r="AA331" t="s">
        <v>4472</v>
      </c>
      <c r="AB331" t="s">
        <v>4469</v>
      </c>
      <c r="AC331" t="s">
        <v>61</v>
      </c>
      <c r="AD331" t="s">
        <v>19</v>
      </c>
      <c r="AE331" t="s">
        <v>19</v>
      </c>
      <c r="AF331" t="s">
        <v>162</v>
      </c>
      <c r="AG331" t="s">
        <v>162</v>
      </c>
      <c r="AH331" t="s">
        <v>22</v>
      </c>
      <c r="AI331" t="s">
        <v>22</v>
      </c>
      <c r="AJ331" t="s">
        <v>22</v>
      </c>
      <c r="AK331" t="s">
        <v>22</v>
      </c>
    </row>
    <row r="332" spans="1:37" ht="11.25" customHeight="1">
      <c r="A332" t="s">
        <v>22</v>
      </c>
      <c r="B332" t="s">
        <v>48</v>
      </c>
      <c r="C332" t="s">
        <v>50</v>
      </c>
      <c r="D332" t="s">
        <v>22</v>
      </c>
      <c r="E332" t="s">
        <v>5372</v>
      </c>
      <c r="F332" t="s">
        <v>1104</v>
      </c>
      <c r="G332" t="s">
        <v>106</v>
      </c>
      <c r="H332" t="s">
        <v>106</v>
      </c>
      <c r="I332" t="s">
        <v>107</v>
      </c>
      <c r="J332" t="s">
        <v>4474</v>
      </c>
      <c r="K332" t="s">
        <v>4475</v>
      </c>
      <c r="L332" t="s">
        <v>4476</v>
      </c>
      <c r="M332" t="s">
        <v>786</v>
      </c>
      <c r="N332" t="s">
        <v>114</v>
      </c>
      <c r="O332" t="s">
        <v>106</v>
      </c>
      <c r="P332" t="s">
        <v>106</v>
      </c>
      <c r="Q332" t="s">
        <v>107</v>
      </c>
      <c r="R332" t="s">
        <v>4474</v>
      </c>
      <c r="S332" t="s">
        <v>4475</v>
      </c>
      <c r="T332" t="s">
        <v>4467</v>
      </c>
      <c r="U332" t="s">
        <v>4468</v>
      </c>
      <c r="V332" t="s">
        <v>4469</v>
      </c>
      <c r="W332" t="s">
        <v>4470</v>
      </c>
      <c r="X332" t="s">
        <v>4471</v>
      </c>
      <c r="Y332" t="s">
        <v>4468</v>
      </c>
      <c r="Z332" t="s">
        <v>1015</v>
      </c>
      <c r="AA332" t="s">
        <v>4472</v>
      </c>
      <c r="AB332" t="s">
        <v>4469</v>
      </c>
      <c r="AC332" t="s">
        <v>61</v>
      </c>
      <c r="AD332" t="s">
        <v>19</v>
      </c>
      <c r="AE332" t="s">
        <v>19</v>
      </c>
      <c r="AF332" t="s">
        <v>4481</v>
      </c>
      <c r="AG332" t="s">
        <v>343</v>
      </c>
      <c r="AH332" t="s">
        <v>22</v>
      </c>
      <c r="AI332" t="s">
        <v>22</v>
      </c>
      <c r="AJ332" t="s">
        <v>22</v>
      </c>
      <c r="AK332" t="s">
        <v>22</v>
      </c>
    </row>
    <row r="333" spans="1:37" ht="11.25" customHeight="1">
      <c r="A333" t="s">
        <v>22</v>
      </c>
      <c r="B333" t="s">
        <v>48</v>
      </c>
      <c r="C333" t="s">
        <v>50</v>
      </c>
      <c r="D333" t="s">
        <v>22</v>
      </c>
      <c r="E333" t="s">
        <v>5373</v>
      </c>
      <c r="F333" t="s">
        <v>1104</v>
      </c>
      <c r="G333" t="s">
        <v>106</v>
      </c>
      <c r="H333" t="s">
        <v>106</v>
      </c>
      <c r="I333" t="s">
        <v>107</v>
      </c>
      <c r="J333" t="s">
        <v>4502</v>
      </c>
      <c r="K333" t="s">
        <v>4503</v>
      </c>
      <c r="L333" t="s">
        <v>4504</v>
      </c>
      <c r="M333" t="s">
        <v>786</v>
      </c>
      <c r="N333" t="s">
        <v>114</v>
      </c>
      <c r="O333" t="s">
        <v>106</v>
      </c>
      <c r="P333" t="s">
        <v>106</v>
      </c>
      <c r="Q333" t="s">
        <v>107</v>
      </c>
      <c r="R333" t="s">
        <v>4502</v>
      </c>
      <c r="S333" t="s">
        <v>4503</v>
      </c>
      <c r="T333" t="s">
        <v>4467</v>
      </c>
      <c r="U333" t="s">
        <v>4468</v>
      </c>
      <c r="V333" t="s">
        <v>4469</v>
      </c>
      <c r="W333" t="s">
        <v>4470</v>
      </c>
      <c r="X333" t="s">
        <v>4471</v>
      </c>
      <c r="Y333" t="s">
        <v>4468</v>
      </c>
      <c r="Z333" t="s">
        <v>1015</v>
      </c>
      <c r="AA333" t="s">
        <v>4472</v>
      </c>
      <c r="AB333" t="s">
        <v>4469</v>
      </c>
      <c r="AC333" t="s">
        <v>61</v>
      </c>
      <c r="AD333" t="s">
        <v>19</v>
      </c>
      <c r="AE333" t="s">
        <v>19</v>
      </c>
      <c r="AF333" t="s">
        <v>4481</v>
      </c>
      <c r="AG333" t="s">
        <v>4482</v>
      </c>
      <c r="AH333" t="s">
        <v>22</v>
      </c>
      <c r="AI333" t="s">
        <v>22</v>
      </c>
      <c r="AJ333" t="s">
        <v>22</v>
      </c>
      <c r="AK333" t="s">
        <v>22</v>
      </c>
    </row>
    <row r="334" spans="1:37" ht="11.25" customHeight="1">
      <c r="A334" t="s">
        <v>22</v>
      </c>
      <c r="B334" t="s">
        <v>48</v>
      </c>
      <c r="C334" t="s">
        <v>50</v>
      </c>
      <c r="D334" t="s">
        <v>22</v>
      </c>
      <c r="E334" t="s">
        <v>5373</v>
      </c>
      <c r="F334" t="s">
        <v>1104</v>
      </c>
      <c r="G334" t="s">
        <v>106</v>
      </c>
      <c r="H334" t="s">
        <v>106</v>
      </c>
      <c r="I334" t="s">
        <v>107</v>
      </c>
      <c r="J334" t="s">
        <v>4514</v>
      </c>
      <c r="K334" t="s">
        <v>4515</v>
      </c>
      <c r="L334" t="s">
        <v>4516</v>
      </c>
      <c r="M334" t="s">
        <v>786</v>
      </c>
      <c r="N334" t="s">
        <v>114</v>
      </c>
      <c r="O334" t="s">
        <v>106</v>
      </c>
      <c r="P334" t="s">
        <v>106</v>
      </c>
      <c r="Q334" t="s">
        <v>107</v>
      </c>
      <c r="R334" t="s">
        <v>4514</v>
      </c>
      <c r="S334" t="s">
        <v>4515</v>
      </c>
      <c r="T334" t="s">
        <v>4467</v>
      </c>
      <c r="U334" t="s">
        <v>4468</v>
      </c>
      <c r="V334" t="s">
        <v>4469</v>
      </c>
      <c r="W334" t="s">
        <v>4470</v>
      </c>
      <c r="X334" t="s">
        <v>4471</v>
      </c>
      <c r="Y334" t="s">
        <v>4468</v>
      </c>
      <c r="Z334" t="s">
        <v>1015</v>
      </c>
      <c r="AA334" t="s">
        <v>4472</v>
      </c>
      <c r="AB334" t="s">
        <v>4469</v>
      </c>
      <c r="AC334" t="s">
        <v>61</v>
      </c>
      <c r="AD334" t="s">
        <v>19</v>
      </c>
      <c r="AE334" t="s">
        <v>19</v>
      </c>
      <c r="AF334" t="s">
        <v>4481</v>
      </c>
      <c r="AG334" t="s">
        <v>4481</v>
      </c>
      <c r="AH334" t="s">
        <v>22</v>
      </c>
      <c r="AI334" t="s">
        <v>22</v>
      </c>
      <c r="AJ334" t="s">
        <v>22</v>
      </c>
      <c r="AK334" t="s">
        <v>22</v>
      </c>
    </row>
    <row r="335" spans="1:37" ht="11.25" customHeight="1">
      <c r="A335" t="s">
        <v>22</v>
      </c>
      <c r="B335" t="s">
        <v>48</v>
      </c>
      <c r="C335" t="s">
        <v>50</v>
      </c>
      <c r="D335" t="s">
        <v>22</v>
      </c>
      <c r="E335" t="s">
        <v>5373</v>
      </c>
      <c r="F335" t="s">
        <v>1104</v>
      </c>
      <c r="G335" t="s">
        <v>106</v>
      </c>
      <c r="H335" t="s">
        <v>106</v>
      </c>
      <c r="I335" t="s">
        <v>107</v>
      </c>
      <c r="J335" t="s">
        <v>4478</v>
      </c>
      <c r="K335" t="s">
        <v>4479</v>
      </c>
      <c r="L335" t="s">
        <v>4480</v>
      </c>
      <c r="M335" t="s">
        <v>786</v>
      </c>
      <c r="N335" t="s">
        <v>114</v>
      </c>
      <c r="O335" t="s">
        <v>106</v>
      </c>
      <c r="P335" t="s">
        <v>106</v>
      </c>
      <c r="Q335" t="s">
        <v>107</v>
      </c>
      <c r="R335" t="s">
        <v>4478</v>
      </c>
      <c r="S335" t="s">
        <v>4479</v>
      </c>
      <c r="T335" t="s">
        <v>4467</v>
      </c>
      <c r="U335" t="s">
        <v>4468</v>
      </c>
      <c r="V335" t="s">
        <v>4469</v>
      </c>
      <c r="W335" t="s">
        <v>4470</v>
      </c>
      <c r="X335" t="s">
        <v>4471</v>
      </c>
      <c r="Y335" t="s">
        <v>4468</v>
      </c>
      <c r="Z335" t="s">
        <v>1015</v>
      </c>
      <c r="AA335" t="s">
        <v>4472</v>
      </c>
      <c r="AB335" t="s">
        <v>4469</v>
      </c>
      <c r="AC335" t="s">
        <v>61</v>
      </c>
      <c r="AD335" t="s">
        <v>19</v>
      </c>
      <c r="AE335" t="s">
        <v>19</v>
      </c>
      <c r="AF335" t="s">
        <v>4481</v>
      </c>
      <c r="AG335" t="s">
        <v>4482</v>
      </c>
      <c r="AH335" t="s">
        <v>22</v>
      </c>
      <c r="AI335" t="s">
        <v>22</v>
      </c>
      <c r="AJ335" t="s">
        <v>22</v>
      </c>
      <c r="AK335" t="s">
        <v>22</v>
      </c>
    </row>
    <row r="336" spans="1:37" ht="11.25" customHeight="1">
      <c r="A336" t="s">
        <v>22</v>
      </c>
      <c r="B336" t="s">
        <v>48</v>
      </c>
      <c r="C336" t="s">
        <v>50</v>
      </c>
      <c r="D336" t="s">
        <v>22</v>
      </c>
      <c r="E336" t="s">
        <v>5373</v>
      </c>
      <c r="F336" t="s">
        <v>1104</v>
      </c>
      <c r="G336" t="s">
        <v>106</v>
      </c>
      <c r="H336" t="s">
        <v>106</v>
      </c>
      <c r="I336" t="s">
        <v>107</v>
      </c>
      <c r="J336" t="s">
        <v>5114</v>
      </c>
      <c r="K336" t="s">
        <v>5115</v>
      </c>
      <c r="L336" t="s">
        <v>5206</v>
      </c>
      <c r="M336" t="s">
        <v>786</v>
      </c>
      <c r="N336" t="s">
        <v>114</v>
      </c>
      <c r="O336" t="s">
        <v>106</v>
      </c>
      <c r="P336" t="s">
        <v>106</v>
      </c>
      <c r="Q336" t="s">
        <v>107</v>
      </c>
      <c r="R336" t="s">
        <v>5114</v>
      </c>
      <c r="S336" t="s">
        <v>5115</v>
      </c>
      <c r="T336" t="s">
        <v>4467</v>
      </c>
      <c r="U336" t="s">
        <v>4468</v>
      </c>
      <c r="V336" t="s">
        <v>4469</v>
      </c>
      <c r="W336" t="s">
        <v>4470</v>
      </c>
      <c r="X336" t="s">
        <v>4471</v>
      </c>
      <c r="Y336" t="s">
        <v>4468</v>
      </c>
      <c r="Z336" t="s">
        <v>1015</v>
      </c>
      <c r="AA336" t="s">
        <v>4472</v>
      </c>
      <c r="AB336" t="s">
        <v>4469</v>
      </c>
      <c r="AC336" t="s">
        <v>61</v>
      </c>
      <c r="AD336" t="s">
        <v>19</v>
      </c>
      <c r="AE336" t="s">
        <v>19</v>
      </c>
      <c r="AF336" t="s">
        <v>4481</v>
      </c>
      <c r="AG336" t="s">
        <v>4482</v>
      </c>
      <c r="AH336" t="s">
        <v>22</v>
      </c>
      <c r="AI336" t="s">
        <v>22</v>
      </c>
      <c r="AJ336" t="s">
        <v>22</v>
      </c>
      <c r="AK336" t="s">
        <v>22</v>
      </c>
    </row>
    <row r="337" spans="1:37" ht="11.25" customHeight="1">
      <c r="A337" t="s">
        <v>22</v>
      </c>
      <c r="B337" t="s">
        <v>48</v>
      </c>
      <c r="C337" t="s">
        <v>50</v>
      </c>
      <c r="D337" t="s">
        <v>22</v>
      </c>
      <c r="E337" t="s">
        <v>5373</v>
      </c>
      <c r="F337" t="s">
        <v>1104</v>
      </c>
      <c r="G337" t="s">
        <v>106</v>
      </c>
      <c r="H337" t="s">
        <v>106</v>
      </c>
      <c r="I337" t="s">
        <v>107</v>
      </c>
      <c r="J337" t="s">
        <v>4881</v>
      </c>
      <c r="K337" t="s">
        <v>4882</v>
      </c>
      <c r="L337" t="s">
        <v>4883</v>
      </c>
      <c r="M337" t="s">
        <v>786</v>
      </c>
      <c r="N337" t="s">
        <v>114</v>
      </c>
      <c r="O337" t="s">
        <v>106</v>
      </c>
      <c r="P337" t="s">
        <v>106</v>
      </c>
      <c r="Q337" t="s">
        <v>107</v>
      </c>
      <c r="R337" t="s">
        <v>4881</v>
      </c>
      <c r="S337" t="s">
        <v>4882</v>
      </c>
      <c r="T337" t="s">
        <v>4467</v>
      </c>
      <c r="U337" t="s">
        <v>4468</v>
      </c>
      <c r="V337" t="s">
        <v>4469</v>
      </c>
      <c r="W337" t="s">
        <v>4470</v>
      </c>
      <c r="X337" t="s">
        <v>4471</v>
      </c>
      <c r="Y337" t="s">
        <v>4468</v>
      </c>
      <c r="Z337" t="s">
        <v>1015</v>
      </c>
      <c r="AA337" t="s">
        <v>4472</v>
      </c>
      <c r="AB337" t="s">
        <v>4469</v>
      </c>
      <c r="AC337" t="s">
        <v>61</v>
      </c>
      <c r="AD337" t="s">
        <v>19</v>
      </c>
      <c r="AE337" t="s">
        <v>19</v>
      </c>
      <c r="AF337" t="s">
        <v>4481</v>
      </c>
      <c r="AG337" t="s">
        <v>4884</v>
      </c>
      <c r="AH337" t="s">
        <v>22</v>
      </c>
      <c r="AI337" t="s">
        <v>22</v>
      </c>
      <c r="AJ337" t="s">
        <v>22</v>
      </c>
      <c r="AK337" t="s">
        <v>22</v>
      </c>
    </row>
    <row r="338" spans="1:37" ht="11.25" customHeight="1">
      <c r="A338" t="s">
        <v>22</v>
      </c>
      <c r="B338" t="s">
        <v>48</v>
      </c>
      <c r="C338" t="s">
        <v>50</v>
      </c>
      <c r="D338" t="s">
        <v>22</v>
      </c>
      <c r="E338" t="s">
        <v>5373</v>
      </c>
      <c r="F338" t="s">
        <v>1104</v>
      </c>
      <c r="G338" t="s">
        <v>106</v>
      </c>
      <c r="H338" t="s">
        <v>106</v>
      </c>
      <c r="I338" t="s">
        <v>107</v>
      </c>
      <c r="J338" t="s">
        <v>5120</v>
      </c>
      <c r="K338" t="s">
        <v>5121</v>
      </c>
      <c r="L338" t="s">
        <v>5122</v>
      </c>
      <c r="M338" t="s">
        <v>786</v>
      </c>
      <c r="N338" t="s">
        <v>114</v>
      </c>
      <c r="O338" t="s">
        <v>106</v>
      </c>
      <c r="P338" t="s">
        <v>106</v>
      </c>
      <c r="Q338" t="s">
        <v>107</v>
      </c>
      <c r="R338" t="s">
        <v>5120</v>
      </c>
      <c r="S338" t="s">
        <v>5121</v>
      </c>
      <c r="T338" t="s">
        <v>4467</v>
      </c>
      <c r="U338" t="s">
        <v>4468</v>
      </c>
      <c r="V338" t="s">
        <v>4469</v>
      </c>
      <c r="W338" t="s">
        <v>4470</v>
      </c>
      <c r="X338" t="s">
        <v>4471</v>
      </c>
      <c r="Y338" t="s">
        <v>4468</v>
      </c>
      <c r="Z338" t="s">
        <v>1015</v>
      </c>
      <c r="AA338" t="s">
        <v>4472</v>
      </c>
      <c r="AB338" t="s">
        <v>4469</v>
      </c>
      <c r="AC338" t="s">
        <v>61</v>
      </c>
      <c r="AD338" t="s">
        <v>19</v>
      </c>
      <c r="AE338" t="s">
        <v>19</v>
      </c>
      <c r="AF338" t="s">
        <v>4481</v>
      </c>
      <c r="AG338" t="s">
        <v>5026</v>
      </c>
      <c r="AH338" t="s">
        <v>22</v>
      </c>
      <c r="AI338" t="s">
        <v>22</v>
      </c>
      <c r="AJ338" t="s">
        <v>22</v>
      </c>
      <c r="AK338" t="s">
        <v>22</v>
      </c>
    </row>
    <row r="339" spans="1:37" ht="11.25" customHeight="1">
      <c r="A339" t="s">
        <v>22</v>
      </c>
      <c r="B339" t="s">
        <v>48</v>
      </c>
      <c r="C339" t="s">
        <v>50</v>
      </c>
      <c r="D339" t="s">
        <v>22</v>
      </c>
      <c r="E339" t="s">
        <v>5373</v>
      </c>
      <c r="F339" t="s">
        <v>1104</v>
      </c>
      <c r="G339" t="s">
        <v>106</v>
      </c>
      <c r="H339" t="s">
        <v>106</v>
      </c>
      <c r="I339" t="s">
        <v>107</v>
      </c>
      <c r="J339" t="s">
        <v>5137</v>
      </c>
      <c r="K339" t="s">
        <v>5138</v>
      </c>
      <c r="L339" t="s">
        <v>5139</v>
      </c>
      <c r="M339" t="s">
        <v>786</v>
      </c>
      <c r="N339" t="s">
        <v>114</v>
      </c>
      <c r="O339" t="s">
        <v>106</v>
      </c>
      <c r="P339" t="s">
        <v>106</v>
      </c>
      <c r="Q339" t="s">
        <v>107</v>
      </c>
      <c r="R339" t="s">
        <v>5137</v>
      </c>
      <c r="S339" t="s">
        <v>5138</v>
      </c>
      <c r="T339" t="s">
        <v>4467</v>
      </c>
      <c r="U339" t="s">
        <v>4468</v>
      </c>
      <c r="V339" t="s">
        <v>4469</v>
      </c>
      <c r="W339" t="s">
        <v>4470</v>
      </c>
      <c r="X339" t="s">
        <v>4471</v>
      </c>
      <c r="Y339" t="s">
        <v>4468</v>
      </c>
      <c r="Z339" t="s">
        <v>1015</v>
      </c>
      <c r="AA339" t="s">
        <v>4472</v>
      </c>
      <c r="AB339" t="s">
        <v>4469</v>
      </c>
      <c r="AC339" t="s">
        <v>61</v>
      </c>
      <c r="AD339" t="s">
        <v>19</v>
      </c>
      <c r="AE339" t="s">
        <v>19</v>
      </c>
      <c r="AF339" t="s">
        <v>4481</v>
      </c>
      <c r="AG339" t="s">
        <v>5026</v>
      </c>
      <c r="AH339" t="s">
        <v>22</v>
      </c>
      <c r="AI339" t="s">
        <v>22</v>
      </c>
      <c r="AJ339" t="s">
        <v>22</v>
      </c>
      <c r="AK339" t="s">
        <v>22</v>
      </c>
    </row>
    <row r="340" spans="1:37" ht="11.25" customHeight="1">
      <c r="A340" t="s">
        <v>22</v>
      </c>
      <c r="B340" t="s">
        <v>48</v>
      </c>
      <c r="C340" t="s">
        <v>50</v>
      </c>
      <c r="D340" t="s">
        <v>22</v>
      </c>
      <c r="E340" t="s">
        <v>5373</v>
      </c>
      <c r="F340" t="s">
        <v>1104</v>
      </c>
      <c r="G340" t="s">
        <v>106</v>
      </c>
      <c r="H340" t="s">
        <v>106</v>
      </c>
      <c r="I340" t="s">
        <v>107</v>
      </c>
      <c r="J340" t="s">
        <v>4896</v>
      </c>
      <c r="K340" t="s">
        <v>4897</v>
      </c>
      <c r="L340" t="s">
        <v>4898</v>
      </c>
      <c r="M340" t="s">
        <v>786</v>
      </c>
      <c r="N340" t="s">
        <v>114</v>
      </c>
      <c r="O340" t="s">
        <v>106</v>
      </c>
      <c r="P340" t="s">
        <v>106</v>
      </c>
      <c r="Q340" t="s">
        <v>107</v>
      </c>
      <c r="R340" t="s">
        <v>4896</v>
      </c>
      <c r="S340" t="s">
        <v>4897</v>
      </c>
      <c r="T340" t="s">
        <v>4467</v>
      </c>
      <c r="U340" t="s">
        <v>4468</v>
      </c>
      <c r="V340" t="s">
        <v>4469</v>
      </c>
      <c r="W340" t="s">
        <v>4470</v>
      </c>
      <c r="X340" t="s">
        <v>4471</v>
      </c>
      <c r="Y340" t="s">
        <v>4468</v>
      </c>
      <c r="Z340" t="s">
        <v>1015</v>
      </c>
      <c r="AA340" t="s">
        <v>4472</v>
      </c>
      <c r="AB340" t="s">
        <v>4469</v>
      </c>
      <c r="AC340" t="s">
        <v>61</v>
      </c>
      <c r="AD340" t="s">
        <v>19</v>
      </c>
      <c r="AE340" t="s">
        <v>19</v>
      </c>
      <c r="AF340" t="s">
        <v>4481</v>
      </c>
      <c r="AG340" t="s">
        <v>4899</v>
      </c>
      <c r="AH340" t="s">
        <v>22</v>
      </c>
      <c r="AI340" t="s">
        <v>22</v>
      </c>
      <c r="AJ340" t="s">
        <v>22</v>
      </c>
      <c r="AK340" t="s">
        <v>22</v>
      </c>
    </row>
    <row r="341" spans="1:37" ht="11.25" customHeight="1">
      <c r="A341" t="s">
        <v>22</v>
      </c>
      <c r="B341" t="s">
        <v>48</v>
      </c>
      <c r="C341" t="s">
        <v>50</v>
      </c>
      <c r="D341" t="s">
        <v>22</v>
      </c>
      <c r="E341" t="s">
        <v>5374</v>
      </c>
      <c r="F341" t="s">
        <v>1104</v>
      </c>
      <c r="G341" t="s">
        <v>106</v>
      </c>
      <c r="H341" t="s">
        <v>106</v>
      </c>
      <c r="I341" t="s">
        <v>107</v>
      </c>
      <c r="J341" t="s">
        <v>4492</v>
      </c>
      <c r="K341" t="s">
        <v>4493</v>
      </c>
      <c r="L341" t="s">
        <v>4494</v>
      </c>
      <c r="M341" t="s">
        <v>786</v>
      </c>
      <c r="N341" t="s">
        <v>114</v>
      </c>
      <c r="O341" t="s">
        <v>106</v>
      </c>
      <c r="P341" t="s">
        <v>106</v>
      </c>
      <c r="Q341" t="s">
        <v>107</v>
      </c>
      <c r="R341" t="s">
        <v>4492</v>
      </c>
      <c r="S341" t="s">
        <v>4493</v>
      </c>
      <c r="T341" t="s">
        <v>4467</v>
      </c>
      <c r="U341" t="s">
        <v>4468</v>
      </c>
      <c r="V341" t="s">
        <v>4469</v>
      </c>
      <c r="W341" t="s">
        <v>4470</v>
      </c>
      <c r="X341" t="s">
        <v>4471</v>
      </c>
      <c r="Y341" t="s">
        <v>4468</v>
      </c>
      <c r="Z341" t="s">
        <v>1015</v>
      </c>
      <c r="AA341" t="s">
        <v>4472</v>
      </c>
      <c r="AB341" t="s">
        <v>4469</v>
      </c>
      <c r="AC341" t="s">
        <v>61</v>
      </c>
      <c r="AD341" t="s">
        <v>19</v>
      </c>
      <c r="AE341" t="s">
        <v>19</v>
      </c>
      <c r="AF341" t="s">
        <v>4481</v>
      </c>
      <c r="AG341" t="s">
        <v>102</v>
      </c>
      <c r="AH341" t="s">
        <v>22</v>
      </c>
      <c r="AI341" t="s">
        <v>22</v>
      </c>
      <c r="AJ341" t="s">
        <v>22</v>
      </c>
      <c r="AK341" t="s">
        <v>22</v>
      </c>
    </row>
    <row r="342" spans="1:37" ht="11.25" customHeight="1">
      <c r="A342" t="s">
        <v>22</v>
      </c>
      <c r="B342" t="s">
        <v>48</v>
      </c>
      <c r="C342" t="s">
        <v>50</v>
      </c>
      <c r="D342" t="s">
        <v>22</v>
      </c>
      <c r="E342" t="s">
        <v>5375</v>
      </c>
      <c r="F342" t="s">
        <v>1104</v>
      </c>
      <c r="G342" t="s">
        <v>106</v>
      </c>
      <c r="H342" t="s">
        <v>106</v>
      </c>
      <c r="I342" t="s">
        <v>107</v>
      </c>
      <c r="J342" t="s">
        <v>5013</v>
      </c>
      <c r="K342" t="s">
        <v>5014</v>
      </c>
      <c r="L342" t="s">
        <v>5015</v>
      </c>
      <c r="M342" t="s">
        <v>786</v>
      </c>
      <c r="N342" t="s">
        <v>114</v>
      </c>
      <c r="O342" t="s">
        <v>106</v>
      </c>
      <c r="P342" t="s">
        <v>106</v>
      </c>
      <c r="Q342" t="s">
        <v>107</v>
      </c>
      <c r="R342" t="s">
        <v>5013</v>
      </c>
      <c r="S342" t="s">
        <v>5014</v>
      </c>
      <c r="T342" t="s">
        <v>4467</v>
      </c>
      <c r="U342" t="s">
        <v>4468</v>
      </c>
      <c r="V342" t="s">
        <v>4469</v>
      </c>
      <c r="W342" t="s">
        <v>4470</v>
      </c>
      <c r="X342" t="s">
        <v>4471</v>
      </c>
      <c r="Y342" t="s">
        <v>4468</v>
      </c>
      <c r="Z342" t="s">
        <v>1015</v>
      </c>
      <c r="AA342" t="s">
        <v>4472</v>
      </c>
      <c r="AB342" t="s">
        <v>4469</v>
      </c>
      <c r="AC342" t="s">
        <v>61</v>
      </c>
      <c r="AD342" t="s">
        <v>19</v>
      </c>
      <c r="AE342" t="s">
        <v>19</v>
      </c>
      <c r="AF342" t="s">
        <v>4481</v>
      </c>
      <c r="AG342" t="s">
        <v>4481</v>
      </c>
      <c r="AH342" t="s">
        <v>22</v>
      </c>
      <c r="AI342" t="s">
        <v>22</v>
      </c>
      <c r="AJ342" t="s">
        <v>22</v>
      </c>
      <c r="AK342" t="s">
        <v>22</v>
      </c>
    </row>
    <row r="343" spans="1:37" ht="11.25" customHeight="1">
      <c r="A343" t="s">
        <v>22</v>
      </c>
      <c r="B343" t="s">
        <v>48</v>
      </c>
      <c r="C343" t="s">
        <v>50</v>
      </c>
      <c r="D343" t="s">
        <v>22</v>
      </c>
      <c r="E343" t="s">
        <v>5376</v>
      </c>
      <c r="F343" t="s">
        <v>1104</v>
      </c>
      <c r="G343" t="s">
        <v>106</v>
      </c>
      <c r="H343" t="s">
        <v>106</v>
      </c>
      <c r="I343" t="s">
        <v>107</v>
      </c>
      <c r="J343" t="s">
        <v>5013</v>
      </c>
      <c r="K343" t="s">
        <v>5014</v>
      </c>
      <c r="L343" t="s">
        <v>5015</v>
      </c>
      <c r="M343" t="s">
        <v>786</v>
      </c>
      <c r="N343" t="s">
        <v>114</v>
      </c>
      <c r="O343" t="s">
        <v>106</v>
      </c>
      <c r="P343" t="s">
        <v>106</v>
      </c>
      <c r="Q343" t="s">
        <v>107</v>
      </c>
      <c r="R343" t="s">
        <v>5013</v>
      </c>
      <c r="S343" t="s">
        <v>5014</v>
      </c>
      <c r="T343" t="s">
        <v>4467</v>
      </c>
      <c r="U343" t="s">
        <v>4468</v>
      </c>
      <c r="V343" t="s">
        <v>4469</v>
      </c>
      <c r="W343" t="s">
        <v>4470</v>
      </c>
      <c r="X343" t="s">
        <v>4471</v>
      </c>
      <c r="Y343" t="s">
        <v>4468</v>
      </c>
      <c r="Z343" t="s">
        <v>1015</v>
      </c>
      <c r="AA343" t="s">
        <v>4472</v>
      </c>
      <c r="AB343" t="s">
        <v>4469</v>
      </c>
      <c r="AC343" t="s">
        <v>61</v>
      </c>
      <c r="AD343" t="s">
        <v>19</v>
      </c>
      <c r="AE343" t="s">
        <v>19</v>
      </c>
      <c r="AF343" t="s">
        <v>1166</v>
      </c>
      <c r="AG343" t="s">
        <v>1166</v>
      </c>
      <c r="AH343" t="s">
        <v>22</v>
      </c>
      <c r="AI343" t="s">
        <v>22</v>
      </c>
      <c r="AJ343" t="s">
        <v>22</v>
      </c>
      <c r="AK343" t="s">
        <v>22</v>
      </c>
    </row>
    <row r="344" spans="1:37" ht="11.25" customHeight="1">
      <c r="A344" t="s">
        <v>22</v>
      </c>
      <c r="B344" t="s">
        <v>48</v>
      </c>
      <c r="C344" t="s">
        <v>50</v>
      </c>
      <c r="D344" t="s">
        <v>22</v>
      </c>
      <c r="E344" t="s">
        <v>5377</v>
      </c>
      <c r="F344" t="s">
        <v>1104</v>
      </c>
      <c r="G344" t="s">
        <v>106</v>
      </c>
      <c r="H344" t="s">
        <v>106</v>
      </c>
      <c r="I344" t="s">
        <v>107</v>
      </c>
      <c r="J344" t="s">
        <v>4979</v>
      </c>
      <c r="K344" t="s">
        <v>4980</v>
      </c>
      <c r="L344" t="s">
        <v>4981</v>
      </c>
      <c r="M344" t="s">
        <v>786</v>
      </c>
      <c r="N344" t="s">
        <v>114</v>
      </c>
      <c r="O344" t="s">
        <v>106</v>
      </c>
      <c r="P344" t="s">
        <v>106</v>
      </c>
      <c r="Q344" t="s">
        <v>107</v>
      </c>
      <c r="R344" t="s">
        <v>4979</v>
      </c>
      <c r="S344" t="s">
        <v>4980</v>
      </c>
      <c r="T344" t="s">
        <v>4467</v>
      </c>
      <c r="U344" t="s">
        <v>4468</v>
      </c>
      <c r="V344" t="s">
        <v>4469</v>
      </c>
      <c r="W344" t="s">
        <v>4470</v>
      </c>
      <c r="X344" t="s">
        <v>4471</v>
      </c>
      <c r="Y344" t="s">
        <v>4468</v>
      </c>
      <c r="Z344" t="s">
        <v>1015</v>
      </c>
      <c r="AA344" t="s">
        <v>4472</v>
      </c>
      <c r="AB344" t="s">
        <v>4469</v>
      </c>
      <c r="AC344" t="s">
        <v>61</v>
      </c>
      <c r="AD344" t="s">
        <v>19</v>
      </c>
      <c r="AE344" t="s">
        <v>19</v>
      </c>
      <c r="AF344" t="s">
        <v>1166</v>
      </c>
      <c r="AG344" t="s">
        <v>1112</v>
      </c>
      <c r="AH344" t="s">
        <v>22</v>
      </c>
      <c r="AI344" t="s">
        <v>22</v>
      </c>
      <c r="AJ344" t="s">
        <v>22</v>
      </c>
      <c r="AK344" t="s">
        <v>22</v>
      </c>
    </row>
    <row r="345" spans="1:37" ht="11.25" customHeight="1">
      <c r="A345" t="s">
        <v>22</v>
      </c>
      <c r="B345" t="s">
        <v>48</v>
      </c>
      <c r="C345" t="s">
        <v>50</v>
      </c>
      <c r="D345" t="s">
        <v>22</v>
      </c>
      <c r="E345" t="s">
        <v>5378</v>
      </c>
      <c r="F345" t="s">
        <v>1104</v>
      </c>
      <c r="G345" t="s">
        <v>106</v>
      </c>
      <c r="H345" t="s">
        <v>106</v>
      </c>
      <c r="I345" t="s">
        <v>107</v>
      </c>
      <c r="J345" t="s">
        <v>5095</v>
      </c>
      <c r="K345" t="s">
        <v>5096</v>
      </c>
      <c r="L345" t="s">
        <v>5202</v>
      </c>
      <c r="M345" t="s">
        <v>786</v>
      </c>
      <c r="N345" t="s">
        <v>114</v>
      </c>
      <c r="O345" t="s">
        <v>106</v>
      </c>
      <c r="P345" t="s">
        <v>106</v>
      </c>
      <c r="Q345" t="s">
        <v>107</v>
      </c>
      <c r="R345" t="s">
        <v>5095</v>
      </c>
      <c r="S345" t="s">
        <v>5096</v>
      </c>
      <c r="T345" t="s">
        <v>4467</v>
      </c>
      <c r="U345" t="s">
        <v>4468</v>
      </c>
      <c r="V345" t="s">
        <v>4469</v>
      </c>
      <c r="W345" t="s">
        <v>4470</v>
      </c>
      <c r="X345" t="s">
        <v>4471</v>
      </c>
      <c r="Y345" t="s">
        <v>4468</v>
      </c>
      <c r="Z345" t="s">
        <v>1015</v>
      </c>
      <c r="AA345" t="s">
        <v>4472</v>
      </c>
      <c r="AB345" t="s">
        <v>4469</v>
      </c>
      <c r="AC345" t="s">
        <v>61</v>
      </c>
      <c r="AD345" t="s">
        <v>19</v>
      </c>
      <c r="AE345" t="s">
        <v>19</v>
      </c>
      <c r="AF345" t="s">
        <v>1166</v>
      </c>
      <c r="AG345" t="s">
        <v>115</v>
      </c>
      <c r="AH345" t="s">
        <v>22</v>
      </c>
      <c r="AI345" t="s">
        <v>22</v>
      </c>
      <c r="AJ345" t="s">
        <v>22</v>
      </c>
      <c r="AK345" t="s">
        <v>22</v>
      </c>
    </row>
    <row r="346" spans="1:37" ht="11.25" customHeight="1">
      <c r="A346" t="s">
        <v>22</v>
      </c>
      <c r="B346" t="s">
        <v>48</v>
      </c>
      <c r="C346" t="s">
        <v>50</v>
      </c>
      <c r="D346" t="s">
        <v>22</v>
      </c>
      <c r="E346" t="s">
        <v>5379</v>
      </c>
      <c r="F346" t="s">
        <v>1104</v>
      </c>
      <c r="G346" t="s">
        <v>106</v>
      </c>
      <c r="H346" t="s">
        <v>106</v>
      </c>
      <c r="I346" t="s">
        <v>107</v>
      </c>
      <c r="J346" t="s">
        <v>4983</v>
      </c>
      <c r="K346" t="s">
        <v>4984</v>
      </c>
      <c r="L346" t="s">
        <v>4985</v>
      </c>
      <c r="M346" t="s">
        <v>786</v>
      </c>
      <c r="N346" t="s">
        <v>114</v>
      </c>
      <c r="O346" t="s">
        <v>106</v>
      </c>
      <c r="P346" t="s">
        <v>106</v>
      </c>
      <c r="Q346" t="s">
        <v>107</v>
      </c>
      <c r="R346" t="s">
        <v>4983</v>
      </c>
      <c r="S346" t="s">
        <v>4984</v>
      </c>
      <c r="T346" t="s">
        <v>4467</v>
      </c>
      <c r="U346" t="s">
        <v>4468</v>
      </c>
      <c r="V346" t="s">
        <v>4469</v>
      </c>
      <c r="W346" t="s">
        <v>4470</v>
      </c>
      <c r="X346" t="s">
        <v>4471</v>
      </c>
      <c r="Y346" t="s">
        <v>4468</v>
      </c>
      <c r="Z346" t="s">
        <v>1015</v>
      </c>
      <c r="AA346" t="s">
        <v>4472</v>
      </c>
      <c r="AB346" t="s">
        <v>4469</v>
      </c>
      <c r="AC346" t="s">
        <v>61</v>
      </c>
      <c r="AD346" t="s">
        <v>19</v>
      </c>
      <c r="AE346" t="s">
        <v>19</v>
      </c>
      <c r="AF346" t="s">
        <v>1766</v>
      </c>
      <c r="AG346" t="s">
        <v>4495</v>
      </c>
      <c r="AH346" t="s">
        <v>22</v>
      </c>
      <c r="AI346" t="s">
        <v>22</v>
      </c>
      <c r="AJ346" t="s">
        <v>22</v>
      </c>
      <c r="AK346" t="s">
        <v>22</v>
      </c>
    </row>
    <row r="347" spans="1:37" ht="11.25" customHeight="1">
      <c r="A347" t="s">
        <v>22</v>
      </c>
      <c r="B347" t="s">
        <v>48</v>
      </c>
      <c r="C347" t="s">
        <v>50</v>
      </c>
      <c r="D347" t="s">
        <v>22</v>
      </c>
      <c r="E347" t="s">
        <v>5380</v>
      </c>
      <c r="F347" t="s">
        <v>1104</v>
      </c>
      <c r="G347" t="s">
        <v>106</v>
      </c>
      <c r="H347" t="s">
        <v>106</v>
      </c>
      <c r="I347" t="s">
        <v>107</v>
      </c>
      <c r="J347" t="s">
        <v>5381</v>
      </c>
      <c r="K347" t="s">
        <v>5382</v>
      </c>
      <c r="L347" t="s">
        <v>5383</v>
      </c>
      <c r="M347" t="s">
        <v>786</v>
      </c>
      <c r="N347" t="s">
        <v>114</v>
      </c>
      <c r="O347" t="s">
        <v>106</v>
      </c>
      <c r="P347" t="s">
        <v>106</v>
      </c>
      <c r="Q347" t="s">
        <v>107</v>
      </c>
      <c r="R347" t="s">
        <v>5381</v>
      </c>
      <c r="S347" t="s">
        <v>5382</v>
      </c>
      <c r="T347" t="s">
        <v>4467</v>
      </c>
      <c r="U347" t="s">
        <v>4468</v>
      </c>
      <c r="V347" t="s">
        <v>4469</v>
      </c>
      <c r="W347" t="s">
        <v>4470</v>
      </c>
      <c r="X347" t="s">
        <v>4471</v>
      </c>
      <c r="Y347" t="s">
        <v>4468</v>
      </c>
      <c r="Z347" t="s">
        <v>1015</v>
      </c>
      <c r="AA347" t="s">
        <v>4472</v>
      </c>
      <c r="AB347" t="s">
        <v>4469</v>
      </c>
      <c r="AC347" t="s">
        <v>61</v>
      </c>
      <c r="AD347" t="s">
        <v>19</v>
      </c>
      <c r="AE347" t="s">
        <v>19</v>
      </c>
      <c r="AF347" t="s">
        <v>1166</v>
      </c>
      <c r="AG347" t="s">
        <v>1166</v>
      </c>
      <c r="AH347" t="s">
        <v>22</v>
      </c>
      <c r="AI347" t="s">
        <v>22</v>
      </c>
      <c r="AJ347" t="s">
        <v>22</v>
      </c>
      <c r="AK347" t="s">
        <v>22</v>
      </c>
    </row>
    <row r="348" spans="1:37" ht="11.25" customHeight="1">
      <c r="A348" t="s">
        <v>22</v>
      </c>
      <c r="B348" t="s">
        <v>48</v>
      </c>
      <c r="C348" t="s">
        <v>50</v>
      </c>
      <c r="D348" t="s">
        <v>22</v>
      </c>
      <c r="E348" t="s">
        <v>5384</v>
      </c>
      <c r="F348" t="s">
        <v>1104</v>
      </c>
      <c r="G348" t="s">
        <v>106</v>
      </c>
      <c r="H348" t="s">
        <v>106</v>
      </c>
      <c r="I348" t="s">
        <v>107</v>
      </c>
      <c r="J348" t="s">
        <v>4492</v>
      </c>
      <c r="K348" t="s">
        <v>4493</v>
      </c>
      <c r="L348" t="s">
        <v>4494</v>
      </c>
      <c r="M348" t="s">
        <v>786</v>
      </c>
      <c r="N348" t="s">
        <v>114</v>
      </c>
      <c r="O348" t="s">
        <v>106</v>
      </c>
      <c r="P348" t="s">
        <v>106</v>
      </c>
      <c r="Q348" t="s">
        <v>107</v>
      </c>
      <c r="R348" t="s">
        <v>4492</v>
      </c>
      <c r="S348" t="s">
        <v>4493</v>
      </c>
      <c r="T348" t="s">
        <v>4467</v>
      </c>
      <c r="U348" t="s">
        <v>4468</v>
      </c>
      <c r="V348" t="s">
        <v>4469</v>
      </c>
      <c r="W348" t="s">
        <v>4470</v>
      </c>
      <c r="X348" t="s">
        <v>4471</v>
      </c>
      <c r="Y348" t="s">
        <v>4468</v>
      </c>
      <c r="Z348" t="s">
        <v>1015</v>
      </c>
      <c r="AA348" t="s">
        <v>4472</v>
      </c>
      <c r="AB348" t="s">
        <v>4469</v>
      </c>
      <c r="AC348" t="s">
        <v>61</v>
      </c>
      <c r="AD348" t="s">
        <v>19</v>
      </c>
      <c r="AE348" t="s">
        <v>19</v>
      </c>
      <c r="AF348" t="s">
        <v>4481</v>
      </c>
      <c r="AG348" t="s">
        <v>102</v>
      </c>
      <c r="AH348" t="s">
        <v>22</v>
      </c>
      <c r="AI348" t="s">
        <v>22</v>
      </c>
      <c r="AJ348" t="s">
        <v>22</v>
      </c>
      <c r="AK348" t="s">
        <v>22</v>
      </c>
    </row>
    <row r="349" spans="1:37" ht="11.25" customHeight="1">
      <c r="A349" t="s">
        <v>22</v>
      </c>
      <c r="B349" t="s">
        <v>48</v>
      </c>
      <c r="C349" t="s">
        <v>50</v>
      </c>
      <c r="D349" t="s">
        <v>22</v>
      </c>
      <c r="E349" t="s">
        <v>5385</v>
      </c>
      <c r="F349" t="s">
        <v>1104</v>
      </c>
      <c r="G349" t="s">
        <v>106</v>
      </c>
      <c r="H349" t="s">
        <v>106</v>
      </c>
      <c r="I349" t="s">
        <v>107</v>
      </c>
      <c r="J349" t="s">
        <v>4983</v>
      </c>
      <c r="K349" t="s">
        <v>4984</v>
      </c>
      <c r="L349" t="s">
        <v>4985</v>
      </c>
      <c r="M349" t="s">
        <v>786</v>
      </c>
      <c r="N349" t="s">
        <v>114</v>
      </c>
      <c r="O349" t="s">
        <v>106</v>
      </c>
      <c r="P349" t="s">
        <v>106</v>
      </c>
      <c r="Q349" t="s">
        <v>107</v>
      </c>
      <c r="R349" t="s">
        <v>4983</v>
      </c>
      <c r="S349" t="s">
        <v>4984</v>
      </c>
      <c r="T349" t="s">
        <v>4467</v>
      </c>
      <c r="U349" t="s">
        <v>4468</v>
      </c>
      <c r="V349" t="s">
        <v>4469</v>
      </c>
      <c r="W349" t="s">
        <v>4470</v>
      </c>
      <c r="X349" t="s">
        <v>4471</v>
      </c>
      <c r="Y349" t="s">
        <v>4468</v>
      </c>
      <c r="Z349" t="s">
        <v>1015</v>
      </c>
      <c r="AA349" t="s">
        <v>4472</v>
      </c>
      <c r="AB349" t="s">
        <v>4469</v>
      </c>
      <c r="AC349" t="s">
        <v>61</v>
      </c>
      <c r="AD349" t="s">
        <v>19</v>
      </c>
      <c r="AE349" t="s">
        <v>19</v>
      </c>
      <c r="AF349" t="s">
        <v>1766</v>
      </c>
      <c r="AG349" t="s">
        <v>4495</v>
      </c>
      <c r="AH349" t="s">
        <v>22</v>
      </c>
      <c r="AI349" t="s">
        <v>22</v>
      </c>
      <c r="AJ349" t="s">
        <v>22</v>
      </c>
      <c r="AK349" t="s">
        <v>22</v>
      </c>
    </row>
    <row r="350" spans="1:37" ht="11.25" customHeight="1">
      <c r="A350" t="s">
        <v>22</v>
      </c>
      <c r="B350" t="s">
        <v>48</v>
      </c>
      <c r="C350" t="s">
        <v>50</v>
      </c>
      <c r="D350" t="s">
        <v>22</v>
      </c>
      <c r="E350" t="s">
        <v>5386</v>
      </c>
      <c r="F350" t="s">
        <v>1104</v>
      </c>
      <c r="G350" t="s">
        <v>106</v>
      </c>
      <c r="H350" t="s">
        <v>106</v>
      </c>
      <c r="I350" t="s">
        <v>107</v>
      </c>
      <c r="J350" t="s">
        <v>4987</v>
      </c>
      <c r="K350" t="s">
        <v>4988</v>
      </c>
      <c r="L350" t="s">
        <v>5387</v>
      </c>
      <c r="M350" t="s">
        <v>786</v>
      </c>
      <c r="N350" t="s">
        <v>114</v>
      </c>
      <c r="O350" t="s">
        <v>106</v>
      </c>
      <c r="P350" t="s">
        <v>106</v>
      </c>
      <c r="Q350" t="s">
        <v>107</v>
      </c>
      <c r="R350" t="s">
        <v>4987</v>
      </c>
      <c r="S350" t="s">
        <v>4988</v>
      </c>
      <c r="T350" t="s">
        <v>4467</v>
      </c>
      <c r="U350" t="s">
        <v>4468</v>
      </c>
      <c r="V350" t="s">
        <v>4469</v>
      </c>
      <c r="W350" t="s">
        <v>4470</v>
      </c>
      <c r="X350" t="s">
        <v>4471</v>
      </c>
      <c r="Y350" t="s">
        <v>4468</v>
      </c>
      <c r="Z350" t="s">
        <v>1015</v>
      </c>
      <c r="AA350" t="s">
        <v>4472</v>
      </c>
      <c r="AB350" t="s">
        <v>4469</v>
      </c>
      <c r="AC350" t="s">
        <v>61</v>
      </c>
      <c r="AD350" t="s">
        <v>19</v>
      </c>
      <c r="AE350" t="s">
        <v>19</v>
      </c>
      <c r="AF350" t="s">
        <v>1823</v>
      </c>
      <c r="AG350" t="s">
        <v>1823</v>
      </c>
      <c r="AH350" t="s">
        <v>22</v>
      </c>
      <c r="AI350" t="s">
        <v>22</v>
      </c>
      <c r="AJ350" t="s">
        <v>22</v>
      </c>
      <c r="AK350" t="s">
        <v>22</v>
      </c>
    </row>
    <row r="351" spans="1:37" ht="11.25" customHeight="1">
      <c r="A351" t="s">
        <v>22</v>
      </c>
      <c r="B351" t="s">
        <v>48</v>
      </c>
      <c r="C351" t="s">
        <v>50</v>
      </c>
      <c r="D351" t="s">
        <v>22</v>
      </c>
      <c r="E351" t="s">
        <v>5388</v>
      </c>
      <c r="F351" t="s">
        <v>1104</v>
      </c>
      <c r="G351" t="s">
        <v>106</v>
      </c>
      <c r="H351" t="s">
        <v>106</v>
      </c>
      <c r="I351" t="s">
        <v>107</v>
      </c>
      <c r="J351" t="s">
        <v>5019</v>
      </c>
      <c r="K351" t="s">
        <v>5020</v>
      </c>
      <c r="L351" t="s">
        <v>5021</v>
      </c>
      <c r="M351" t="s">
        <v>1015</v>
      </c>
      <c r="N351" t="s">
        <v>114</v>
      </c>
      <c r="O351" t="s">
        <v>106</v>
      </c>
      <c r="P351" t="s">
        <v>106</v>
      </c>
      <c r="Q351" t="s">
        <v>107</v>
      </c>
      <c r="R351" t="s">
        <v>5019</v>
      </c>
      <c r="S351" t="s">
        <v>5020</v>
      </c>
      <c r="T351" t="s">
        <v>4467</v>
      </c>
      <c r="U351" t="s">
        <v>4468</v>
      </c>
      <c r="V351" t="s">
        <v>4469</v>
      </c>
      <c r="W351" t="s">
        <v>4487</v>
      </c>
      <c r="X351" t="s">
        <v>4471</v>
      </c>
      <c r="Y351" t="s">
        <v>4468</v>
      </c>
      <c r="Z351" t="s">
        <v>1015</v>
      </c>
      <c r="AA351" t="s">
        <v>4472</v>
      </c>
      <c r="AB351" t="s">
        <v>4469</v>
      </c>
      <c r="AC351" t="s">
        <v>61</v>
      </c>
      <c r="AD351" t="s">
        <v>19</v>
      </c>
      <c r="AE351" t="s">
        <v>19</v>
      </c>
      <c r="AF351" t="s">
        <v>162</v>
      </c>
      <c r="AG351" t="s">
        <v>387</v>
      </c>
      <c r="AH351" t="s">
        <v>22</v>
      </c>
      <c r="AI351" t="s">
        <v>22</v>
      </c>
      <c r="AJ351" t="s">
        <v>22</v>
      </c>
      <c r="AK351" t="s">
        <v>22</v>
      </c>
    </row>
    <row r="352" spans="1:37" ht="11.25" customHeight="1">
      <c r="A352" t="s">
        <v>22</v>
      </c>
      <c r="B352" t="s">
        <v>48</v>
      </c>
      <c r="C352" t="s">
        <v>50</v>
      </c>
      <c r="D352" t="s">
        <v>22</v>
      </c>
      <c r="E352" t="s">
        <v>5389</v>
      </c>
      <c r="F352" t="s">
        <v>1104</v>
      </c>
      <c r="G352" t="s">
        <v>106</v>
      </c>
      <c r="H352" t="s">
        <v>106</v>
      </c>
      <c r="I352" t="s">
        <v>107</v>
      </c>
      <c r="J352" t="s">
        <v>5344</v>
      </c>
      <c r="K352" t="s">
        <v>5345</v>
      </c>
      <c r="L352" t="s">
        <v>5346</v>
      </c>
      <c r="M352" t="s">
        <v>786</v>
      </c>
      <c r="N352" t="s">
        <v>114</v>
      </c>
      <c r="O352" t="s">
        <v>106</v>
      </c>
      <c r="P352" t="s">
        <v>106</v>
      </c>
      <c r="Q352" t="s">
        <v>107</v>
      </c>
      <c r="R352" t="s">
        <v>5344</v>
      </c>
      <c r="S352" t="s">
        <v>5345</v>
      </c>
      <c r="T352" t="s">
        <v>4467</v>
      </c>
      <c r="U352" t="s">
        <v>4468</v>
      </c>
      <c r="V352" t="s">
        <v>4469</v>
      </c>
      <c r="W352" t="s">
        <v>4470</v>
      </c>
      <c r="X352" t="s">
        <v>4471</v>
      </c>
      <c r="Y352" t="s">
        <v>4468</v>
      </c>
      <c r="Z352" t="s">
        <v>1015</v>
      </c>
      <c r="AA352" t="s">
        <v>4472</v>
      </c>
      <c r="AB352" t="s">
        <v>4469</v>
      </c>
      <c r="AC352" t="s">
        <v>61</v>
      </c>
      <c r="AD352" t="s">
        <v>19</v>
      </c>
      <c r="AE352" t="s">
        <v>19</v>
      </c>
      <c r="AF352" t="s">
        <v>5347</v>
      </c>
      <c r="AG352" t="s">
        <v>1173</v>
      </c>
      <c r="AH352" t="s">
        <v>22</v>
      </c>
      <c r="AI352" t="s">
        <v>22</v>
      </c>
      <c r="AJ352" t="s">
        <v>22</v>
      </c>
      <c r="AK352" t="s">
        <v>22</v>
      </c>
    </row>
    <row r="353" spans="1:37" ht="11.25" customHeight="1">
      <c r="A353" t="s">
        <v>22</v>
      </c>
      <c r="B353" t="s">
        <v>48</v>
      </c>
      <c r="C353" t="s">
        <v>50</v>
      </c>
      <c r="D353" t="s">
        <v>22</v>
      </c>
      <c r="E353" t="s">
        <v>5390</v>
      </c>
      <c r="F353" t="s">
        <v>1104</v>
      </c>
      <c r="G353" t="s">
        <v>106</v>
      </c>
      <c r="H353" t="s">
        <v>106</v>
      </c>
      <c r="I353" t="s">
        <v>107</v>
      </c>
      <c r="J353" t="s">
        <v>5095</v>
      </c>
      <c r="K353" t="s">
        <v>5096</v>
      </c>
      <c r="L353" t="s">
        <v>5202</v>
      </c>
      <c r="M353" t="s">
        <v>786</v>
      </c>
      <c r="N353" t="s">
        <v>114</v>
      </c>
      <c r="O353" t="s">
        <v>106</v>
      </c>
      <c r="P353" t="s">
        <v>106</v>
      </c>
      <c r="Q353" t="s">
        <v>107</v>
      </c>
      <c r="R353" t="s">
        <v>5095</v>
      </c>
      <c r="S353" t="s">
        <v>5096</v>
      </c>
      <c r="T353" t="s">
        <v>4467</v>
      </c>
      <c r="U353" t="s">
        <v>4468</v>
      </c>
      <c r="V353" t="s">
        <v>4469</v>
      </c>
      <c r="W353" t="s">
        <v>4470</v>
      </c>
      <c r="X353" t="s">
        <v>4471</v>
      </c>
      <c r="Y353" t="s">
        <v>4468</v>
      </c>
      <c r="Z353" t="s">
        <v>1015</v>
      </c>
      <c r="AA353" t="s">
        <v>4472</v>
      </c>
      <c r="AB353" t="s">
        <v>4469</v>
      </c>
      <c r="AC353" t="s">
        <v>61</v>
      </c>
      <c r="AD353" t="s">
        <v>19</v>
      </c>
      <c r="AE353" t="s">
        <v>19</v>
      </c>
      <c r="AF353" t="s">
        <v>1166</v>
      </c>
      <c r="AG353" t="s">
        <v>115</v>
      </c>
      <c r="AH353" t="s">
        <v>22</v>
      </c>
      <c r="AI353" t="s">
        <v>22</v>
      </c>
      <c r="AJ353" t="s">
        <v>22</v>
      </c>
      <c r="AK353" t="s">
        <v>22</v>
      </c>
    </row>
    <row r="354" spans="1:37" ht="11.25" customHeight="1">
      <c r="A354" t="s">
        <v>22</v>
      </c>
      <c r="B354" t="s">
        <v>48</v>
      </c>
      <c r="C354" t="s">
        <v>50</v>
      </c>
      <c r="D354" t="s">
        <v>22</v>
      </c>
      <c r="E354" t="s">
        <v>5391</v>
      </c>
      <c r="F354" t="s">
        <v>1104</v>
      </c>
      <c r="G354" t="s">
        <v>106</v>
      </c>
      <c r="H354" t="s">
        <v>106</v>
      </c>
      <c r="I354" t="s">
        <v>107</v>
      </c>
      <c r="J354" t="s">
        <v>5085</v>
      </c>
      <c r="K354" t="s">
        <v>5086</v>
      </c>
      <c r="L354" t="s">
        <v>5223</v>
      </c>
      <c r="M354" t="s">
        <v>786</v>
      </c>
      <c r="N354" t="s">
        <v>114</v>
      </c>
      <c r="O354" t="s">
        <v>106</v>
      </c>
      <c r="P354" t="s">
        <v>106</v>
      </c>
      <c r="Q354" t="s">
        <v>107</v>
      </c>
      <c r="R354" t="s">
        <v>5085</v>
      </c>
      <c r="S354" t="s">
        <v>5086</v>
      </c>
      <c r="T354" t="s">
        <v>4467</v>
      </c>
      <c r="U354" t="s">
        <v>4468</v>
      </c>
      <c r="V354" t="s">
        <v>4469</v>
      </c>
      <c r="W354" t="s">
        <v>4470</v>
      </c>
      <c r="X354" t="s">
        <v>4471</v>
      </c>
      <c r="Y354" t="s">
        <v>4468</v>
      </c>
      <c r="Z354" t="s">
        <v>1015</v>
      </c>
      <c r="AA354" t="s">
        <v>4472</v>
      </c>
      <c r="AB354" t="s">
        <v>4469</v>
      </c>
      <c r="AC354" t="s">
        <v>61</v>
      </c>
      <c r="AD354" t="s">
        <v>19</v>
      </c>
      <c r="AE354" t="s">
        <v>19</v>
      </c>
      <c r="AF354" t="s">
        <v>1823</v>
      </c>
      <c r="AG354" t="s">
        <v>5224</v>
      </c>
      <c r="AH354" t="s">
        <v>22</v>
      </c>
      <c r="AI354" t="s">
        <v>22</v>
      </c>
      <c r="AJ354" t="s">
        <v>22</v>
      </c>
      <c r="AK354" t="s">
        <v>22</v>
      </c>
    </row>
    <row r="355" spans="1:37" ht="11.25" customHeight="1">
      <c r="A355" t="s">
        <v>22</v>
      </c>
      <c r="B355" t="s">
        <v>48</v>
      </c>
      <c r="C355" t="s">
        <v>50</v>
      </c>
      <c r="D355" t="s">
        <v>22</v>
      </c>
      <c r="E355" t="s">
        <v>5392</v>
      </c>
      <c r="F355" t="s">
        <v>1104</v>
      </c>
      <c r="G355" t="s">
        <v>99</v>
      </c>
      <c r="H355" t="s">
        <v>99</v>
      </c>
      <c r="I355" t="s">
        <v>100</v>
      </c>
      <c r="J355" t="s">
        <v>1059</v>
      </c>
      <c r="K355" t="s">
        <v>1060</v>
      </c>
      <c r="L355" t="s">
        <v>5393</v>
      </c>
      <c r="M355" t="s">
        <v>4627</v>
      </c>
      <c r="N355" t="s">
        <v>114</v>
      </c>
      <c r="O355" t="s">
        <v>4520</v>
      </c>
      <c r="P355" t="s">
        <v>4520</v>
      </c>
      <c r="Q355" t="s">
        <v>100</v>
      </c>
      <c r="R355" t="s">
        <v>1059</v>
      </c>
      <c r="S355" t="s">
        <v>1060</v>
      </c>
      <c r="T355" t="s">
        <v>4467</v>
      </c>
      <c r="U355" t="s">
        <v>4468</v>
      </c>
      <c r="V355" t="s">
        <v>4521</v>
      </c>
      <c r="W355" t="s">
        <v>4470</v>
      </c>
      <c r="X355" t="s">
        <v>4471</v>
      </c>
      <c r="Y355" t="s">
        <v>4468</v>
      </c>
      <c r="Z355" t="s">
        <v>1015</v>
      </c>
      <c r="AA355" t="s">
        <v>4522</v>
      </c>
      <c r="AB355" t="s">
        <v>4521</v>
      </c>
      <c r="AC355" t="s">
        <v>61</v>
      </c>
      <c r="AD355" t="s">
        <v>19</v>
      </c>
      <c r="AE355" t="s">
        <v>19</v>
      </c>
      <c r="AF355" t="s">
        <v>4523</v>
      </c>
      <c r="AG355" t="s">
        <v>1171</v>
      </c>
      <c r="AH355" t="s">
        <v>22</v>
      </c>
      <c r="AI355" t="s">
        <v>22</v>
      </c>
      <c r="AJ355" t="s">
        <v>22</v>
      </c>
      <c r="AK355" t="s">
        <v>22</v>
      </c>
    </row>
    <row r="356" spans="1:37" ht="11.25" customHeight="1">
      <c r="A356" t="s">
        <v>22</v>
      </c>
      <c r="B356" t="s">
        <v>48</v>
      </c>
      <c r="C356" t="s">
        <v>50</v>
      </c>
      <c r="D356" t="s">
        <v>22</v>
      </c>
      <c r="E356" t="s">
        <v>5392</v>
      </c>
      <c r="F356" t="s">
        <v>1104</v>
      </c>
      <c r="G356" t="s">
        <v>99</v>
      </c>
      <c r="H356" t="s">
        <v>99</v>
      </c>
      <c r="I356" t="s">
        <v>100</v>
      </c>
      <c r="J356" t="s">
        <v>1059</v>
      </c>
      <c r="K356" t="s">
        <v>1060</v>
      </c>
      <c r="L356" t="s">
        <v>4641</v>
      </c>
      <c r="M356" t="s">
        <v>161</v>
      </c>
      <c r="N356" t="s">
        <v>114</v>
      </c>
      <c r="O356" t="s">
        <v>4520</v>
      </c>
      <c r="P356" t="s">
        <v>4520</v>
      </c>
      <c r="Q356" t="s">
        <v>100</v>
      </c>
      <c r="R356" t="s">
        <v>1059</v>
      </c>
      <c r="S356" t="s">
        <v>1060</v>
      </c>
      <c r="T356" t="s">
        <v>4606</v>
      </c>
      <c r="U356" t="s">
        <v>4793</v>
      </c>
      <c r="V356" t="s">
        <v>4733</v>
      </c>
      <c r="W356" t="s">
        <v>4470</v>
      </c>
      <c r="X356" t="s">
        <v>4834</v>
      </c>
      <c r="Y356" t="s">
        <v>4669</v>
      </c>
      <c r="Z356" t="s">
        <v>1015</v>
      </c>
      <c r="AA356" t="s">
        <v>5394</v>
      </c>
      <c r="AB356" t="s">
        <v>4733</v>
      </c>
      <c r="AC356" t="s">
        <v>61</v>
      </c>
      <c r="AD356" t="s">
        <v>19</v>
      </c>
      <c r="AE356" t="s">
        <v>19</v>
      </c>
      <c r="AF356" t="s">
        <v>5395</v>
      </c>
      <c r="AG356" t="s">
        <v>387</v>
      </c>
      <c r="AH356" t="s">
        <v>22</v>
      </c>
      <c r="AI356" t="s">
        <v>22</v>
      </c>
      <c r="AJ356" t="s">
        <v>22</v>
      </c>
      <c r="AK356" t="s">
        <v>22</v>
      </c>
    </row>
    <row r="357" spans="1:37" ht="11.25" customHeight="1">
      <c r="A357" t="s">
        <v>22</v>
      </c>
      <c r="B357" t="s">
        <v>48</v>
      </c>
      <c r="C357" t="s">
        <v>50</v>
      </c>
      <c r="D357" t="s">
        <v>22</v>
      </c>
      <c r="E357" t="s">
        <v>5392</v>
      </c>
      <c r="F357" t="s">
        <v>1104</v>
      </c>
      <c r="G357" t="s">
        <v>99</v>
      </c>
      <c r="H357" t="s">
        <v>99</v>
      </c>
      <c r="I357" t="s">
        <v>100</v>
      </c>
      <c r="J357" t="s">
        <v>1059</v>
      </c>
      <c r="K357" t="s">
        <v>1060</v>
      </c>
      <c r="L357" t="s">
        <v>5396</v>
      </c>
      <c r="M357" t="s">
        <v>5397</v>
      </c>
      <c r="N357" t="s">
        <v>114</v>
      </c>
      <c r="O357" t="s">
        <v>4520</v>
      </c>
      <c r="P357" t="s">
        <v>4520</v>
      </c>
      <c r="Q357" t="s">
        <v>100</v>
      </c>
      <c r="R357" t="s">
        <v>1059</v>
      </c>
      <c r="S357" t="s">
        <v>1060</v>
      </c>
      <c r="T357" t="s">
        <v>4467</v>
      </c>
      <c r="U357" t="s">
        <v>4468</v>
      </c>
      <c r="V357" t="s">
        <v>4521</v>
      </c>
      <c r="W357" t="s">
        <v>4470</v>
      </c>
      <c r="X357" t="s">
        <v>4471</v>
      </c>
      <c r="Y357" t="s">
        <v>4468</v>
      </c>
      <c r="Z357" t="s">
        <v>1015</v>
      </c>
      <c r="AA357" t="s">
        <v>4522</v>
      </c>
      <c r="AB357" t="s">
        <v>4521</v>
      </c>
      <c r="AC357" t="s">
        <v>61</v>
      </c>
      <c r="AD357" t="s">
        <v>19</v>
      </c>
      <c r="AE357" t="s">
        <v>19</v>
      </c>
      <c r="AF357" t="s">
        <v>4826</v>
      </c>
      <c r="AG357" t="s">
        <v>5398</v>
      </c>
      <c r="AH357" t="s">
        <v>22</v>
      </c>
      <c r="AI357" t="s">
        <v>22</v>
      </c>
      <c r="AJ357" t="s">
        <v>22</v>
      </c>
      <c r="AK357" t="s">
        <v>22</v>
      </c>
    </row>
    <row r="358" spans="1:37" ht="11.25" customHeight="1">
      <c r="A358" t="s">
        <v>22</v>
      </c>
      <c r="B358" t="s">
        <v>48</v>
      </c>
      <c r="C358" t="s">
        <v>50</v>
      </c>
      <c r="D358" t="s">
        <v>22</v>
      </c>
      <c r="E358" t="s">
        <v>5392</v>
      </c>
      <c r="F358" t="s">
        <v>1104</v>
      </c>
      <c r="G358" t="s">
        <v>99</v>
      </c>
      <c r="H358" t="s">
        <v>99</v>
      </c>
      <c r="I358" t="s">
        <v>100</v>
      </c>
      <c r="J358" t="s">
        <v>1059</v>
      </c>
      <c r="K358" t="s">
        <v>1060</v>
      </c>
      <c r="L358" t="s">
        <v>4585</v>
      </c>
      <c r="M358" t="s">
        <v>4687</v>
      </c>
      <c r="N358" t="s">
        <v>114</v>
      </c>
      <c r="O358" t="s">
        <v>4520</v>
      </c>
      <c r="P358" t="s">
        <v>4520</v>
      </c>
      <c r="Q358" t="s">
        <v>100</v>
      </c>
      <c r="R358" t="s">
        <v>1059</v>
      </c>
      <c r="S358" t="s">
        <v>1060</v>
      </c>
      <c r="T358" t="s">
        <v>4467</v>
      </c>
      <c r="U358" t="s">
        <v>4468</v>
      </c>
      <c r="V358" t="s">
        <v>4521</v>
      </c>
      <c r="W358" t="s">
        <v>4470</v>
      </c>
      <c r="X358" t="s">
        <v>4471</v>
      </c>
      <c r="Y358" t="s">
        <v>4468</v>
      </c>
      <c r="Z358" t="s">
        <v>1015</v>
      </c>
      <c r="AA358" t="s">
        <v>4522</v>
      </c>
      <c r="AB358" t="s">
        <v>4521</v>
      </c>
      <c r="AC358" t="s">
        <v>61</v>
      </c>
      <c r="AD358" t="s">
        <v>19</v>
      </c>
      <c r="AE358" t="s">
        <v>19</v>
      </c>
      <c r="AF358" t="s">
        <v>4942</v>
      </c>
      <c r="AG358" t="s">
        <v>5399</v>
      </c>
      <c r="AH358" t="s">
        <v>22</v>
      </c>
      <c r="AI358" t="s">
        <v>22</v>
      </c>
      <c r="AJ358" t="s">
        <v>22</v>
      </c>
      <c r="AK358" t="s">
        <v>22</v>
      </c>
    </row>
    <row r="359" spans="1:37" ht="11.25" customHeight="1">
      <c r="A359" t="s">
        <v>22</v>
      </c>
      <c r="B359" t="s">
        <v>48</v>
      </c>
      <c r="C359" t="s">
        <v>50</v>
      </c>
      <c r="D359" t="s">
        <v>22</v>
      </c>
      <c r="E359" t="s">
        <v>5392</v>
      </c>
      <c r="F359" t="s">
        <v>1104</v>
      </c>
      <c r="G359" t="s">
        <v>99</v>
      </c>
      <c r="H359" t="s">
        <v>99</v>
      </c>
      <c r="I359" t="s">
        <v>100</v>
      </c>
      <c r="J359" t="s">
        <v>1059</v>
      </c>
      <c r="K359" t="s">
        <v>1060</v>
      </c>
      <c r="L359" t="s">
        <v>5400</v>
      </c>
      <c r="M359" t="s">
        <v>115</v>
      </c>
      <c r="N359" t="s">
        <v>114</v>
      </c>
      <c r="O359" t="s">
        <v>4520</v>
      </c>
      <c r="P359" t="s">
        <v>4520</v>
      </c>
      <c r="Q359" t="s">
        <v>100</v>
      </c>
      <c r="R359" t="s">
        <v>1059</v>
      </c>
      <c r="S359" t="s">
        <v>1060</v>
      </c>
      <c r="T359" t="s">
        <v>4467</v>
      </c>
      <c r="U359" t="s">
        <v>4468</v>
      </c>
      <c r="V359" t="s">
        <v>4521</v>
      </c>
      <c r="W359" t="s">
        <v>4470</v>
      </c>
      <c r="X359" t="s">
        <v>4471</v>
      </c>
      <c r="Y359" t="s">
        <v>4468</v>
      </c>
      <c r="Z359" t="s">
        <v>1015</v>
      </c>
      <c r="AA359" t="s">
        <v>4522</v>
      </c>
      <c r="AB359" t="s">
        <v>4521</v>
      </c>
      <c r="AC359" t="s">
        <v>61</v>
      </c>
      <c r="AD359" t="s">
        <v>19</v>
      </c>
      <c r="AE359" t="s">
        <v>19</v>
      </c>
      <c r="AF359" t="s">
        <v>1774</v>
      </c>
      <c r="AG359" t="s">
        <v>116</v>
      </c>
      <c r="AH359" t="s">
        <v>22</v>
      </c>
      <c r="AI359" t="s">
        <v>22</v>
      </c>
      <c r="AJ359" t="s">
        <v>22</v>
      </c>
      <c r="AK359" t="s">
        <v>22</v>
      </c>
    </row>
    <row r="360" spans="1:37" ht="11.25" customHeight="1">
      <c r="A360" t="s">
        <v>22</v>
      </c>
      <c r="B360" t="s">
        <v>48</v>
      </c>
      <c r="C360" t="s">
        <v>50</v>
      </c>
      <c r="D360" t="s">
        <v>22</v>
      </c>
      <c r="E360" t="s">
        <v>5392</v>
      </c>
      <c r="F360" t="s">
        <v>1104</v>
      </c>
      <c r="G360" t="s">
        <v>99</v>
      </c>
      <c r="H360" t="s">
        <v>99</v>
      </c>
      <c r="I360" t="s">
        <v>100</v>
      </c>
      <c r="J360" t="s">
        <v>1059</v>
      </c>
      <c r="K360" t="s">
        <v>1060</v>
      </c>
      <c r="L360" t="s">
        <v>4544</v>
      </c>
      <c r="M360" t="s">
        <v>4705</v>
      </c>
      <c r="N360" t="s">
        <v>114</v>
      </c>
      <c r="O360" t="s">
        <v>4520</v>
      </c>
      <c r="P360" t="s">
        <v>4520</v>
      </c>
      <c r="Q360" t="s">
        <v>100</v>
      </c>
      <c r="R360" t="s">
        <v>1059</v>
      </c>
      <c r="S360" t="s">
        <v>1060</v>
      </c>
      <c r="T360" t="s">
        <v>4467</v>
      </c>
      <c r="U360" t="s">
        <v>4468</v>
      </c>
      <c r="V360" t="s">
        <v>4521</v>
      </c>
      <c r="W360" t="s">
        <v>4470</v>
      </c>
      <c r="X360" t="s">
        <v>4471</v>
      </c>
      <c r="Y360" t="s">
        <v>4468</v>
      </c>
      <c r="Z360" t="s">
        <v>1015</v>
      </c>
      <c r="AA360" t="s">
        <v>4522</v>
      </c>
      <c r="AB360" t="s">
        <v>4521</v>
      </c>
      <c r="AC360" t="s">
        <v>61</v>
      </c>
      <c r="AD360" t="s">
        <v>19</v>
      </c>
      <c r="AE360" t="s">
        <v>19</v>
      </c>
      <c r="AF360" t="s">
        <v>4523</v>
      </c>
      <c r="AG360" t="s">
        <v>5401</v>
      </c>
      <c r="AH360" t="s">
        <v>22</v>
      </c>
      <c r="AI360" t="s">
        <v>22</v>
      </c>
      <c r="AJ360" t="s">
        <v>22</v>
      </c>
      <c r="AK360" t="s">
        <v>22</v>
      </c>
    </row>
    <row r="361" spans="1:37" ht="11.25" customHeight="1">
      <c r="A361" t="s">
        <v>22</v>
      </c>
      <c r="B361" t="s">
        <v>48</v>
      </c>
      <c r="C361" t="s">
        <v>50</v>
      </c>
      <c r="D361" t="s">
        <v>22</v>
      </c>
      <c r="E361" t="s">
        <v>5392</v>
      </c>
      <c r="F361" t="s">
        <v>1104</v>
      </c>
      <c r="G361" t="s">
        <v>99</v>
      </c>
      <c r="H361" t="s">
        <v>99</v>
      </c>
      <c r="I361" t="s">
        <v>100</v>
      </c>
      <c r="J361" t="s">
        <v>1059</v>
      </c>
      <c r="K361" t="s">
        <v>1060</v>
      </c>
      <c r="L361" t="s">
        <v>5402</v>
      </c>
      <c r="M361" t="s">
        <v>1752</v>
      </c>
      <c r="N361" t="s">
        <v>114</v>
      </c>
      <c r="O361" t="s">
        <v>4520</v>
      </c>
      <c r="P361" t="s">
        <v>4520</v>
      </c>
      <c r="Q361" t="s">
        <v>100</v>
      </c>
      <c r="R361" t="s">
        <v>1059</v>
      </c>
      <c r="S361" t="s">
        <v>1060</v>
      </c>
      <c r="T361" t="s">
        <v>4606</v>
      </c>
      <c r="U361" t="s">
        <v>4793</v>
      </c>
      <c r="V361" t="s">
        <v>586</v>
      </c>
      <c r="W361" t="s">
        <v>4470</v>
      </c>
      <c r="X361" t="s">
        <v>4834</v>
      </c>
      <c r="Y361" t="s">
        <v>4669</v>
      </c>
      <c r="Z361" t="s">
        <v>1015</v>
      </c>
      <c r="AA361" t="s">
        <v>5403</v>
      </c>
      <c r="AB361" t="s">
        <v>4733</v>
      </c>
      <c r="AC361" t="s">
        <v>61</v>
      </c>
      <c r="AD361" t="s">
        <v>19</v>
      </c>
      <c r="AE361" t="s">
        <v>19</v>
      </c>
      <c r="AF361" t="s">
        <v>4942</v>
      </c>
      <c r="AG361" t="s">
        <v>5404</v>
      </c>
      <c r="AH361" t="s">
        <v>22</v>
      </c>
      <c r="AI361" t="s">
        <v>22</v>
      </c>
      <c r="AJ361" t="s">
        <v>22</v>
      </c>
      <c r="AK361" t="s">
        <v>22</v>
      </c>
    </row>
    <row r="362" spans="1:37" ht="11.25" customHeight="1">
      <c r="A362" t="s">
        <v>22</v>
      </c>
      <c r="B362" t="s">
        <v>48</v>
      </c>
      <c r="C362" t="s">
        <v>50</v>
      </c>
      <c r="D362" t="s">
        <v>22</v>
      </c>
      <c r="E362" t="s">
        <v>5392</v>
      </c>
      <c r="F362" t="s">
        <v>1104</v>
      </c>
      <c r="G362" t="s">
        <v>99</v>
      </c>
      <c r="H362" t="s">
        <v>99</v>
      </c>
      <c r="I362" t="s">
        <v>100</v>
      </c>
      <c r="J362" t="s">
        <v>1059</v>
      </c>
      <c r="K362" t="s">
        <v>1060</v>
      </c>
      <c r="L362" t="s">
        <v>5405</v>
      </c>
      <c r="M362" t="s">
        <v>1807</v>
      </c>
      <c r="N362" t="s">
        <v>114</v>
      </c>
      <c r="O362" t="s">
        <v>4520</v>
      </c>
      <c r="P362" t="s">
        <v>4520</v>
      </c>
      <c r="Q362" t="s">
        <v>100</v>
      </c>
      <c r="R362" t="s">
        <v>1059</v>
      </c>
      <c r="S362" t="s">
        <v>1060</v>
      </c>
      <c r="T362" t="s">
        <v>4467</v>
      </c>
      <c r="U362" t="s">
        <v>4468</v>
      </c>
      <c r="V362" t="s">
        <v>4521</v>
      </c>
      <c r="W362" t="s">
        <v>4470</v>
      </c>
      <c r="X362" t="s">
        <v>4471</v>
      </c>
      <c r="Y362" t="s">
        <v>4468</v>
      </c>
      <c r="Z362" t="s">
        <v>1015</v>
      </c>
      <c r="AA362" t="s">
        <v>4522</v>
      </c>
      <c r="AB362" t="s">
        <v>4521</v>
      </c>
      <c r="AC362" t="s">
        <v>61</v>
      </c>
      <c r="AD362" t="s">
        <v>19</v>
      </c>
      <c r="AE362" t="s">
        <v>19</v>
      </c>
      <c r="AF362" t="s">
        <v>4532</v>
      </c>
      <c r="AG362" t="s">
        <v>4631</v>
      </c>
      <c r="AH362" t="s">
        <v>22</v>
      </c>
      <c r="AI362" t="s">
        <v>22</v>
      </c>
      <c r="AJ362" t="s">
        <v>22</v>
      </c>
      <c r="AK362" t="s">
        <v>22</v>
      </c>
    </row>
    <row r="363" spans="1:37" ht="11.25" customHeight="1">
      <c r="A363" t="s">
        <v>22</v>
      </c>
      <c r="B363" t="s">
        <v>48</v>
      </c>
      <c r="C363" t="s">
        <v>50</v>
      </c>
      <c r="D363" t="s">
        <v>22</v>
      </c>
      <c r="E363" t="s">
        <v>5392</v>
      </c>
      <c r="F363" t="s">
        <v>1104</v>
      </c>
      <c r="G363" t="s">
        <v>99</v>
      </c>
      <c r="H363" t="s">
        <v>99</v>
      </c>
      <c r="I363" t="s">
        <v>100</v>
      </c>
      <c r="J363" t="s">
        <v>1059</v>
      </c>
      <c r="K363" t="s">
        <v>1060</v>
      </c>
      <c r="L363" t="s">
        <v>5406</v>
      </c>
      <c r="M363" t="s">
        <v>5407</v>
      </c>
      <c r="N363" t="s">
        <v>114</v>
      </c>
      <c r="O363" t="s">
        <v>4520</v>
      </c>
      <c r="P363" t="s">
        <v>4520</v>
      </c>
      <c r="Q363" t="s">
        <v>100</v>
      </c>
      <c r="R363" t="s">
        <v>1059</v>
      </c>
      <c r="S363" t="s">
        <v>1060</v>
      </c>
      <c r="T363" t="s">
        <v>4467</v>
      </c>
      <c r="U363" t="s">
        <v>4468</v>
      </c>
      <c r="V363" t="s">
        <v>4521</v>
      </c>
      <c r="W363" t="s">
        <v>4470</v>
      </c>
      <c r="X363" t="s">
        <v>4471</v>
      </c>
      <c r="Y363" t="s">
        <v>4468</v>
      </c>
      <c r="Z363" t="s">
        <v>1015</v>
      </c>
      <c r="AA363" t="s">
        <v>4522</v>
      </c>
      <c r="AB363" t="s">
        <v>4521</v>
      </c>
      <c r="AC363" t="s">
        <v>61</v>
      </c>
      <c r="AD363" t="s">
        <v>19</v>
      </c>
      <c r="AE363" t="s">
        <v>19</v>
      </c>
      <c r="AF363" t="s">
        <v>5408</v>
      </c>
      <c r="AG363" t="s">
        <v>387</v>
      </c>
      <c r="AH363" t="s">
        <v>22</v>
      </c>
      <c r="AI363" t="s">
        <v>22</v>
      </c>
      <c r="AJ363" t="s">
        <v>22</v>
      </c>
      <c r="AK363" t="s">
        <v>22</v>
      </c>
    </row>
    <row r="364" spans="1:37" ht="11.25" customHeight="1">
      <c r="A364" t="s">
        <v>22</v>
      </c>
      <c r="B364" t="s">
        <v>48</v>
      </c>
      <c r="C364" t="s">
        <v>50</v>
      </c>
      <c r="D364" t="s">
        <v>22</v>
      </c>
      <c r="E364" t="s">
        <v>5392</v>
      </c>
      <c r="F364" t="s">
        <v>1104</v>
      </c>
      <c r="G364" t="s">
        <v>99</v>
      </c>
      <c r="H364" t="s">
        <v>99</v>
      </c>
      <c r="I364" t="s">
        <v>100</v>
      </c>
      <c r="J364" t="s">
        <v>1059</v>
      </c>
      <c r="K364" t="s">
        <v>1060</v>
      </c>
      <c r="L364" t="s">
        <v>5409</v>
      </c>
      <c r="M364" t="s">
        <v>5410</v>
      </c>
      <c r="N364" t="s">
        <v>114</v>
      </c>
      <c r="O364" t="s">
        <v>4520</v>
      </c>
      <c r="P364" t="s">
        <v>4520</v>
      </c>
      <c r="Q364" t="s">
        <v>100</v>
      </c>
      <c r="R364" t="s">
        <v>1059</v>
      </c>
      <c r="S364" t="s">
        <v>1060</v>
      </c>
      <c r="T364" t="s">
        <v>4606</v>
      </c>
      <c r="U364" t="s">
        <v>4793</v>
      </c>
      <c r="V364" t="s">
        <v>586</v>
      </c>
      <c r="W364" t="s">
        <v>4470</v>
      </c>
      <c r="X364" t="s">
        <v>4834</v>
      </c>
      <c r="Y364" t="s">
        <v>4669</v>
      </c>
      <c r="Z364" t="s">
        <v>1015</v>
      </c>
      <c r="AA364" t="s">
        <v>5411</v>
      </c>
      <c r="AB364" t="s">
        <v>4733</v>
      </c>
      <c r="AC364" t="s">
        <v>61</v>
      </c>
      <c r="AD364" t="s">
        <v>19</v>
      </c>
      <c r="AE364" t="s">
        <v>19</v>
      </c>
      <c r="AF364" t="s">
        <v>4583</v>
      </c>
      <c r="AG364" t="s">
        <v>5412</v>
      </c>
      <c r="AH364" t="s">
        <v>22</v>
      </c>
      <c r="AI364" t="s">
        <v>22</v>
      </c>
      <c r="AJ364" t="s">
        <v>22</v>
      </c>
      <c r="AK364" t="s">
        <v>22</v>
      </c>
    </row>
    <row r="365" spans="1:37" ht="11.25" customHeight="1">
      <c r="A365" t="s">
        <v>22</v>
      </c>
      <c r="B365" t="s">
        <v>48</v>
      </c>
      <c r="C365" t="s">
        <v>50</v>
      </c>
      <c r="D365" t="s">
        <v>22</v>
      </c>
      <c r="E365" t="s">
        <v>5392</v>
      </c>
      <c r="F365" t="s">
        <v>1104</v>
      </c>
      <c r="G365" t="s">
        <v>99</v>
      </c>
      <c r="H365" t="s">
        <v>99</v>
      </c>
      <c r="I365" t="s">
        <v>100</v>
      </c>
      <c r="J365" t="s">
        <v>1059</v>
      </c>
      <c r="K365" t="s">
        <v>1060</v>
      </c>
      <c r="L365" t="s">
        <v>5413</v>
      </c>
      <c r="M365" t="s">
        <v>5414</v>
      </c>
      <c r="N365" t="s">
        <v>114</v>
      </c>
      <c r="O365" t="s">
        <v>4520</v>
      </c>
      <c r="P365" t="s">
        <v>4520</v>
      </c>
      <c r="Q365" t="s">
        <v>100</v>
      </c>
      <c r="R365" t="s">
        <v>1059</v>
      </c>
      <c r="S365" t="s">
        <v>1060</v>
      </c>
      <c r="T365" t="s">
        <v>4467</v>
      </c>
      <c r="U365" t="s">
        <v>4468</v>
      </c>
      <c r="V365" t="s">
        <v>4521</v>
      </c>
      <c r="W365" t="s">
        <v>4470</v>
      </c>
      <c r="X365" t="s">
        <v>4471</v>
      </c>
      <c r="Y365" t="s">
        <v>4468</v>
      </c>
      <c r="Z365" t="s">
        <v>1015</v>
      </c>
      <c r="AA365" t="s">
        <v>4522</v>
      </c>
      <c r="AB365" t="s">
        <v>4521</v>
      </c>
      <c r="AC365" t="s">
        <v>61</v>
      </c>
      <c r="AD365" t="s">
        <v>19</v>
      </c>
      <c r="AE365" t="s">
        <v>19</v>
      </c>
      <c r="AF365" t="s">
        <v>5415</v>
      </c>
      <c r="AG365" t="s">
        <v>5416</v>
      </c>
      <c r="AH365" t="s">
        <v>22</v>
      </c>
      <c r="AI365" t="s">
        <v>22</v>
      </c>
      <c r="AJ365" t="s">
        <v>22</v>
      </c>
      <c r="AK365" t="s">
        <v>22</v>
      </c>
    </row>
    <row r="366" spans="1:37" ht="11.25" customHeight="1">
      <c r="A366" t="s">
        <v>22</v>
      </c>
      <c r="B366" t="s">
        <v>48</v>
      </c>
      <c r="C366" t="s">
        <v>50</v>
      </c>
      <c r="D366" t="s">
        <v>22</v>
      </c>
      <c r="E366" t="s">
        <v>5392</v>
      </c>
      <c r="F366" t="s">
        <v>1104</v>
      </c>
      <c r="G366" t="s">
        <v>99</v>
      </c>
      <c r="H366" t="s">
        <v>99</v>
      </c>
      <c r="I366" t="s">
        <v>100</v>
      </c>
      <c r="J366" t="s">
        <v>1059</v>
      </c>
      <c r="K366" t="s">
        <v>1060</v>
      </c>
      <c r="L366" t="s">
        <v>4768</v>
      </c>
      <c r="M366" t="s">
        <v>5417</v>
      </c>
      <c r="N366" t="s">
        <v>114</v>
      </c>
      <c r="O366" t="s">
        <v>4520</v>
      </c>
      <c r="P366" t="s">
        <v>4520</v>
      </c>
      <c r="Q366" t="s">
        <v>100</v>
      </c>
      <c r="R366" t="s">
        <v>1059</v>
      </c>
      <c r="S366" t="s">
        <v>1060</v>
      </c>
      <c r="T366" t="s">
        <v>4467</v>
      </c>
      <c r="U366" t="s">
        <v>4468</v>
      </c>
      <c r="V366" t="s">
        <v>4521</v>
      </c>
      <c r="W366" t="s">
        <v>4487</v>
      </c>
      <c r="X366" t="s">
        <v>4471</v>
      </c>
      <c r="Y366" t="s">
        <v>4468</v>
      </c>
      <c r="Z366" t="s">
        <v>1015</v>
      </c>
      <c r="AA366" t="s">
        <v>4522</v>
      </c>
      <c r="AB366" t="s">
        <v>4521</v>
      </c>
      <c r="AC366" t="s">
        <v>61</v>
      </c>
      <c r="AD366" t="s">
        <v>19</v>
      </c>
      <c r="AE366" t="s">
        <v>19</v>
      </c>
      <c r="AF366" t="s">
        <v>5418</v>
      </c>
      <c r="AG366" t="s">
        <v>5419</v>
      </c>
      <c r="AH366" t="s">
        <v>22</v>
      </c>
      <c r="AI366" t="s">
        <v>22</v>
      </c>
      <c r="AJ366" t="s">
        <v>22</v>
      </c>
      <c r="AK366" t="s">
        <v>22</v>
      </c>
    </row>
    <row r="367" spans="1:37" ht="11.25" customHeight="1">
      <c r="A367" t="s">
        <v>22</v>
      </c>
      <c r="B367" t="s">
        <v>48</v>
      </c>
      <c r="C367" t="s">
        <v>50</v>
      </c>
      <c r="D367" t="s">
        <v>22</v>
      </c>
      <c r="E367" t="s">
        <v>5392</v>
      </c>
      <c r="F367" t="s">
        <v>1104</v>
      </c>
      <c r="G367" t="s">
        <v>99</v>
      </c>
      <c r="H367" t="s">
        <v>99</v>
      </c>
      <c r="I367" t="s">
        <v>100</v>
      </c>
      <c r="J367" t="s">
        <v>1059</v>
      </c>
      <c r="K367" t="s">
        <v>1060</v>
      </c>
      <c r="L367" t="s">
        <v>5420</v>
      </c>
      <c r="M367" t="s">
        <v>5421</v>
      </c>
      <c r="N367" t="s">
        <v>114</v>
      </c>
      <c r="O367" t="s">
        <v>4520</v>
      </c>
      <c r="P367" t="s">
        <v>4520</v>
      </c>
      <c r="Q367" t="s">
        <v>100</v>
      </c>
      <c r="R367" t="s">
        <v>1059</v>
      </c>
      <c r="S367" t="s">
        <v>1060</v>
      </c>
      <c r="T367" t="s">
        <v>4606</v>
      </c>
      <c r="U367" t="s">
        <v>4793</v>
      </c>
      <c r="V367" t="s">
        <v>4733</v>
      </c>
      <c r="W367" t="s">
        <v>4470</v>
      </c>
      <c r="X367" t="s">
        <v>4834</v>
      </c>
      <c r="Y367" t="s">
        <v>4669</v>
      </c>
      <c r="Z367" t="s">
        <v>1015</v>
      </c>
      <c r="AA367" t="s">
        <v>5422</v>
      </c>
      <c r="AB367" t="s">
        <v>4733</v>
      </c>
      <c r="AC367" t="s">
        <v>61</v>
      </c>
      <c r="AD367" t="s">
        <v>19</v>
      </c>
      <c r="AE367" t="s">
        <v>19</v>
      </c>
      <c r="AF367" t="s">
        <v>5423</v>
      </c>
      <c r="AG367" t="s">
        <v>5424</v>
      </c>
      <c r="AH367" t="s">
        <v>22</v>
      </c>
      <c r="AI367" t="s">
        <v>22</v>
      </c>
      <c r="AJ367" t="s">
        <v>22</v>
      </c>
      <c r="AK367" t="s">
        <v>22</v>
      </c>
    </row>
    <row r="368" spans="1:37" ht="11.25" customHeight="1">
      <c r="A368" t="s">
        <v>22</v>
      </c>
      <c r="B368" t="s">
        <v>48</v>
      </c>
      <c r="C368" t="s">
        <v>50</v>
      </c>
      <c r="D368" t="s">
        <v>22</v>
      </c>
      <c r="E368" t="s">
        <v>5392</v>
      </c>
      <c r="F368" t="s">
        <v>1104</v>
      </c>
      <c r="G368" t="s">
        <v>99</v>
      </c>
      <c r="H368" t="s">
        <v>99</v>
      </c>
      <c r="I368" t="s">
        <v>100</v>
      </c>
      <c r="J368" t="s">
        <v>1059</v>
      </c>
      <c r="K368" t="s">
        <v>1060</v>
      </c>
      <c r="L368" t="s">
        <v>5425</v>
      </c>
      <c r="M368" t="s">
        <v>102</v>
      </c>
      <c r="N368" t="s">
        <v>114</v>
      </c>
      <c r="O368" t="s">
        <v>4520</v>
      </c>
      <c r="P368" t="s">
        <v>4520</v>
      </c>
      <c r="Q368" t="s">
        <v>100</v>
      </c>
      <c r="R368" t="s">
        <v>1059</v>
      </c>
      <c r="S368" t="s">
        <v>1060</v>
      </c>
      <c r="T368" t="s">
        <v>4467</v>
      </c>
      <c r="U368" t="s">
        <v>4468</v>
      </c>
      <c r="V368" t="s">
        <v>4521</v>
      </c>
      <c r="W368" t="s">
        <v>4470</v>
      </c>
      <c r="X368" t="s">
        <v>4471</v>
      </c>
      <c r="Y368" t="s">
        <v>4468</v>
      </c>
      <c r="Z368" t="s">
        <v>1015</v>
      </c>
      <c r="AA368" t="s">
        <v>4522</v>
      </c>
      <c r="AB368" t="s">
        <v>4521</v>
      </c>
      <c r="AC368" t="s">
        <v>61</v>
      </c>
      <c r="AD368" t="s">
        <v>19</v>
      </c>
      <c r="AE368" t="s">
        <v>19</v>
      </c>
      <c r="AF368" t="s">
        <v>5426</v>
      </c>
      <c r="AG368" t="s">
        <v>5427</v>
      </c>
      <c r="AH368" t="s">
        <v>22</v>
      </c>
      <c r="AI368" t="s">
        <v>22</v>
      </c>
      <c r="AJ368" t="s">
        <v>22</v>
      </c>
      <c r="AK368" t="s">
        <v>22</v>
      </c>
    </row>
    <row r="369" spans="1:37" ht="11.25" customHeight="1">
      <c r="A369" t="s">
        <v>22</v>
      </c>
      <c r="B369" t="s">
        <v>48</v>
      </c>
      <c r="C369" t="s">
        <v>50</v>
      </c>
      <c r="D369" t="s">
        <v>22</v>
      </c>
      <c r="E369" t="s">
        <v>5392</v>
      </c>
      <c r="F369" t="s">
        <v>1104</v>
      </c>
      <c r="G369" t="s">
        <v>99</v>
      </c>
      <c r="H369" t="s">
        <v>99</v>
      </c>
      <c r="I369" t="s">
        <v>100</v>
      </c>
      <c r="J369" t="s">
        <v>1059</v>
      </c>
      <c r="K369" t="s">
        <v>1060</v>
      </c>
      <c r="L369" t="s">
        <v>4537</v>
      </c>
      <c r="M369" t="s">
        <v>5428</v>
      </c>
      <c r="N369" t="s">
        <v>114</v>
      </c>
      <c r="O369" t="s">
        <v>4520</v>
      </c>
      <c r="P369" t="s">
        <v>4520</v>
      </c>
      <c r="Q369" t="s">
        <v>100</v>
      </c>
      <c r="R369" t="s">
        <v>1059</v>
      </c>
      <c r="S369" t="s">
        <v>1060</v>
      </c>
      <c r="T369" t="s">
        <v>4467</v>
      </c>
      <c r="U369" t="s">
        <v>4468</v>
      </c>
      <c r="V369" t="s">
        <v>4521</v>
      </c>
      <c r="W369" t="s">
        <v>4470</v>
      </c>
      <c r="X369" t="s">
        <v>4471</v>
      </c>
      <c r="Y369" t="s">
        <v>4468</v>
      </c>
      <c r="Z369" t="s">
        <v>1015</v>
      </c>
      <c r="AA369" t="s">
        <v>4522</v>
      </c>
      <c r="AB369" t="s">
        <v>4521</v>
      </c>
      <c r="AC369" t="s">
        <v>61</v>
      </c>
      <c r="AD369" t="s">
        <v>19</v>
      </c>
      <c r="AE369" t="s">
        <v>19</v>
      </c>
      <c r="AF369" t="s">
        <v>4523</v>
      </c>
      <c r="AG369" t="s">
        <v>4532</v>
      </c>
      <c r="AH369" t="s">
        <v>22</v>
      </c>
      <c r="AI369" t="s">
        <v>22</v>
      </c>
      <c r="AJ369" t="s">
        <v>22</v>
      </c>
      <c r="AK369" t="s">
        <v>22</v>
      </c>
    </row>
    <row r="370" spans="1:37" ht="11.25" customHeight="1">
      <c r="A370" t="s">
        <v>22</v>
      </c>
      <c r="B370" t="s">
        <v>48</v>
      </c>
      <c r="C370" t="s">
        <v>50</v>
      </c>
      <c r="D370" t="s">
        <v>22</v>
      </c>
      <c r="E370" t="s">
        <v>5392</v>
      </c>
      <c r="F370" t="s">
        <v>1104</v>
      </c>
      <c r="G370" t="s">
        <v>99</v>
      </c>
      <c r="H370" t="s">
        <v>99</v>
      </c>
      <c r="I370" t="s">
        <v>100</v>
      </c>
      <c r="J370" t="s">
        <v>1059</v>
      </c>
      <c r="K370" t="s">
        <v>1060</v>
      </c>
      <c r="L370" t="s">
        <v>5396</v>
      </c>
      <c r="M370" t="s">
        <v>4566</v>
      </c>
      <c r="N370" t="s">
        <v>114</v>
      </c>
      <c r="O370" t="s">
        <v>4520</v>
      </c>
      <c r="P370" t="s">
        <v>4520</v>
      </c>
      <c r="Q370" t="s">
        <v>100</v>
      </c>
      <c r="R370" t="s">
        <v>1059</v>
      </c>
      <c r="S370" t="s">
        <v>1060</v>
      </c>
      <c r="T370" t="s">
        <v>4467</v>
      </c>
      <c r="U370" t="s">
        <v>4468</v>
      </c>
      <c r="V370" t="s">
        <v>4521</v>
      </c>
      <c r="W370" t="s">
        <v>4470</v>
      </c>
      <c r="X370" t="s">
        <v>4471</v>
      </c>
      <c r="Y370" t="s">
        <v>4468</v>
      </c>
      <c r="Z370" t="s">
        <v>1015</v>
      </c>
      <c r="AA370" t="s">
        <v>4522</v>
      </c>
      <c r="AB370" t="s">
        <v>4521</v>
      </c>
      <c r="AC370" t="s">
        <v>61</v>
      </c>
      <c r="AD370" t="s">
        <v>19</v>
      </c>
      <c r="AE370" t="s">
        <v>19</v>
      </c>
      <c r="AF370" t="s">
        <v>4523</v>
      </c>
      <c r="AG370" t="s">
        <v>5429</v>
      </c>
      <c r="AH370" t="s">
        <v>22</v>
      </c>
      <c r="AI370" t="s">
        <v>22</v>
      </c>
      <c r="AJ370" t="s">
        <v>22</v>
      </c>
      <c r="AK370" t="s">
        <v>22</v>
      </c>
    </row>
    <row r="371" spans="1:37" ht="11.25" customHeight="1">
      <c r="A371" t="s">
        <v>22</v>
      </c>
      <c r="B371" t="s">
        <v>48</v>
      </c>
      <c r="C371" t="s">
        <v>50</v>
      </c>
      <c r="D371" t="s">
        <v>22</v>
      </c>
      <c r="E371" t="s">
        <v>5392</v>
      </c>
      <c r="F371" t="s">
        <v>1104</v>
      </c>
      <c r="G371" t="s">
        <v>99</v>
      </c>
      <c r="H371" t="s">
        <v>99</v>
      </c>
      <c r="I371" t="s">
        <v>100</v>
      </c>
      <c r="J371" t="s">
        <v>1059</v>
      </c>
      <c r="K371" t="s">
        <v>1060</v>
      </c>
      <c r="L371" t="s">
        <v>4537</v>
      </c>
      <c r="M371" t="s">
        <v>4697</v>
      </c>
      <c r="N371" t="s">
        <v>114</v>
      </c>
      <c r="O371" t="s">
        <v>4520</v>
      </c>
      <c r="P371" t="s">
        <v>4520</v>
      </c>
      <c r="Q371" t="s">
        <v>100</v>
      </c>
      <c r="R371" t="s">
        <v>1059</v>
      </c>
      <c r="S371" t="s">
        <v>1060</v>
      </c>
      <c r="T371" t="s">
        <v>4606</v>
      </c>
      <c r="U371" t="s">
        <v>4793</v>
      </c>
      <c r="V371" t="s">
        <v>4733</v>
      </c>
      <c r="W371" t="s">
        <v>4470</v>
      </c>
      <c r="X371" t="s">
        <v>4834</v>
      </c>
      <c r="Y371" t="s">
        <v>4669</v>
      </c>
      <c r="Z371" t="s">
        <v>1015</v>
      </c>
      <c r="AA371" t="s">
        <v>5430</v>
      </c>
      <c r="AB371" t="s">
        <v>4733</v>
      </c>
      <c r="AC371" t="s">
        <v>61</v>
      </c>
      <c r="AD371" t="s">
        <v>19</v>
      </c>
      <c r="AE371" t="s">
        <v>19</v>
      </c>
      <c r="AF371" t="s">
        <v>162</v>
      </c>
      <c r="AG371" t="s">
        <v>387</v>
      </c>
      <c r="AH371" t="s">
        <v>22</v>
      </c>
      <c r="AI371" t="s">
        <v>22</v>
      </c>
      <c r="AJ371" t="s">
        <v>22</v>
      </c>
      <c r="AK371" t="s">
        <v>22</v>
      </c>
    </row>
    <row r="372" spans="1:37" ht="11.25" customHeight="1">
      <c r="A372" t="s">
        <v>22</v>
      </c>
      <c r="B372" t="s">
        <v>48</v>
      </c>
      <c r="C372" t="s">
        <v>50</v>
      </c>
      <c r="D372" t="s">
        <v>22</v>
      </c>
      <c r="E372" t="s">
        <v>5392</v>
      </c>
      <c r="F372" t="s">
        <v>1104</v>
      </c>
      <c r="G372" t="s">
        <v>99</v>
      </c>
      <c r="H372" t="s">
        <v>99</v>
      </c>
      <c r="I372" t="s">
        <v>100</v>
      </c>
      <c r="J372" t="s">
        <v>1059</v>
      </c>
      <c r="K372" t="s">
        <v>1060</v>
      </c>
      <c r="L372" t="s">
        <v>4537</v>
      </c>
      <c r="M372" t="s">
        <v>5431</v>
      </c>
      <c r="N372" t="s">
        <v>114</v>
      </c>
      <c r="O372" t="s">
        <v>4520</v>
      </c>
      <c r="P372" t="s">
        <v>4520</v>
      </c>
      <c r="Q372" t="s">
        <v>100</v>
      </c>
      <c r="R372" t="s">
        <v>1059</v>
      </c>
      <c r="S372" t="s">
        <v>1060</v>
      </c>
      <c r="T372" t="s">
        <v>4467</v>
      </c>
      <c r="U372" t="s">
        <v>4468</v>
      </c>
      <c r="V372" t="s">
        <v>4521</v>
      </c>
      <c r="W372" t="s">
        <v>4470</v>
      </c>
      <c r="X372" t="s">
        <v>4471</v>
      </c>
      <c r="Y372" t="s">
        <v>4468</v>
      </c>
      <c r="Z372" t="s">
        <v>1015</v>
      </c>
      <c r="AA372" t="s">
        <v>4522</v>
      </c>
      <c r="AB372" t="s">
        <v>4521</v>
      </c>
      <c r="AC372" t="s">
        <v>61</v>
      </c>
      <c r="AD372" t="s">
        <v>19</v>
      </c>
      <c r="AE372" t="s">
        <v>19</v>
      </c>
      <c r="AF372" t="s">
        <v>906</v>
      </c>
      <c r="AG372" t="s">
        <v>387</v>
      </c>
      <c r="AH372" t="s">
        <v>22</v>
      </c>
      <c r="AI372" t="s">
        <v>22</v>
      </c>
      <c r="AJ372" t="s">
        <v>22</v>
      </c>
      <c r="AK372" t="s">
        <v>22</v>
      </c>
    </row>
    <row r="373" spans="1:37" ht="11.25" customHeight="1">
      <c r="A373" t="s">
        <v>22</v>
      </c>
      <c r="B373" t="s">
        <v>48</v>
      </c>
      <c r="C373" t="s">
        <v>50</v>
      </c>
      <c r="D373" t="s">
        <v>22</v>
      </c>
      <c r="E373" t="s">
        <v>5392</v>
      </c>
      <c r="F373" t="s">
        <v>1104</v>
      </c>
      <c r="G373" t="s">
        <v>99</v>
      </c>
      <c r="H373" t="s">
        <v>99</v>
      </c>
      <c r="I373" t="s">
        <v>100</v>
      </c>
      <c r="J373" t="s">
        <v>1059</v>
      </c>
      <c r="K373" t="s">
        <v>1060</v>
      </c>
      <c r="L373" t="s">
        <v>5432</v>
      </c>
      <c r="M373" t="s">
        <v>1743</v>
      </c>
      <c r="N373" t="s">
        <v>114</v>
      </c>
      <c r="O373" t="s">
        <v>4520</v>
      </c>
      <c r="P373" t="s">
        <v>4520</v>
      </c>
      <c r="Q373" t="s">
        <v>100</v>
      </c>
      <c r="R373" t="s">
        <v>1059</v>
      </c>
      <c r="S373" t="s">
        <v>1060</v>
      </c>
      <c r="T373" t="s">
        <v>4467</v>
      </c>
      <c r="U373" t="s">
        <v>4468</v>
      </c>
      <c r="V373" t="s">
        <v>4521</v>
      </c>
      <c r="W373" t="s">
        <v>4470</v>
      </c>
      <c r="X373" t="s">
        <v>4471</v>
      </c>
      <c r="Y373" t="s">
        <v>4468</v>
      </c>
      <c r="Z373" t="s">
        <v>1015</v>
      </c>
      <c r="AA373" t="s">
        <v>4522</v>
      </c>
      <c r="AB373" t="s">
        <v>4521</v>
      </c>
      <c r="AC373" t="s">
        <v>61</v>
      </c>
      <c r="AD373" t="s">
        <v>19</v>
      </c>
      <c r="AE373" t="s">
        <v>19</v>
      </c>
      <c r="AF373" t="s">
        <v>4550</v>
      </c>
      <c r="AG373" t="s">
        <v>5433</v>
      </c>
      <c r="AH373" t="s">
        <v>22</v>
      </c>
      <c r="AI373" t="s">
        <v>22</v>
      </c>
      <c r="AJ373" t="s">
        <v>22</v>
      </c>
      <c r="AK373" t="s">
        <v>22</v>
      </c>
    </row>
    <row r="374" spans="1:37" ht="11.25" customHeight="1">
      <c r="A374" t="s">
        <v>22</v>
      </c>
      <c r="B374" t="s">
        <v>48</v>
      </c>
      <c r="C374" t="s">
        <v>50</v>
      </c>
      <c r="D374" t="s">
        <v>22</v>
      </c>
      <c r="E374" t="s">
        <v>5392</v>
      </c>
      <c r="F374" t="s">
        <v>1104</v>
      </c>
      <c r="G374" t="s">
        <v>99</v>
      </c>
      <c r="H374" t="s">
        <v>99</v>
      </c>
      <c r="I374" t="s">
        <v>100</v>
      </c>
      <c r="J374" t="s">
        <v>1059</v>
      </c>
      <c r="K374" t="s">
        <v>1060</v>
      </c>
      <c r="L374" t="s">
        <v>5434</v>
      </c>
      <c r="M374" t="s">
        <v>5435</v>
      </c>
      <c r="N374" t="s">
        <v>114</v>
      </c>
      <c r="O374" t="s">
        <v>4520</v>
      </c>
      <c r="P374" t="s">
        <v>4520</v>
      </c>
      <c r="Q374" t="s">
        <v>100</v>
      </c>
      <c r="R374" t="s">
        <v>1059</v>
      </c>
      <c r="S374" t="s">
        <v>1060</v>
      </c>
      <c r="T374" t="s">
        <v>4467</v>
      </c>
      <c r="U374" t="s">
        <v>4468</v>
      </c>
      <c r="V374" t="s">
        <v>4521</v>
      </c>
      <c r="W374" t="s">
        <v>4470</v>
      </c>
      <c r="X374" t="s">
        <v>4471</v>
      </c>
      <c r="Y374" t="s">
        <v>4468</v>
      </c>
      <c r="Z374" t="s">
        <v>1015</v>
      </c>
      <c r="AA374" t="s">
        <v>4522</v>
      </c>
      <c r="AB374" t="s">
        <v>4521</v>
      </c>
      <c r="AC374" t="s">
        <v>61</v>
      </c>
      <c r="AD374" t="s">
        <v>19</v>
      </c>
      <c r="AE374" t="s">
        <v>19</v>
      </c>
      <c r="AF374" t="s">
        <v>4942</v>
      </c>
      <c r="AG374" t="s">
        <v>387</v>
      </c>
      <c r="AH374" t="s">
        <v>22</v>
      </c>
      <c r="AI374" t="s">
        <v>22</v>
      </c>
      <c r="AJ374" t="s">
        <v>22</v>
      </c>
      <c r="AK374" t="s">
        <v>22</v>
      </c>
    </row>
    <row r="375" spans="1:37" ht="11.25" customHeight="1">
      <c r="A375" t="s">
        <v>22</v>
      </c>
      <c r="B375" t="s">
        <v>48</v>
      </c>
      <c r="C375" t="s">
        <v>50</v>
      </c>
      <c r="D375" t="s">
        <v>22</v>
      </c>
      <c r="E375" t="s">
        <v>5392</v>
      </c>
      <c r="F375" t="s">
        <v>1104</v>
      </c>
      <c r="G375" t="s">
        <v>99</v>
      </c>
      <c r="H375" t="s">
        <v>99</v>
      </c>
      <c r="I375" t="s">
        <v>100</v>
      </c>
      <c r="J375" t="s">
        <v>1059</v>
      </c>
      <c r="K375" t="s">
        <v>1060</v>
      </c>
      <c r="L375" t="s">
        <v>5413</v>
      </c>
      <c r="M375" t="s">
        <v>5436</v>
      </c>
      <c r="N375" t="s">
        <v>114</v>
      </c>
      <c r="O375" t="s">
        <v>4520</v>
      </c>
      <c r="P375" t="s">
        <v>4520</v>
      </c>
      <c r="Q375" t="s">
        <v>100</v>
      </c>
      <c r="R375" t="s">
        <v>1059</v>
      </c>
      <c r="S375" t="s">
        <v>1060</v>
      </c>
      <c r="T375" t="s">
        <v>4467</v>
      </c>
      <c r="U375" t="s">
        <v>4468</v>
      </c>
      <c r="V375" t="s">
        <v>4521</v>
      </c>
      <c r="W375" t="s">
        <v>4470</v>
      </c>
      <c r="X375" t="s">
        <v>4471</v>
      </c>
      <c r="Y375" t="s">
        <v>4468</v>
      </c>
      <c r="Z375" t="s">
        <v>1015</v>
      </c>
      <c r="AA375" t="s">
        <v>4522</v>
      </c>
      <c r="AB375" t="s">
        <v>4521</v>
      </c>
      <c r="AC375" t="s">
        <v>61</v>
      </c>
      <c r="AD375" t="s">
        <v>19</v>
      </c>
      <c r="AE375" t="s">
        <v>19</v>
      </c>
      <c r="AF375" t="s">
        <v>5437</v>
      </c>
      <c r="AG375" t="s">
        <v>5438</v>
      </c>
      <c r="AH375" t="s">
        <v>22</v>
      </c>
      <c r="AI375" t="s">
        <v>22</v>
      </c>
      <c r="AJ375" t="s">
        <v>22</v>
      </c>
      <c r="AK375" t="s">
        <v>22</v>
      </c>
    </row>
    <row r="376" spans="1:37" ht="11.25" customHeight="1">
      <c r="A376" t="s">
        <v>22</v>
      </c>
      <c r="B376" t="s">
        <v>48</v>
      </c>
      <c r="C376" t="s">
        <v>50</v>
      </c>
      <c r="D376" t="s">
        <v>22</v>
      </c>
      <c r="E376" t="s">
        <v>5392</v>
      </c>
      <c r="F376" t="s">
        <v>1104</v>
      </c>
      <c r="G376" t="s">
        <v>99</v>
      </c>
      <c r="H376" t="s">
        <v>99</v>
      </c>
      <c r="I376" t="s">
        <v>100</v>
      </c>
      <c r="J376" t="s">
        <v>1059</v>
      </c>
      <c r="K376" t="s">
        <v>1060</v>
      </c>
      <c r="L376" t="s">
        <v>5413</v>
      </c>
      <c r="M376" t="s">
        <v>5439</v>
      </c>
      <c r="N376" t="s">
        <v>114</v>
      </c>
      <c r="O376" t="s">
        <v>4520</v>
      </c>
      <c r="P376" t="s">
        <v>4520</v>
      </c>
      <c r="Q376" t="s">
        <v>100</v>
      </c>
      <c r="R376" t="s">
        <v>1059</v>
      </c>
      <c r="S376" t="s">
        <v>1060</v>
      </c>
      <c r="T376" t="s">
        <v>4467</v>
      </c>
      <c r="U376" t="s">
        <v>4468</v>
      </c>
      <c r="V376" t="s">
        <v>4521</v>
      </c>
      <c r="W376" t="s">
        <v>4470</v>
      </c>
      <c r="X376" t="s">
        <v>4471</v>
      </c>
      <c r="Y376" t="s">
        <v>4468</v>
      </c>
      <c r="Z376" t="s">
        <v>1015</v>
      </c>
      <c r="AA376" t="s">
        <v>4522</v>
      </c>
      <c r="AB376" t="s">
        <v>4521</v>
      </c>
      <c r="AC376" t="s">
        <v>61</v>
      </c>
      <c r="AD376" t="s">
        <v>19</v>
      </c>
      <c r="AE376" t="s">
        <v>19</v>
      </c>
      <c r="AF376" t="s">
        <v>4820</v>
      </c>
      <c r="AG376" t="s">
        <v>387</v>
      </c>
      <c r="AH376" t="s">
        <v>22</v>
      </c>
      <c r="AI376" t="s">
        <v>22</v>
      </c>
      <c r="AJ376" t="s">
        <v>22</v>
      </c>
      <c r="AK376" t="s">
        <v>22</v>
      </c>
    </row>
    <row r="377" spans="1:37" ht="11.25" customHeight="1">
      <c r="A377" t="s">
        <v>22</v>
      </c>
      <c r="B377" t="s">
        <v>48</v>
      </c>
      <c r="C377" t="s">
        <v>50</v>
      </c>
      <c r="D377" t="s">
        <v>22</v>
      </c>
      <c r="E377" t="s">
        <v>5392</v>
      </c>
      <c r="F377" t="s">
        <v>1104</v>
      </c>
      <c r="G377" t="s">
        <v>99</v>
      </c>
      <c r="H377" t="s">
        <v>99</v>
      </c>
      <c r="I377" t="s">
        <v>100</v>
      </c>
      <c r="J377" t="s">
        <v>1059</v>
      </c>
      <c r="K377" t="s">
        <v>1060</v>
      </c>
      <c r="L377" t="s">
        <v>5440</v>
      </c>
      <c r="M377" t="s">
        <v>1736</v>
      </c>
      <c r="N377" t="s">
        <v>114</v>
      </c>
      <c r="O377" t="s">
        <v>4520</v>
      </c>
      <c r="P377" t="s">
        <v>4520</v>
      </c>
      <c r="Q377" t="s">
        <v>100</v>
      </c>
      <c r="R377" t="s">
        <v>1059</v>
      </c>
      <c r="S377" t="s">
        <v>1060</v>
      </c>
      <c r="T377" t="s">
        <v>4467</v>
      </c>
      <c r="U377" t="s">
        <v>4468</v>
      </c>
      <c r="V377" t="s">
        <v>4521</v>
      </c>
      <c r="W377" t="s">
        <v>4470</v>
      </c>
      <c r="X377" t="s">
        <v>4471</v>
      </c>
      <c r="Y377" t="s">
        <v>4468</v>
      </c>
      <c r="Z377" t="s">
        <v>1015</v>
      </c>
      <c r="AA377" t="s">
        <v>4522</v>
      </c>
      <c r="AB377" t="s">
        <v>4521</v>
      </c>
      <c r="AC377" t="s">
        <v>61</v>
      </c>
      <c r="AD377" t="s">
        <v>19</v>
      </c>
      <c r="AE377" t="s">
        <v>19</v>
      </c>
      <c r="AF377" t="s">
        <v>4942</v>
      </c>
      <c r="AG377" t="s">
        <v>5441</v>
      </c>
      <c r="AH377" t="s">
        <v>22</v>
      </c>
      <c r="AI377" t="s">
        <v>22</v>
      </c>
      <c r="AJ377" t="s">
        <v>22</v>
      </c>
      <c r="AK377" t="s">
        <v>22</v>
      </c>
    </row>
    <row r="378" spans="1:37" ht="11.25" customHeight="1">
      <c r="A378" t="s">
        <v>22</v>
      </c>
      <c r="B378" t="s">
        <v>48</v>
      </c>
      <c r="C378" t="s">
        <v>50</v>
      </c>
      <c r="D378" t="s">
        <v>22</v>
      </c>
      <c r="E378" t="s">
        <v>5392</v>
      </c>
      <c r="F378" t="s">
        <v>1104</v>
      </c>
      <c r="G378" t="s">
        <v>99</v>
      </c>
      <c r="H378" t="s">
        <v>99</v>
      </c>
      <c r="I378" t="s">
        <v>100</v>
      </c>
      <c r="J378" t="s">
        <v>1059</v>
      </c>
      <c r="K378" t="s">
        <v>1060</v>
      </c>
      <c r="L378" t="s">
        <v>4646</v>
      </c>
      <c r="M378" t="s">
        <v>5435</v>
      </c>
      <c r="N378" t="s">
        <v>114</v>
      </c>
      <c r="O378" t="s">
        <v>4520</v>
      </c>
      <c r="P378" t="s">
        <v>4520</v>
      </c>
      <c r="Q378" t="s">
        <v>100</v>
      </c>
      <c r="R378" t="s">
        <v>1059</v>
      </c>
      <c r="S378" t="s">
        <v>1060</v>
      </c>
      <c r="T378" t="s">
        <v>4467</v>
      </c>
      <c r="U378" t="s">
        <v>4468</v>
      </c>
      <c r="V378" t="s">
        <v>4521</v>
      </c>
      <c r="W378" t="s">
        <v>4470</v>
      </c>
      <c r="X378" t="s">
        <v>4471</v>
      </c>
      <c r="Y378" t="s">
        <v>4468</v>
      </c>
      <c r="Z378" t="s">
        <v>1015</v>
      </c>
      <c r="AA378" t="s">
        <v>4522</v>
      </c>
      <c r="AB378" t="s">
        <v>4521</v>
      </c>
      <c r="AC378" t="s">
        <v>61</v>
      </c>
      <c r="AD378" t="s">
        <v>19</v>
      </c>
      <c r="AE378" t="s">
        <v>19</v>
      </c>
      <c r="AF378" t="s">
        <v>4935</v>
      </c>
      <c r="AG378" t="s">
        <v>2226</v>
      </c>
      <c r="AH378" t="s">
        <v>22</v>
      </c>
      <c r="AI378" t="s">
        <v>22</v>
      </c>
      <c r="AJ378" t="s">
        <v>22</v>
      </c>
      <c r="AK378" t="s">
        <v>22</v>
      </c>
    </row>
    <row r="379" spans="1:37" ht="11.25" customHeight="1">
      <c r="A379" t="s">
        <v>22</v>
      </c>
      <c r="B379" t="s">
        <v>48</v>
      </c>
      <c r="C379" t="s">
        <v>50</v>
      </c>
      <c r="D379" t="s">
        <v>22</v>
      </c>
      <c r="E379" t="s">
        <v>5392</v>
      </c>
      <c r="F379" t="s">
        <v>1104</v>
      </c>
      <c r="G379" t="s">
        <v>99</v>
      </c>
      <c r="H379" t="s">
        <v>99</v>
      </c>
      <c r="I379" t="s">
        <v>100</v>
      </c>
      <c r="J379" t="s">
        <v>1059</v>
      </c>
      <c r="K379" t="s">
        <v>1060</v>
      </c>
      <c r="L379" t="s">
        <v>5442</v>
      </c>
      <c r="M379" t="s">
        <v>1120</v>
      </c>
      <c r="N379" t="s">
        <v>114</v>
      </c>
      <c r="O379" t="s">
        <v>4520</v>
      </c>
      <c r="P379" t="s">
        <v>4520</v>
      </c>
      <c r="Q379" t="s">
        <v>100</v>
      </c>
      <c r="R379" t="s">
        <v>1059</v>
      </c>
      <c r="S379" t="s">
        <v>1060</v>
      </c>
      <c r="T379" t="s">
        <v>4606</v>
      </c>
      <c r="U379" t="s">
        <v>4793</v>
      </c>
      <c r="V379" t="s">
        <v>4733</v>
      </c>
      <c r="W379" t="s">
        <v>4470</v>
      </c>
      <c r="X379" t="s">
        <v>4834</v>
      </c>
      <c r="Y379" t="s">
        <v>4669</v>
      </c>
      <c r="Z379" t="s">
        <v>1015</v>
      </c>
      <c r="AA379" t="s">
        <v>5443</v>
      </c>
      <c r="AB379" t="s">
        <v>4733</v>
      </c>
      <c r="AC379" t="s">
        <v>61</v>
      </c>
      <c r="AD379" t="s">
        <v>19</v>
      </c>
      <c r="AE379" t="s">
        <v>19</v>
      </c>
      <c r="AF379" t="s">
        <v>4523</v>
      </c>
      <c r="AG379" t="s">
        <v>5444</v>
      </c>
      <c r="AH379" t="s">
        <v>22</v>
      </c>
      <c r="AI379" t="s">
        <v>22</v>
      </c>
      <c r="AJ379" t="s">
        <v>22</v>
      </c>
      <c r="AK379" t="s">
        <v>22</v>
      </c>
    </row>
    <row r="380" spans="1:37" ht="11.25" customHeight="1">
      <c r="A380" t="s">
        <v>22</v>
      </c>
      <c r="B380" t="s">
        <v>48</v>
      </c>
      <c r="C380" t="s">
        <v>50</v>
      </c>
      <c r="D380" t="s">
        <v>22</v>
      </c>
      <c r="E380" t="s">
        <v>5392</v>
      </c>
      <c r="F380" t="s">
        <v>1104</v>
      </c>
      <c r="G380" t="s">
        <v>99</v>
      </c>
      <c r="H380" t="s">
        <v>99</v>
      </c>
      <c r="I380" t="s">
        <v>100</v>
      </c>
      <c r="J380" t="s">
        <v>1059</v>
      </c>
      <c r="K380" t="s">
        <v>1060</v>
      </c>
      <c r="L380" t="s">
        <v>4646</v>
      </c>
      <c r="M380" t="s">
        <v>165</v>
      </c>
      <c r="N380" t="s">
        <v>114</v>
      </c>
      <c r="O380" t="s">
        <v>4520</v>
      </c>
      <c r="P380" t="s">
        <v>4520</v>
      </c>
      <c r="Q380" t="s">
        <v>100</v>
      </c>
      <c r="R380" t="s">
        <v>1059</v>
      </c>
      <c r="S380" t="s">
        <v>1060</v>
      </c>
      <c r="T380" t="s">
        <v>4606</v>
      </c>
      <c r="U380" t="s">
        <v>4793</v>
      </c>
      <c r="V380" t="s">
        <v>4733</v>
      </c>
      <c r="W380" t="s">
        <v>4470</v>
      </c>
      <c r="X380" t="s">
        <v>4834</v>
      </c>
      <c r="Y380" t="s">
        <v>4669</v>
      </c>
      <c r="Z380" t="s">
        <v>1015</v>
      </c>
      <c r="AA380" t="s">
        <v>5445</v>
      </c>
      <c r="AB380" t="s">
        <v>4733</v>
      </c>
      <c r="AC380" t="s">
        <v>61</v>
      </c>
      <c r="AD380" t="s">
        <v>19</v>
      </c>
      <c r="AE380" t="s">
        <v>19</v>
      </c>
      <c r="AF380" t="s">
        <v>4583</v>
      </c>
      <c r="AG380" t="s">
        <v>5446</v>
      </c>
      <c r="AH380" t="s">
        <v>22</v>
      </c>
      <c r="AI380" t="s">
        <v>22</v>
      </c>
      <c r="AJ380" t="s">
        <v>22</v>
      </c>
      <c r="AK380" t="s">
        <v>22</v>
      </c>
    </row>
    <row r="381" spans="1:37" ht="11.25" customHeight="1">
      <c r="A381" t="s">
        <v>22</v>
      </c>
      <c r="B381" t="s">
        <v>48</v>
      </c>
      <c r="C381" t="s">
        <v>50</v>
      </c>
      <c r="D381" t="s">
        <v>22</v>
      </c>
      <c r="E381" t="s">
        <v>5392</v>
      </c>
      <c r="F381" t="s">
        <v>1104</v>
      </c>
      <c r="G381" t="s">
        <v>99</v>
      </c>
      <c r="H381" t="s">
        <v>99</v>
      </c>
      <c r="I381" t="s">
        <v>100</v>
      </c>
      <c r="J381" t="s">
        <v>1059</v>
      </c>
      <c r="K381" t="s">
        <v>1060</v>
      </c>
      <c r="L381" t="s">
        <v>5447</v>
      </c>
      <c r="M381" t="s">
        <v>116</v>
      </c>
      <c r="N381" t="s">
        <v>114</v>
      </c>
      <c r="O381" t="s">
        <v>4520</v>
      </c>
      <c r="P381" t="s">
        <v>4520</v>
      </c>
      <c r="Q381" t="s">
        <v>100</v>
      </c>
      <c r="R381" t="s">
        <v>1059</v>
      </c>
      <c r="S381" t="s">
        <v>1060</v>
      </c>
      <c r="T381" t="s">
        <v>4467</v>
      </c>
      <c r="U381" t="s">
        <v>4468</v>
      </c>
      <c r="V381" t="s">
        <v>4521</v>
      </c>
      <c r="W381" t="s">
        <v>4470</v>
      </c>
      <c r="X381" t="s">
        <v>4471</v>
      </c>
      <c r="Y381" t="s">
        <v>4468</v>
      </c>
      <c r="Z381" t="s">
        <v>1015</v>
      </c>
      <c r="AA381" t="s">
        <v>4522</v>
      </c>
      <c r="AB381" t="s">
        <v>4521</v>
      </c>
      <c r="AC381" t="s">
        <v>61</v>
      </c>
      <c r="AD381" t="s">
        <v>19</v>
      </c>
      <c r="AE381" t="s">
        <v>19</v>
      </c>
      <c r="AF381" t="s">
        <v>4523</v>
      </c>
      <c r="AG381" t="s">
        <v>5448</v>
      </c>
      <c r="AH381" t="s">
        <v>22</v>
      </c>
      <c r="AI381" t="s">
        <v>22</v>
      </c>
      <c r="AJ381" t="s">
        <v>22</v>
      </c>
      <c r="AK381" t="s">
        <v>22</v>
      </c>
    </row>
    <row r="382" spans="1:37" ht="11.25" customHeight="1">
      <c r="A382" t="s">
        <v>22</v>
      </c>
      <c r="B382" t="s">
        <v>48</v>
      </c>
      <c r="C382" t="s">
        <v>50</v>
      </c>
      <c r="D382" t="s">
        <v>22</v>
      </c>
      <c r="E382" t="s">
        <v>5392</v>
      </c>
      <c r="F382" t="s">
        <v>1104</v>
      </c>
      <c r="G382" t="s">
        <v>99</v>
      </c>
      <c r="H382" t="s">
        <v>99</v>
      </c>
      <c r="I382" t="s">
        <v>100</v>
      </c>
      <c r="J382" t="s">
        <v>1059</v>
      </c>
      <c r="K382" t="s">
        <v>1060</v>
      </c>
      <c r="L382" t="s">
        <v>5449</v>
      </c>
      <c r="M382" t="s">
        <v>4619</v>
      </c>
      <c r="N382" t="s">
        <v>114</v>
      </c>
      <c r="O382" t="s">
        <v>4520</v>
      </c>
      <c r="P382" t="s">
        <v>4520</v>
      </c>
      <c r="Q382" t="s">
        <v>100</v>
      </c>
      <c r="R382" t="s">
        <v>1059</v>
      </c>
      <c r="S382" t="s">
        <v>1060</v>
      </c>
      <c r="T382" t="s">
        <v>4467</v>
      </c>
      <c r="U382" t="s">
        <v>4468</v>
      </c>
      <c r="V382" t="s">
        <v>4521</v>
      </c>
      <c r="W382" t="s">
        <v>4470</v>
      </c>
      <c r="X382" t="s">
        <v>4471</v>
      </c>
      <c r="Y382" t="s">
        <v>4468</v>
      </c>
      <c r="Z382" t="s">
        <v>1015</v>
      </c>
      <c r="AA382" t="s">
        <v>4522</v>
      </c>
      <c r="AB382" t="s">
        <v>4521</v>
      </c>
      <c r="AC382" t="s">
        <v>61</v>
      </c>
      <c r="AD382" t="s">
        <v>19</v>
      </c>
      <c r="AE382" t="s">
        <v>19</v>
      </c>
      <c r="AF382" t="s">
        <v>1823</v>
      </c>
      <c r="AG382" t="s">
        <v>5450</v>
      </c>
      <c r="AH382" t="s">
        <v>22</v>
      </c>
      <c r="AI382" t="s">
        <v>22</v>
      </c>
      <c r="AJ382" t="s">
        <v>22</v>
      </c>
      <c r="AK382" t="s">
        <v>22</v>
      </c>
    </row>
    <row r="383" spans="1:37" ht="11.25" customHeight="1">
      <c r="A383" t="s">
        <v>22</v>
      </c>
      <c r="B383" t="s">
        <v>48</v>
      </c>
      <c r="C383" t="s">
        <v>50</v>
      </c>
      <c r="D383" t="s">
        <v>22</v>
      </c>
      <c r="E383" t="s">
        <v>5392</v>
      </c>
      <c r="F383" t="s">
        <v>1104</v>
      </c>
      <c r="G383" t="s">
        <v>99</v>
      </c>
      <c r="H383" t="s">
        <v>99</v>
      </c>
      <c r="I383" t="s">
        <v>100</v>
      </c>
      <c r="J383" t="s">
        <v>1059</v>
      </c>
      <c r="K383" t="s">
        <v>1060</v>
      </c>
      <c r="L383" t="s">
        <v>5451</v>
      </c>
      <c r="M383" t="s">
        <v>4712</v>
      </c>
      <c r="N383" t="s">
        <v>114</v>
      </c>
      <c r="O383" t="s">
        <v>4520</v>
      </c>
      <c r="P383" t="s">
        <v>4520</v>
      </c>
      <c r="Q383" t="s">
        <v>100</v>
      </c>
      <c r="R383" t="s">
        <v>1059</v>
      </c>
      <c r="S383" t="s">
        <v>1060</v>
      </c>
      <c r="T383" t="s">
        <v>4606</v>
      </c>
      <c r="U383" t="s">
        <v>4793</v>
      </c>
      <c r="V383" t="s">
        <v>586</v>
      </c>
      <c r="W383" t="s">
        <v>4470</v>
      </c>
      <c r="X383" t="s">
        <v>4834</v>
      </c>
      <c r="Y383" t="s">
        <v>4669</v>
      </c>
      <c r="Z383" t="s">
        <v>1015</v>
      </c>
      <c r="AA383" t="s">
        <v>5452</v>
      </c>
      <c r="AB383" t="s">
        <v>4733</v>
      </c>
      <c r="AC383" t="s">
        <v>61</v>
      </c>
      <c r="AD383" t="s">
        <v>19</v>
      </c>
      <c r="AE383" t="s">
        <v>19</v>
      </c>
      <c r="AF383" t="s">
        <v>1736</v>
      </c>
      <c r="AG383" t="s">
        <v>5453</v>
      </c>
      <c r="AH383" t="s">
        <v>22</v>
      </c>
      <c r="AI383" t="s">
        <v>22</v>
      </c>
      <c r="AJ383" t="s">
        <v>22</v>
      </c>
      <c r="AK383" t="s">
        <v>22</v>
      </c>
    </row>
    <row r="384" spans="1:37" ht="11.25" customHeight="1">
      <c r="A384" t="s">
        <v>22</v>
      </c>
      <c r="B384" t="s">
        <v>48</v>
      </c>
      <c r="C384" t="s">
        <v>50</v>
      </c>
      <c r="D384" t="s">
        <v>22</v>
      </c>
      <c r="E384" t="s">
        <v>5392</v>
      </c>
      <c r="F384" t="s">
        <v>1104</v>
      </c>
      <c r="G384" t="s">
        <v>99</v>
      </c>
      <c r="H384" t="s">
        <v>99</v>
      </c>
      <c r="I384" t="s">
        <v>100</v>
      </c>
      <c r="J384" t="s">
        <v>1059</v>
      </c>
      <c r="K384" t="s">
        <v>1060</v>
      </c>
      <c r="L384" t="s">
        <v>5454</v>
      </c>
      <c r="M384" t="s">
        <v>4627</v>
      </c>
      <c r="N384" t="s">
        <v>114</v>
      </c>
      <c r="O384" t="s">
        <v>4520</v>
      </c>
      <c r="P384" t="s">
        <v>4520</v>
      </c>
      <c r="Q384" t="s">
        <v>100</v>
      </c>
      <c r="R384" t="s">
        <v>1059</v>
      </c>
      <c r="S384" t="s">
        <v>1060</v>
      </c>
      <c r="T384" t="s">
        <v>4467</v>
      </c>
      <c r="U384" t="s">
        <v>4468</v>
      </c>
      <c r="V384" t="s">
        <v>4521</v>
      </c>
      <c r="W384" t="s">
        <v>4470</v>
      </c>
      <c r="X384" t="s">
        <v>4471</v>
      </c>
      <c r="Y384" t="s">
        <v>4468</v>
      </c>
      <c r="Z384" t="s">
        <v>1015</v>
      </c>
      <c r="AA384" t="s">
        <v>4522</v>
      </c>
      <c r="AB384" t="s">
        <v>4521</v>
      </c>
      <c r="AC384" t="s">
        <v>61</v>
      </c>
      <c r="AD384" t="s">
        <v>19</v>
      </c>
      <c r="AE384" t="s">
        <v>19</v>
      </c>
      <c r="AF384" t="s">
        <v>4725</v>
      </c>
      <c r="AG384" t="s">
        <v>5455</v>
      </c>
      <c r="AH384" t="s">
        <v>22</v>
      </c>
      <c r="AI384" t="s">
        <v>22</v>
      </c>
      <c r="AJ384" t="s">
        <v>22</v>
      </c>
      <c r="AK384" t="s">
        <v>22</v>
      </c>
    </row>
    <row r="385" spans="1:37" ht="11.25" customHeight="1">
      <c r="A385" t="s">
        <v>22</v>
      </c>
      <c r="B385" t="s">
        <v>48</v>
      </c>
      <c r="C385" t="s">
        <v>50</v>
      </c>
      <c r="D385" t="s">
        <v>22</v>
      </c>
      <c r="E385" t="s">
        <v>5392</v>
      </c>
      <c r="F385" t="s">
        <v>1104</v>
      </c>
      <c r="G385" t="s">
        <v>99</v>
      </c>
      <c r="H385" t="s">
        <v>99</v>
      </c>
      <c r="I385" t="s">
        <v>100</v>
      </c>
      <c r="J385" t="s">
        <v>1059</v>
      </c>
      <c r="K385" t="s">
        <v>1060</v>
      </c>
      <c r="L385" t="s">
        <v>5456</v>
      </c>
      <c r="M385" t="s">
        <v>1075</v>
      </c>
      <c r="N385" t="s">
        <v>114</v>
      </c>
      <c r="O385" t="s">
        <v>4520</v>
      </c>
      <c r="P385" t="s">
        <v>4520</v>
      </c>
      <c r="Q385" t="s">
        <v>100</v>
      </c>
      <c r="R385" t="s">
        <v>1059</v>
      </c>
      <c r="S385" t="s">
        <v>1060</v>
      </c>
      <c r="T385" t="s">
        <v>4467</v>
      </c>
      <c r="U385" t="s">
        <v>4468</v>
      </c>
      <c r="V385" t="s">
        <v>4521</v>
      </c>
      <c r="W385" t="s">
        <v>4470</v>
      </c>
      <c r="X385" t="s">
        <v>4471</v>
      </c>
      <c r="Y385" t="s">
        <v>4468</v>
      </c>
      <c r="Z385" t="s">
        <v>1015</v>
      </c>
      <c r="AA385" t="s">
        <v>4522</v>
      </c>
      <c r="AB385" t="s">
        <v>4521</v>
      </c>
      <c r="AC385" t="s">
        <v>61</v>
      </c>
      <c r="AD385" t="s">
        <v>19</v>
      </c>
      <c r="AE385" t="s">
        <v>19</v>
      </c>
      <c r="AF385" t="s">
        <v>5457</v>
      </c>
      <c r="AG385" t="s">
        <v>4850</v>
      </c>
      <c r="AH385" t="s">
        <v>22</v>
      </c>
      <c r="AI385" t="s">
        <v>22</v>
      </c>
      <c r="AJ385" t="s">
        <v>22</v>
      </c>
      <c r="AK385" t="s">
        <v>22</v>
      </c>
    </row>
    <row r="386" spans="1:37" ht="11.25" customHeight="1">
      <c r="A386" t="s">
        <v>22</v>
      </c>
      <c r="B386" t="s">
        <v>48</v>
      </c>
      <c r="C386" t="s">
        <v>50</v>
      </c>
      <c r="D386" t="s">
        <v>22</v>
      </c>
      <c r="E386" t="s">
        <v>5392</v>
      </c>
      <c r="F386" t="s">
        <v>1104</v>
      </c>
      <c r="G386" t="s">
        <v>99</v>
      </c>
      <c r="H386" t="s">
        <v>99</v>
      </c>
      <c r="I386" t="s">
        <v>100</v>
      </c>
      <c r="J386" t="s">
        <v>1059</v>
      </c>
      <c r="K386" t="s">
        <v>1060</v>
      </c>
      <c r="L386" t="s">
        <v>5434</v>
      </c>
      <c r="M386" t="s">
        <v>4754</v>
      </c>
      <c r="N386" t="s">
        <v>114</v>
      </c>
      <c r="O386" t="s">
        <v>4520</v>
      </c>
      <c r="P386" t="s">
        <v>4520</v>
      </c>
      <c r="Q386" t="s">
        <v>100</v>
      </c>
      <c r="R386" t="s">
        <v>1059</v>
      </c>
      <c r="S386" t="s">
        <v>1060</v>
      </c>
      <c r="T386" t="s">
        <v>4467</v>
      </c>
      <c r="U386" t="s">
        <v>4468</v>
      </c>
      <c r="V386" t="s">
        <v>4521</v>
      </c>
      <c r="W386" t="s">
        <v>4470</v>
      </c>
      <c r="X386" t="s">
        <v>4471</v>
      </c>
      <c r="Y386" t="s">
        <v>4468</v>
      </c>
      <c r="Z386" t="s">
        <v>1015</v>
      </c>
      <c r="AA386" t="s">
        <v>4522</v>
      </c>
      <c r="AB386" t="s">
        <v>4521</v>
      </c>
      <c r="AC386" t="s">
        <v>61</v>
      </c>
      <c r="AD386" t="s">
        <v>19</v>
      </c>
      <c r="AE386" t="s">
        <v>19</v>
      </c>
      <c r="AF386" t="s">
        <v>5458</v>
      </c>
      <c r="AG386" t="s">
        <v>5459</v>
      </c>
      <c r="AH386" t="s">
        <v>22</v>
      </c>
      <c r="AI386" t="s">
        <v>22</v>
      </c>
      <c r="AJ386" t="s">
        <v>22</v>
      </c>
      <c r="AK386" t="s">
        <v>22</v>
      </c>
    </row>
    <row r="387" spans="1:37" ht="11.25" customHeight="1">
      <c r="A387" t="s">
        <v>22</v>
      </c>
      <c r="B387" t="s">
        <v>48</v>
      </c>
      <c r="C387" t="s">
        <v>50</v>
      </c>
      <c r="D387" t="s">
        <v>22</v>
      </c>
      <c r="E387" t="s">
        <v>5392</v>
      </c>
      <c r="F387" t="s">
        <v>1104</v>
      </c>
      <c r="G387" t="s">
        <v>99</v>
      </c>
      <c r="H387" t="s">
        <v>99</v>
      </c>
      <c r="I387" t="s">
        <v>100</v>
      </c>
      <c r="J387" t="s">
        <v>1059</v>
      </c>
      <c r="K387" t="s">
        <v>1060</v>
      </c>
      <c r="L387" t="s">
        <v>5460</v>
      </c>
      <c r="M387" t="s">
        <v>1157</v>
      </c>
      <c r="N387" t="s">
        <v>114</v>
      </c>
      <c r="O387" t="s">
        <v>4520</v>
      </c>
      <c r="P387" t="s">
        <v>4520</v>
      </c>
      <c r="Q387" t="s">
        <v>100</v>
      </c>
      <c r="R387" t="s">
        <v>1059</v>
      </c>
      <c r="S387" t="s">
        <v>1060</v>
      </c>
      <c r="T387" t="s">
        <v>4467</v>
      </c>
      <c r="U387" t="s">
        <v>4468</v>
      </c>
      <c r="V387" t="s">
        <v>4521</v>
      </c>
      <c r="W387" t="s">
        <v>4470</v>
      </c>
      <c r="X387" t="s">
        <v>4471</v>
      </c>
      <c r="Y387" t="s">
        <v>4468</v>
      </c>
      <c r="Z387" t="s">
        <v>1015</v>
      </c>
      <c r="AA387" t="s">
        <v>4522</v>
      </c>
      <c r="AB387" t="s">
        <v>4521</v>
      </c>
      <c r="AC387" t="s">
        <v>61</v>
      </c>
      <c r="AD387" t="s">
        <v>19</v>
      </c>
      <c r="AE387" t="s">
        <v>19</v>
      </c>
      <c r="AF387" t="s">
        <v>4826</v>
      </c>
      <c r="AG387" t="s">
        <v>5461</v>
      </c>
      <c r="AH387" t="s">
        <v>22</v>
      </c>
      <c r="AI387" t="s">
        <v>22</v>
      </c>
      <c r="AJ387" t="s">
        <v>22</v>
      </c>
      <c r="AK387" t="s">
        <v>22</v>
      </c>
    </row>
    <row r="388" spans="1:37" ht="11.25" customHeight="1">
      <c r="A388" t="s">
        <v>22</v>
      </c>
      <c r="B388" t="s">
        <v>48</v>
      </c>
      <c r="C388" t="s">
        <v>50</v>
      </c>
      <c r="D388" t="s">
        <v>22</v>
      </c>
      <c r="E388" t="s">
        <v>5392</v>
      </c>
      <c r="F388" t="s">
        <v>1104</v>
      </c>
      <c r="G388" t="s">
        <v>99</v>
      </c>
      <c r="H388" t="s">
        <v>99</v>
      </c>
      <c r="I388" t="s">
        <v>100</v>
      </c>
      <c r="J388" t="s">
        <v>1059</v>
      </c>
      <c r="K388" t="s">
        <v>1060</v>
      </c>
      <c r="L388" t="s">
        <v>4933</v>
      </c>
      <c r="M388" t="s">
        <v>1832</v>
      </c>
      <c r="N388" t="s">
        <v>114</v>
      </c>
      <c r="O388" t="s">
        <v>4520</v>
      </c>
      <c r="P388" t="s">
        <v>4520</v>
      </c>
      <c r="Q388" t="s">
        <v>100</v>
      </c>
      <c r="R388" t="s">
        <v>1059</v>
      </c>
      <c r="S388" t="s">
        <v>1060</v>
      </c>
      <c r="T388" t="s">
        <v>4606</v>
      </c>
      <c r="U388" t="s">
        <v>4793</v>
      </c>
      <c r="V388" t="s">
        <v>586</v>
      </c>
      <c r="W388" t="s">
        <v>4470</v>
      </c>
      <c r="X388" t="s">
        <v>4834</v>
      </c>
      <c r="Y388" t="s">
        <v>4669</v>
      </c>
      <c r="Z388" t="s">
        <v>1015</v>
      </c>
      <c r="AA388" t="s">
        <v>5462</v>
      </c>
      <c r="AB388" t="s">
        <v>4733</v>
      </c>
      <c r="AC388" t="s">
        <v>61</v>
      </c>
      <c r="AD388" t="s">
        <v>19</v>
      </c>
      <c r="AE388" t="s">
        <v>19</v>
      </c>
      <c r="AF388" t="s">
        <v>5463</v>
      </c>
      <c r="AG388" t="s">
        <v>387</v>
      </c>
      <c r="AH388" t="s">
        <v>22</v>
      </c>
      <c r="AI388" t="s">
        <v>22</v>
      </c>
      <c r="AJ388" t="s">
        <v>22</v>
      </c>
      <c r="AK388" t="s">
        <v>22</v>
      </c>
    </row>
    <row r="389" spans="1:37" ht="11.25" customHeight="1">
      <c r="A389" t="s">
        <v>22</v>
      </c>
      <c r="B389" t="s">
        <v>48</v>
      </c>
      <c r="C389" t="s">
        <v>50</v>
      </c>
      <c r="D389" t="s">
        <v>22</v>
      </c>
      <c r="E389" t="s">
        <v>5392</v>
      </c>
      <c r="F389" t="s">
        <v>1104</v>
      </c>
      <c r="G389" t="s">
        <v>99</v>
      </c>
      <c r="H389" t="s">
        <v>99</v>
      </c>
      <c r="I389" t="s">
        <v>100</v>
      </c>
      <c r="J389" t="s">
        <v>1059</v>
      </c>
      <c r="K389" t="s">
        <v>1060</v>
      </c>
      <c r="L389" t="s">
        <v>4799</v>
      </c>
      <c r="M389" t="s">
        <v>1120</v>
      </c>
      <c r="N389" t="s">
        <v>114</v>
      </c>
      <c r="O389" t="s">
        <v>4520</v>
      </c>
      <c r="P389" t="s">
        <v>4520</v>
      </c>
      <c r="Q389" t="s">
        <v>100</v>
      </c>
      <c r="R389" t="s">
        <v>1059</v>
      </c>
      <c r="S389" t="s">
        <v>1060</v>
      </c>
      <c r="T389" t="s">
        <v>4606</v>
      </c>
      <c r="U389" t="s">
        <v>4793</v>
      </c>
      <c r="V389" t="s">
        <v>586</v>
      </c>
      <c r="W389" t="s">
        <v>4470</v>
      </c>
      <c r="X389" t="s">
        <v>4834</v>
      </c>
      <c r="Y389" t="s">
        <v>4669</v>
      </c>
      <c r="Z389" t="s">
        <v>1015</v>
      </c>
      <c r="AA389" t="s">
        <v>4835</v>
      </c>
      <c r="AB389" t="s">
        <v>4733</v>
      </c>
      <c r="AC389" t="s">
        <v>61</v>
      </c>
      <c r="AD389" t="s">
        <v>19</v>
      </c>
      <c r="AE389" t="s">
        <v>19</v>
      </c>
      <c r="AF389" t="s">
        <v>1166</v>
      </c>
      <c r="AG389" t="s">
        <v>4554</v>
      </c>
      <c r="AH389" t="s">
        <v>22</v>
      </c>
      <c r="AI389" t="s">
        <v>22</v>
      </c>
      <c r="AJ389" t="s">
        <v>22</v>
      </c>
      <c r="AK389" t="s">
        <v>22</v>
      </c>
    </row>
    <row r="390" spans="1:37" ht="11.25" customHeight="1">
      <c r="A390" t="s">
        <v>22</v>
      </c>
      <c r="B390" t="s">
        <v>48</v>
      </c>
      <c r="C390" t="s">
        <v>50</v>
      </c>
      <c r="D390" t="s">
        <v>22</v>
      </c>
      <c r="E390" t="s">
        <v>5392</v>
      </c>
      <c r="F390" t="s">
        <v>1104</v>
      </c>
      <c r="G390" t="s">
        <v>99</v>
      </c>
      <c r="H390" t="s">
        <v>99</v>
      </c>
      <c r="I390" t="s">
        <v>100</v>
      </c>
      <c r="J390" t="s">
        <v>1059</v>
      </c>
      <c r="K390" t="s">
        <v>1060</v>
      </c>
      <c r="L390" t="s">
        <v>5413</v>
      </c>
      <c r="M390" t="s">
        <v>1112</v>
      </c>
      <c r="N390" t="s">
        <v>114</v>
      </c>
      <c r="O390" t="s">
        <v>4520</v>
      </c>
      <c r="P390" t="s">
        <v>4520</v>
      </c>
      <c r="Q390" t="s">
        <v>100</v>
      </c>
      <c r="R390" t="s">
        <v>1059</v>
      </c>
      <c r="S390" t="s">
        <v>1060</v>
      </c>
      <c r="T390" t="s">
        <v>4606</v>
      </c>
      <c r="U390" t="s">
        <v>4793</v>
      </c>
      <c r="V390" t="s">
        <v>586</v>
      </c>
      <c r="W390" t="s">
        <v>4470</v>
      </c>
      <c r="X390" t="s">
        <v>4834</v>
      </c>
      <c r="Y390" t="s">
        <v>4669</v>
      </c>
      <c r="Z390" t="s">
        <v>1015</v>
      </c>
      <c r="AA390" t="s">
        <v>5462</v>
      </c>
      <c r="AB390" t="s">
        <v>4733</v>
      </c>
      <c r="AC390" t="s">
        <v>61</v>
      </c>
      <c r="AD390" t="s">
        <v>19</v>
      </c>
      <c r="AE390" t="s">
        <v>19</v>
      </c>
      <c r="AF390" t="s">
        <v>1823</v>
      </c>
      <c r="AG390" t="s">
        <v>5464</v>
      </c>
      <c r="AH390" t="s">
        <v>22</v>
      </c>
      <c r="AI390" t="s">
        <v>22</v>
      </c>
      <c r="AJ390" t="s">
        <v>22</v>
      </c>
      <c r="AK390" t="s">
        <v>22</v>
      </c>
    </row>
    <row r="391" spans="1:37" ht="11.25" customHeight="1">
      <c r="A391" t="s">
        <v>22</v>
      </c>
      <c r="B391" t="s">
        <v>48</v>
      </c>
      <c r="C391" t="s">
        <v>50</v>
      </c>
      <c r="D391" t="s">
        <v>22</v>
      </c>
      <c r="E391" t="s">
        <v>5392</v>
      </c>
      <c r="F391" t="s">
        <v>1104</v>
      </c>
      <c r="G391" t="s">
        <v>99</v>
      </c>
      <c r="H391" t="s">
        <v>99</v>
      </c>
      <c r="I391" t="s">
        <v>100</v>
      </c>
      <c r="J391" t="s">
        <v>1059</v>
      </c>
      <c r="K391" t="s">
        <v>1060</v>
      </c>
      <c r="L391" t="s">
        <v>4622</v>
      </c>
      <c r="M391" t="s">
        <v>4712</v>
      </c>
      <c r="N391" t="s">
        <v>114</v>
      </c>
      <c r="O391" t="s">
        <v>4520</v>
      </c>
      <c r="P391" t="s">
        <v>4520</v>
      </c>
      <c r="Q391" t="s">
        <v>100</v>
      </c>
      <c r="R391" t="s">
        <v>1059</v>
      </c>
      <c r="S391" t="s">
        <v>1060</v>
      </c>
      <c r="T391" t="s">
        <v>4467</v>
      </c>
      <c r="U391" t="s">
        <v>4468</v>
      </c>
      <c r="V391" t="s">
        <v>4521</v>
      </c>
      <c r="W391" t="s">
        <v>4470</v>
      </c>
      <c r="X391" t="s">
        <v>4471</v>
      </c>
      <c r="Y391" t="s">
        <v>4468</v>
      </c>
      <c r="Z391" t="s">
        <v>1015</v>
      </c>
      <c r="AA391" t="s">
        <v>4522</v>
      </c>
      <c r="AB391" t="s">
        <v>4521</v>
      </c>
      <c r="AC391" t="s">
        <v>61</v>
      </c>
      <c r="AD391" t="s">
        <v>19</v>
      </c>
      <c r="AE391" t="s">
        <v>19</v>
      </c>
      <c r="AF391" t="s">
        <v>5465</v>
      </c>
      <c r="AG391" t="s">
        <v>4624</v>
      </c>
      <c r="AH391" t="s">
        <v>22</v>
      </c>
      <c r="AI391" t="s">
        <v>22</v>
      </c>
      <c r="AJ391" t="s">
        <v>22</v>
      </c>
      <c r="AK391" t="s">
        <v>22</v>
      </c>
    </row>
    <row r="392" spans="1:37" ht="11.25" customHeight="1">
      <c r="A392" t="s">
        <v>22</v>
      </c>
      <c r="B392" t="s">
        <v>48</v>
      </c>
      <c r="C392" t="s">
        <v>50</v>
      </c>
      <c r="D392" t="s">
        <v>22</v>
      </c>
      <c r="E392" t="s">
        <v>5392</v>
      </c>
      <c r="F392" t="s">
        <v>1104</v>
      </c>
      <c r="G392" t="s">
        <v>99</v>
      </c>
      <c r="H392" t="s">
        <v>99</v>
      </c>
      <c r="I392" t="s">
        <v>100</v>
      </c>
      <c r="J392" t="s">
        <v>1059</v>
      </c>
      <c r="K392" t="s">
        <v>1060</v>
      </c>
      <c r="L392" t="s">
        <v>4933</v>
      </c>
      <c r="M392" t="s">
        <v>5466</v>
      </c>
      <c r="N392" t="s">
        <v>114</v>
      </c>
      <c r="O392" t="s">
        <v>4520</v>
      </c>
      <c r="P392" t="s">
        <v>4520</v>
      </c>
      <c r="Q392" t="s">
        <v>100</v>
      </c>
      <c r="R392" t="s">
        <v>1059</v>
      </c>
      <c r="S392" t="s">
        <v>1060</v>
      </c>
      <c r="T392" t="s">
        <v>4467</v>
      </c>
      <c r="U392" t="s">
        <v>4468</v>
      </c>
      <c r="V392" t="s">
        <v>4521</v>
      </c>
      <c r="W392" t="s">
        <v>4470</v>
      </c>
      <c r="X392" t="s">
        <v>4471</v>
      </c>
      <c r="Y392" t="s">
        <v>4468</v>
      </c>
      <c r="Z392" t="s">
        <v>1015</v>
      </c>
      <c r="AA392" t="s">
        <v>4522</v>
      </c>
      <c r="AB392" t="s">
        <v>4521</v>
      </c>
      <c r="AC392" t="s">
        <v>61</v>
      </c>
      <c r="AD392" t="s">
        <v>19</v>
      </c>
      <c r="AE392" t="s">
        <v>19</v>
      </c>
      <c r="AF392" t="s">
        <v>5467</v>
      </c>
      <c r="AG392" t="s">
        <v>387</v>
      </c>
      <c r="AH392" t="s">
        <v>22</v>
      </c>
      <c r="AI392" t="s">
        <v>22</v>
      </c>
      <c r="AJ392" t="s">
        <v>22</v>
      </c>
      <c r="AK392" t="s">
        <v>22</v>
      </c>
    </row>
    <row r="393" spans="1:37" ht="11.25" customHeight="1">
      <c r="A393" t="s">
        <v>22</v>
      </c>
      <c r="B393" t="s">
        <v>48</v>
      </c>
      <c r="C393" t="s">
        <v>50</v>
      </c>
      <c r="D393" t="s">
        <v>22</v>
      </c>
      <c r="E393" t="s">
        <v>5392</v>
      </c>
      <c r="F393" t="s">
        <v>1104</v>
      </c>
      <c r="G393" t="s">
        <v>99</v>
      </c>
      <c r="H393" t="s">
        <v>99</v>
      </c>
      <c r="I393" t="s">
        <v>100</v>
      </c>
      <c r="J393" t="s">
        <v>1059</v>
      </c>
      <c r="K393" t="s">
        <v>1060</v>
      </c>
      <c r="L393" t="s">
        <v>5413</v>
      </c>
      <c r="M393" t="s">
        <v>5468</v>
      </c>
      <c r="N393" t="s">
        <v>114</v>
      </c>
      <c r="O393" t="s">
        <v>4520</v>
      </c>
      <c r="P393" t="s">
        <v>4520</v>
      </c>
      <c r="Q393" t="s">
        <v>100</v>
      </c>
      <c r="R393" t="s">
        <v>1059</v>
      </c>
      <c r="S393" t="s">
        <v>1060</v>
      </c>
      <c r="T393" t="s">
        <v>4467</v>
      </c>
      <c r="U393" t="s">
        <v>4468</v>
      </c>
      <c r="V393" t="s">
        <v>4521</v>
      </c>
      <c r="W393" t="s">
        <v>4470</v>
      </c>
      <c r="X393" t="s">
        <v>4471</v>
      </c>
      <c r="Y393" t="s">
        <v>4468</v>
      </c>
      <c r="Z393" t="s">
        <v>1015</v>
      </c>
      <c r="AA393" t="s">
        <v>4522</v>
      </c>
      <c r="AB393" t="s">
        <v>4521</v>
      </c>
      <c r="AC393" t="s">
        <v>61</v>
      </c>
      <c r="AD393" t="s">
        <v>19</v>
      </c>
      <c r="AE393" t="s">
        <v>19</v>
      </c>
      <c r="AF393" t="s">
        <v>4523</v>
      </c>
      <c r="AG393" t="s">
        <v>5469</v>
      </c>
      <c r="AH393" t="s">
        <v>22</v>
      </c>
      <c r="AI393" t="s">
        <v>22</v>
      </c>
      <c r="AJ393" t="s">
        <v>22</v>
      </c>
      <c r="AK393" t="s">
        <v>22</v>
      </c>
    </row>
    <row r="394" spans="1:37" ht="11.25" customHeight="1">
      <c r="A394" t="s">
        <v>22</v>
      </c>
      <c r="B394" t="s">
        <v>48</v>
      </c>
      <c r="C394" t="s">
        <v>50</v>
      </c>
      <c r="D394" t="s">
        <v>22</v>
      </c>
      <c r="E394" t="s">
        <v>5392</v>
      </c>
      <c r="F394" t="s">
        <v>1104</v>
      </c>
      <c r="G394" t="s">
        <v>99</v>
      </c>
      <c r="H394" t="s">
        <v>99</v>
      </c>
      <c r="I394" t="s">
        <v>100</v>
      </c>
      <c r="J394" t="s">
        <v>1059</v>
      </c>
      <c r="K394" t="s">
        <v>1060</v>
      </c>
      <c r="L394" t="s">
        <v>4956</v>
      </c>
      <c r="M394" t="s">
        <v>4627</v>
      </c>
      <c r="N394" t="s">
        <v>114</v>
      </c>
      <c r="O394" t="s">
        <v>4520</v>
      </c>
      <c r="P394" t="s">
        <v>4520</v>
      </c>
      <c r="Q394" t="s">
        <v>100</v>
      </c>
      <c r="R394" t="s">
        <v>1059</v>
      </c>
      <c r="S394" t="s">
        <v>1060</v>
      </c>
      <c r="T394" t="s">
        <v>4606</v>
      </c>
      <c r="U394" t="s">
        <v>4793</v>
      </c>
      <c r="V394" t="s">
        <v>586</v>
      </c>
      <c r="W394" t="s">
        <v>4470</v>
      </c>
      <c r="X394" t="s">
        <v>4834</v>
      </c>
      <c r="Y394" t="s">
        <v>4669</v>
      </c>
      <c r="Z394" t="s">
        <v>1015</v>
      </c>
      <c r="AA394" t="s">
        <v>5452</v>
      </c>
      <c r="AB394" t="s">
        <v>4733</v>
      </c>
      <c r="AC394" t="s">
        <v>61</v>
      </c>
      <c r="AD394" t="s">
        <v>19</v>
      </c>
      <c r="AE394" t="s">
        <v>19</v>
      </c>
      <c r="AF394" t="s">
        <v>5470</v>
      </c>
      <c r="AG394" t="s">
        <v>5471</v>
      </c>
      <c r="AH394" t="s">
        <v>22</v>
      </c>
      <c r="AI394" t="s">
        <v>22</v>
      </c>
      <c r="AJ394" t="s">
        <v>22</v>
      </c>
      <c r="AK394" t="s">
        <v>22</v>
      </c>
    </row>
    <row r="395" spans="1:37" ht="11.25" customHeight="1">
      <c r="A395" t="s">
        <v>22</v>
      </c>
      <c r="B395" t="s">
        <v>48</v>
      </c>
      <c r="C395" t="s">
        <v>50</v>
      </c>
      <c r="D395" t="s">
        <v>22</v>
      </c>
      <c r="E395" t="s">
        <v>5392</v>
      </c>
      <c r="F395" t="s">
        <v>1104</v>
      </c>
      <c r="G395" t="s">
        <v>99</v>
      </c>
      <c r="H395" t="s">
        <v>99</v>
      </c>
      <c r="I395" t="s">
        <v>100</v>
      </c>
      <c r="J395" t="s">
        <v>1059</v>
      </c>
      <c r="K395" t="s">
        <v>1060</v>
      </c>
      <c r="L395" t="s">
        <v>5472</v>
      </c>
      <c r="M395" t="s">
        <v>5473</v>
      </c>
      <c r="N395" t="s">
        <v>114</v>
      </c>
      <c r="O395" t="s">
        <v>4520</v>
      </c>
      <c r="P395" t="s">
        <v>4520</v>
      </c>
      <c r="Q395" t="s">
        <v>100</v>
      </c>
      <c r="R395" t="s">
        <v>1059</v>
      </c>
      <c r="S395" t="s">
        <v>1060</v>
      </c>
      <c r="T395" t="s">
        <v>4467</v>
      </c>
      <c r="U395" t="s">
        <v>4468</v>
      </c>
      <c r="V395" t="s">
        <v>4521</v>
      </c>
      <c r="W395" t="s">
        <v>4470</v>
      </c>
      <c r="X395" t="s">
        <v>4471</v>
      </c>
      <c r="Y395" t="s">
        <v>4468</v>
      </c>
      <c r="Z395" t="s">
        <v>1015</v>
      </c>
      <c r="AA395" t="s">
        <v>4522</v>
      </c>
      <c r="AB395" t="s">
        <v>4521</v>
      </c>
      <c r="AC395" t="s">
        <v>61</v>
      </c>
      <c r="AD395" t="s">
        <v>19</v>
      </c>
      <c r="AE395" t="s">
        <v>19</v>
      </c>
      <c r="AF395" t="s">
        <v>5408</v>
      </c>
      <c r="AG395" t="s">
        <v>5474</v>
      </c>
      <c r="AH395" t="s">
        <v>22</v>
      </c>
      <c r="AI395" t="s">
        <v>22</v>
      </c>
      <c r="AJ395" t="s">
        <v>22</v>
      </c>
      <c r="AK395" t="s">
        <v>22</v>
      </c>
    </row>
    <row r="396" spans="1:37" ht="11.25" customHeight="1">
      <c r="A396" t="s">
        <v>22</v>
      </c>
      <c r="B396" t="s">
        <v>48</v>
      </c>
      <c r="C396" t="s">
        <v>50</v>
      </c>
      <c r="D396" t="s">
        <v>22</v>
      </c>
      <c r="E396" t="s">
        <v>5392</v>
      </c>
      <c r="F396" t="s">
        <v>1104</v>
      </c>
      <c r="G396" t="s">
        <v>99</v>
      </c>
      <c r="H396" t="s">
        <v>99</v>
      </c>
      <c r="I396" t="s">
        <v>100</v>
      </c>
      <c r="J396" t="s">
        <v>1059</v>
      </c>
      <c r="K396" t="s">
        <v>1060</v>
      </c>
      <c r="L396" t="s">
        <v>5409</v>
      </c>
      <c r="M396" t="s">
        <v>1748</v>
      </c>
      <c r="N396" t="s">
        <v>114</v>
      </c>
      <c r="O396" t="s">
        <v>4520</v>
      </c>
      <c r="P396" t="s">
        <v>4520</v>
      </c>
      <c r="Q396" t="s">
        <v>100</v>
      </c>
      <c r="R396" t="s">
        <v>1059</v>
      </c>
      <c r="S396" t="s">
        <v>1060</v>
      </c>
      <c r="T396" t="s">
        <v>4467</v>
      </c>
      <c r="U396" t="s">
        <v>4468</v>
      </c>
      <c r="V396" t="s">
        <v>4521</v>
      </c>
      <c r="W396" t="s">
        <v>4470</v>
      </c>
      <c r="X396" t="s">
        <v>4471</v>
      </c>
      <c r="Y396" t="s">
        <v>4468</v>
      </c>
      <c r="Z396" t="s">
        <v>1015</v>
      </c>
      <c r="AA396" t="s">
        <v>4522</v>
      </c>
      <c r="AB396" t="s">
        <v>4521</v>
      </c>
      <c r="AC396" t="s">
        <v>61</v>
      </c>
      <c r="AD396" t="s">
        <v>19</v>
      </c>
      <c r="AE396" t="s">
        <v>19</v>
      </c>
      <c r="AF396" t="s">
        <v>162</v>
      </c>
      <c r="AG396" t="s">
        <v>387</v>
      </c>
      <c r="AH396" t="s">
        <v>22</v>
      </c>
      <c r="AI396" t="s">
        <v>22</v>
      </c>
      <c r="AJ396" t="s">
        <v>22</v>
      </c>
      <c r="AK396" t="s">
        <v>22</v>
      </c>
    </row>
    <row r="397" spans="1:37" ht="11.25" customHeight="1">
      <c r="A397" t="s">
        <v>22</v>
      </c>
      <c r="B397" t="s">
        <v>48</v>
      </c>
      <c r="C397" t="s">
        <v>50</v>
      </c>
      <c r="D397" t="s">
        <v>22</v>
      </c>
      <c r="E397" t="s">
        <v>5392</v>
      </c>
      <c r="F397" t="s">
        <v>1104</v>
      </c>
      <c r="G397" t="s">
        <v>99</v>
      </c>
      <c r="H397" t="s">
        <v>99</v>
      </c>
      <c r="I397" t="s">
        <v>100</v>
      </c>
      <c r="J397" t="s">
        <v>1059</v>
      </c>
      <c r="K397" t="s">
        <v>1060</v>
      </c>
      <c r="L397" t="s">
        <v>4784</v>
      </c>
      <c r="M397" t="s">
        <v>4639</v>
      </c>
      <c r="N397" t="s">
        <v>114</v>
      </c>
      <c r="O397" t="s">
        <v>4520</v>
      </c>
      <c r="P397" t="s">
        <v>4520</v>
      </c>
      <c r="Q397" t="s">
        <v>100</v>
      </c>
      <c r="R397" t="s">
        <v>1059</v>
      </c>
      <c r="S397" t="s">
        <v>1060</v>
      </c>
      <c r="T397" t="s">
        <v>4467</v>
      </c>
      <c r="U397" t="s">
        <v>4468</v>
      </c>
      <c r="V397" t="s">
        <v>4521</v>
      </c>
      <c r="W397" t="s">
        <v>4470</v>
      </c>
      <c r="X397" t="s">
        <v>4471</v>
      </c>
      <c r="Y397" t="s">
        <v>4468</v>
      </c>
      <c r="Z397" t="s">
        <v>1015</v>
      </c>
      <c r="AA397" t="s">
        <v>4522</v>
      </c>
      <c r="AB397" t="s">
        <v>4521</v>
      </c>
      <c r="AC397" t="s">
        <v>61</v>
      </c>
      <c r="AD397" t="s">
        <v>19</v>
      </c>
      <c r="AE397" t="s">
        <v>19</v>
      </c>
      <c r="AF397" t="s">
        <v>1774</v>
      </c>
      <c r="AG397" t="s">
        <v>5475</v>
      </c>
      <c r="AH397" t="s">
        <v>22</v>
      </c>
      <c r="AI397" t="s">
        <v>22</v>
      </c>
      <c r="AJ397" t="s">
        <v>22</v>
      </c>
      <c r="AK397" t="s">
        <v>22</v>
      </c>
    </row>
    <row r="398" spans="1:37" ht="11.25" customHeight="1">
      <c r="A398" t="s">
        <v>22</v>
      </c>
      <c r="B398" t="s">
        <v>48</v>
      </c>
      <c r="C398" t="s">
        <v>50</v>
      </c>
      <c r="D398" t="s">
        <v>22</v>
      </c>
      <c r="E398" t="s">
        <v>5392</v>
      </c>
      <c r="F398" t="s">
        <v>1104</v>
      </c>
      <c r="G398" t="s">
        <v>99</v>
      </c>
      <c r="H398" t="s">
        <v>99</v>
      </c>
      <c r="I398" t="s">
        <v>100</v>
      </c>
      <c r="J398" t="s">
        <v>1059</v>
      </c>
      <c r="K398" t="s">
        <v>1060</v>
      </c>
      <c r="L398" t="s">
        <v>5476</v>
      </c>
      <c r="M398" t="s">
        <v>4860</v>
      </c>
      <c r="N398" t="s">
        <v>114</v>
      </c>
      <c r="O398" t="s">
        <v>4520</v>
      </c>
      <c r="P398" t="s">
        <v>4520</v>
      </c>
      <c r="Q398" t="s">
        <v>100</v>
      </c>
      <c r="R398" t="s">
        <v>1059</v>
      </c>
      <c r="S398" t="s">
        <v>1060</v>
      </c>
      <c r="T398" t="s">
        <v>4467</v>
      </c>
      <c r="U398" t="s">
        <v>4468</v>
      </c>
      <c r="V398" t="s">
        <v>4521</v>
      </c>
      <c r="W398" t="s">
        <v>4470</v>
      </c>
      <c r="X398" t="s">
        <v>4471</v>
      </c>
      <c r="Y398" t="s">
        <v>4468</v>
      </c>
      <c r="Z398" t="s">
        <v>1015</v>
      </c>
      <c r="AA398" t="s">
        <v>4522</v>
      </c>
      <c r="AB398" t="s">
        <v>4521</v>
      </c>
      <c r="AC398" t="s">
        <v>61</v>
      </c>
      <c r="AD398" t="s">
        <v>19</v>
      </c>
      <c r="AE398" t="s">
        <v>19</v>
      </c>
      <c r="AF398" t="s">
        <v>5458</v>
      </c>
      <c r="AG398" t="s">
        <v>5477</v>
      </c>
      <c r="AH398" t="s">
        <v>22</v>
      </c>
      <c r="AI398" t="s">
        <v>22</v>
      </c>
      <c r="AJ398" t="s">
        <v>22</v>
      </c>
      <c r="AK398" t="s">
        <v>22</v>
      </c>
    </row>
    <row r="399" spans="1:37" ht="11.25" customHeight="1">
      <c r="A399" t="s">
        <v>22</v>
      </c>
      <c r="B399" t="s">
        <v>48</v>
      </c>
      <c r="C399" t="s">
        <v>50</v>
      </c>
      <c r="D399" t="s">
        <v>22</v>
      </c>
      <c r="E399" t="s">
        <v>5392</v>
      </c>
      <c r="F399" t="s">
        <v>1104</v>
      </c>
      <c r="G399" t="s">
        <v>99</v>
      </c>
      <c r="H399" t="s">
        <v>99</v>
      </c>
      <c r="I399" t="s">
        <v>100</v>
      </c>
      <c r="J399" t="s">
        <v>1059</v>
      </c>
      <c r="K399" t="s">
        <v>1060</v>
      </c>
      <c r="L399" t="s">
        <v>5478</v>
      </c>
      <c r="M399" t="s">
        <v>115</v>
      </c>
      <c r="N399" t="s">
        <v>114</v>
      </c>
      <c r="O399" t="s">
        <v>4520</v>
      </c>
      <c r="P399" t="s">
        <v>4520</v>
      </c>
      <c r="Q399" t="s">
        <v>100</v>
      </c>
      <c r="R399" t="s">
        <v>1059</v>
      </c>
      <c r="S399" t="s">
        <v>1060</v>
      </c>
      <c r="T399" t="s">
        <v>4467</v>
      </c>
      <c r="U399" t="s">
        <v>4468</v>
      </c>
      <c r="V399" t="s">
        <v>4521</v>
      </c>
      <c r="W399" t="s">
        <v>4470</v>
      </c>
      <c r="X399" t="s">
        <v>4471</v>
      </c>
      <c r="Y399" t="s">
        <v>4468</v>
      </c>
      <c r="Z399" t="s">
        <v>1015</v>
      </c>
      <c r="AA399" t="s">
        <v>4522</v>
      </c>
      <c r="AB399" t="s">
        <v>4521</v>
      </c>
      <c r="AC399" t="s">
        <v>61</v>
      </c>
      <c r="AD399" t="s">
        <v>19</v>
      </c>
      <c r="AE399" t="s">
        <v>19</v>
      </c>
      <c r="AF399" t="s">
        <v>4560</v>
      </c>
      <c r="AG399" t="s">
        <v>387</v>
      </c>
      <c r="AH399" t="s">
        <v>22</v>
      </c>
      <c r="AI399" t="s">
        <v>22</v>
      </c>
      <c r="AJ399" t="s">
        <v>22</v>
      </c>
      <c r="AK399" t="s">
        <v>22</v>
      </c>
    </row>
    <row r="400" spans="1:37" ht="11.25" customHeight="1">
      <c r="A400" t="s">
        <v>22</v>
      </c>
      <c r="B400" t="s">
        <v>48</v>
      </c>
      <c r="C400" t="s">
        <v>50</v>
      </c>
      <c r="D400" t="s">
        <v>22</v>
      </c>
      <c r="E400" t="s">
        <v>5392</v>
      </c>
      <c r="F400" t="s">
        <v>1104</v>
      </c>
      <c r="G400" t="s">
        <v>99</v>
      </c>
      <c r="H400" t="s">
        <v>99</v>
      </c>
      <c r="I400" t="s">
        <v>100</v>
      </c>
      <c r="J400" t="s">
        <v>1059</v>
      </c>
      <c r="K400" t="s">
        <v>1060</v>
      </c>
      <c r="L400" t="s">
        <v>4537</v>
      </c>
      <c r="M400" t="s">
        <v>5479</v>
      </c>
      <c r="N400" t="s">
        <v>114</v>
      </c>
      <c r="O400" t="s">
        <v>4520</v>
      </c>
      <c r="P400" t="s">
        <v>4520</v>
      </c>
      <c r="Q400" t="s">
        <v>100</v>
      </c>
      <c r="R400" t="s">
        <v>1059</v>
      </c>
      <c r="S400" t="s">
        <v>1060</v>
      </c>
      <c r="T400" t="s">
        <v>4467</v>
      </c>
      <c r="U400" t="s">
        <v>4468</v>
      </c>
      <c r="V400" t="s">
        <v>4521</v>
      </c>
      <c r="W400" t="s">
        <v>4470</v>
      </c>
      <c r="X400" t="s">
        <v>4471</v>
      </c>
      <c r="Y400" t="s">
        <v>4468</v>
      </c>
      <c r="Z400" t="s">
        <v>1015</v>
      </c>
      <c r="AA400" t="s">
        <v>4522</v>
      </c>
      <c r="AB400" t="s">
        <v>4521</v>
      </c>
      <c r="AC400" t="s">
        <v>61</v>
      </c>
      <c r="AD400" t="s">
        <v>19</v>
      </c>
      <c r="AE400" t="s">
        <v>19</v>
      </c>
      <c r="AF400" t="s">
        <v>906</v>
      </c>
      <c r="AG400" t="s">
        <v>387</v>
      </c>
      <c r="AH400" t="s">
        <v>22</v>
      </c>
      <c r="AI400" t="s">
        <v>22</v>
      </c>
      <c r="AJ400" t="s">
        <v>22</v>
      </c>
      <c r="AK400" t="s">
        <v>22</v>
      </c>
    </row>
    <row r="401" spans="1:37" ht="11.25" customHeight="1">
      <c r="A401" t="s">
        <v>22</v>
      </c>
      <c r="B401" t="s">
        <v>48</v>
      </c>
      <c r="C401" t="s">
        <v>50</v>
      </c>
      <c r="D401" t="s">
        <v>22</v>
      </c>
      <c r="E401" t="s">
        <v>5392</v>
      </c>
      <c r="F401" t="s">
        <v>1104</v>
      </c>
      <c r="G401" t="s">
        <v>99</v>
      </c>
      <c r="H401" t="s">
        <v>99</v>
      </c>
      <c r="I401" t="s">
        <v>100</v>
      </c>
      <c r="J401" t="s">
        <v>1059</v>
      </c>
      <c r="K401" t="s">
        <v>1060</v>
      </c>
      <c r="L401" t="s">
        <v>5480</v>
      </c>
      <c r="M401" t="s">
        <v>4760</v>
      </c>
      <c r="N401" t="s">
        <v>114</v>
      </c>
      <c r="O401" t="s">
        <v>4520</v>
      </c>
      <c r="P401" t="s">
        <v>4520</v>
      </c>
      <c r="Q401" t="s">
        <v>100</v>
      </c>
      <c r="R401" t="s">
        <v>1059</v>
      </c>
      <c r="S401" t="s">
        <v>1060</v>
      </c>
      <c r="T401" t="s">
        <v>4467</v>
      </c>
      <c r="U401" t="s">
        <v>5481</v>
      </c>
      <c r="V401" t="s">
        <v>4733</v>
      </c>
      <c r="W401" t="s">
        <v>4470</v>
      </c>
      <c r="X401" t="s">
        <v>4834</v>
      </c>
      <c r="Y401" t="s">
        <v>5481</v>
      </c>
      <c r="Z401" t="s">
        <v>1015</v>
      </c>
      <c r="AA401" t="s">
        <v>5482</v>
      </c>
      <c r="AB401" t="s">
        <v>4733</v>
      </c>
      <c r="AC401" t="s">
        <v>61</v>
      </c>
      <c r="AD401" t="s">
        <v>19</v>
      </c>
      <c r="AE401" t="s">
        <v>19</v>
      </c>
      <c r="AF401" t="s">
        <v>5426</v>
      </c>
      <c r="AG401" t="s">
        <v>5483</v>
      </c>
      <c r="AH401" t="s">
        <v>22</v>
      </c>
      <c r="AI401" t="s">
        <v>22</v>
      </c>
      <c r="AJ401" t="s">
        <v>22</v>
      </c>
      <c r="AK401" t="s">
        <v>22</v>
      </c>
    </row>
    <row r="402" spans="1:37" ht="11.25" customHeight="1">
      <c r="A402" t="s">
        <v>22</v>
      </c>
      <c r="B402" t="s">
        <v>48</v>
      </c>
      <c r="C402" t="s">
        <v>50</v>
      </c>
      <c r="D402" t="s">
        <v>22</v>
      </c>
      <c r="E402" t="s">
        <v>5392</v>
      </c>
      <c r="F402" t="s">
        <v>1104</v>
      </c>
      <c r="G402" t="s">
        <v>99</v>
      </c>
      <c r="H402" t="s">
        <v>99</v>
      </c>
      <c r="I402" t="s">
        <v>100</v>
      </c>
      <c r="J402" t="s">
        <v>1059</v>
      </c>
      <c r="K402" t="s">
        <v>1060</v>
      </c>
      <c r="L402" t="s">
        <v>4537</v>
      </c>
      <c r="M402" t="s">
        <v>5463</v>
      </c>
      <c r="N402" t="s">
        <v>114</v>
      </c>
      <c r="O402" t="s">
        <v>4520</v>
      </c>
      <c r="P402" t="s">
        <v>4520</v>
      </c>
      <c r="Q402" t="s">
        <v>100</v>
      </c>
      <c r="R402" t="s">
        <v>1059</v>
      </c>
      <c r="S402" t="s">
        <v>1060</v>
      </c>
      <c r="T402" t="s">
        <v>4467</v>
      </c>
      <c r="U402" t="s">
        <v>4468</v>
      </c>
      <c r="V402" t="s">
        <v>4521</v>
      </c>
      <c r="W402" t="s">
        <v>4470</v>
      </c>
      <c r="X402" t="s">
        <v>4471</v>
      </c>
      <c r="Y402" t="s">
        <v>4468</v>
      </c>
      <c r="Z402" t="s">
        <v>1015</v>
      </c>
      <c r="AA402" t="s">
        <v>4522</v>
      </c>
      <c r="AB402" t="s">
        <v>4521</v>
      </c>
      <c r="AC402" t="s">
        <v>61</v>
      </c>
      <c r="AD402" t="s">
        <v>19</v>
      </c>
      <c r="AE402" t="s">
        <v>19</v>
      </c>
      <c r="AF402" t="s">
        <v>1840</v>
      </c>
      <c r="AG402" t="s">
        <v>5484</v>
      </c>
      <c r="AH402" t="s">
        <v>22</v>
      </c>
      <c r="AI402" t="s">
        <v>22</v>
      </c>
      <c r="AJ402" t="s">
        <v>22</v>
      </c>
      <c r="AK402" t="s">
        <v>22</v>
      </c>
    </row>
    <row r="403" spans="1:37" ht="11.25" customHeight="1">
      <c r="A403" t="s">
        <v>22</v>
      </c>
      <c r="B403" t="s">
        <v>48</v>
      </c>
      <c r="C403" t="s">
        <v>50</v>
      </c>
      <c r="D403" t="s">
        <v>22</v>
      </c>
      <c r="E403" t="s">
        <v>5392</v>
      </c>
      <c r="F403" t="s">
        <v>1104</v>
      </c>
      <c r="G403" t="s">
        <v>99</v>
      </c>
      <c r="H403" t="s">
        <v>99</v>
      </c>
      <c r="I403" t="s">
        <v>100</v>
      </c>
      <c r="J403" t="s">
        <v>1059</v>
      </c>
      <c r="K403" t="s">
        <v>1060</v>
      </c>
      <c r="L403" t="s">
        <v>5485</v>
      </c>
      <c r="M403" t="s">
        <v>1760</v>
      </c>
      <c r="N403" t="s">
        <v>114</v>
      </c>
      <c r="O403" t="s">
        <v>4520</v>
      </c>
      <c r="P403" t="s">
        <v>4520</v>
      </c>
      <c r="Q403" t="s">
        <v>100</v>
      </c>
      <c r="R403" t="s">
        <v>1059</v>
      </c>
      <c r="S403" t="s">
        <v>1060</v>
      </c>
      <c r="T403" t="s">
        <v>4467</v>
      </c>
      <c r="U403" t="s">
        <v>4468</v>
      </c>
      <c r="V403" t="s">
        <v>4521</v>
      </c>
      <c r="W403" t="s">
        <v>4470</v>
      </c>
      <c r="X403" t="s">
        <v>4471</v>
      </c>
      <c r="Y403" t="s">
        <v>4468</v>
      </c>
      <c r="Z403" t="s">
        <v>1015</v>
      </c>
      <c r="AA403" t="s">
        <v>4522</v>
      </c>
      <c r="AB403" t="s">
        <v>4521</v>
      </c>
      <c r="AC403" t="s">
        <v>61</v>
      </c>
      <c r="AD403" t="s">
        <v>19</v>
      </c>
      <c r="AE403" t="s">
        <v>19</v>
      </c>
      <c r="AF403" t="s">
        <v>4532</v>
      </c>
      <c r="AG403" t="s">
        <v>5486</v>
      </c>
      <c r="AH403" t="s">
        <v>22</v>
      </c>
      <c r="AI403" t="s">
        <v>22</v>
      </c>
      <c r="AJ403" t="s">
        <v>22</v>
      </c>
      <c r="AK403" t="s">
        <v>22</v>
      </c>
    </row>
    <row r="404" spans="1:37" ht="11.25" customHeight="1">
      <c r="A404" t="s">
        <v>22</v>
      </c>
      <c r="B404" t="s">
        <v>48</v>
      </c>
      <c r="C404" t="s">
        <v>50</v>
      </c>
      <c r="D404" t="s">
        <v>22</v>
      </c>
      <c r="E404" t="s">
        <v>5392</v>
      </c>
      <c r="F404" t="s">
        <v>1104</v>
      </c>
      <c r="G404" t="s">
        <v>99</v>
      </c>
      <c r="H404" t="s">
        <v>99</v>
      </c>
      <c r="I404" t="s">
        <v>100</v>
      </c>
      <c r="J404" t="s">
        <v>1059</v>
      </c>
      <c r="K404" t="s">
        <v>1060</v>
      </c>
      <c r="L404" t="s">
        <v>5485</v>
      </c>
      <c r="M404" t="s">
        <v>161</v>
      </c>
      <c r="N404" t="s">
        <v>114</v>
      </c>
      <c r="O404" t="s">
        <v>4520</v>
      </c>
      <c r="P404" t="s">
        <v>4520</v>
      </c>
      <c r="Q404" t="s">
        <v>100</v>
      </c>
      <c r="R404" t="s">
        <v>1059</v>
      </c>
      <c r="S404" t="s">
        <v>1060</v>
      </c>
      <c r="T404" t="s">
        <v>4467</v>
      </c>
      <c r="U404" t="s">
        <v>4468</v>
      </c>
      <c r="V404" t="s">
        <v>4521</v>
      </c>
      <c r="W404" t="s">
        <v>4470</v>
      </c>
      <c r="X404" t="s">
        <v>4471</v>
      </c>
      <c r="Y404" t="s">
        <v>4468</v>
      </c>
      <c r="Z404" t="s">
        <v>1015</v>
      </c>
      <c r="AA404" t="s">
        <v>4522</v>
      </c>
      <c r="AB404" t="s">
        <v>4521</v>
      </c>
      <c r="AC404" t="s">
        <v>61</v>
      </c>
      <c r="AD404" t="s">
        <v>19</v>
      </c>
      <c r="AE404" t="s">
        <v>19</v>
      </c>
      <c r="AF404" t="s">
        <v>4579</v>
      </c>
      <c r="AG404" t="s">
        <v>5487</v>
      </c>
      <c r="AH404" t="s">
        <v>22</v>
      </c>
      <c r="AI404" t="s">
        <v>22</v>
      </c>
      <c r="AJ404" t="s">
        <v>22</v>
      </c>
      <c r="AK404" t="s">
        <v>22</v>
      </c>
    </row>
    <row r="405" spans="1:37" ht="11.25" customHeight="1">
      <c r="A405" t="s">
        <v>22</v>
      </c>
      <c r="B405" t="s">
        <v>48</v>
      </c>
      <c r="C405" t="s">
        <v>50</v>
      </c>
      <c r="D405" t="s">
        <v>22</v>
      </c>
      <c r="E405" t="s">
        <v>5392</v>
      </c>
      <c r="F405" t="s">
        <v>1104</v>
      </c>
      <c r="G405" t="s">
        <v>99</v>
      </c>
      <c r="H405" t="s">
        <v>99</v>
      </c>
      <c r="I405" t="s">
        <v>100</v>
      </c>
      <c r="J405" t="s">
        <v>1059</v>
      </c>
      <c r="K405" t="s">
        <v>1060</v>
      </c>
      <c r="L405" t="s">
        <v>5488</v>
      </c>
      <c r="M405" t="s">
        <v>4947</v>
      </c>
      <c r="N405" t="s">
        <v>114</v>
      </c>
      <c r="O405" t="s">
        <v>4520</v>
      </c>
      <c r="P405" t="s">
        <v>4520</v>
      </c>
      <c r="Q405" t="s">
        <v>100</v>
      </c>
      <c r="R405" t="s">
        <v>1059</v>
      </c>
      <c r="S405" t="s">
        <v>1060</v>
      </c>
      <c r="T405" t="s">
        <v>4467</v>
      </c>
      <c r="U405" t="s">
        <v>4468</v>
      </c>
      <c r="V405" t="s">
        <v>4521</v>
      </c>
      <c r="W405" t="s">
        <v>4470</v>
      </c>
      <c r="X405" t="s">
        <v>4471</v>
      </c>
      <c r="Y405" t="s">
        <v>4468</v>
      </c>
      <c r="Z405" t="s">
        <v>1015</v>
      </c>
      <c r="AA405" t="s">
        <v>4522</v>
      </c>
      <c r="AB405" t="s">
        <v>4521</v>
      </c>
      <c r="AC405" t="s">
        <v>61</v>
      </c>
      <c r="AD405" t="s">
        <v>19</v>
      </c>
      <c r="AE405" t="s">
        <v>19</v>
      </c>
      <c r="AF405" t="s">
        <v>4523</v>
      </c>
      <c r="AG405" t="s">
        <v>5489</v>
      </c>
      <c r="AH405" t="s">
        <v>22</v>
      </c>
      <c r="AI405" t="s">
        <v>22</v>
      </c>
      <c r="AJ405" t="s">
        <v>22</v>
      </c>
      <c r="AK405" t="s">
        <v>22</v>
      </c>
    </row>
    <row r="406" spans="1:37" ht="11.25" customHeight="1">
      <c r="A406" t="s">
        <v>22</v>
      </c>
      <c r="B406" t="s">
        <v>48</v>
      </c>
      <c r="C406" t="s">
        <v>50</v>
      </c>
      <c r="D406" t="s">
        <v>22</v>
      </c>
      <c r="E406" t="s">
        <v>5392</v>
      </c>
      <c r="F406" t="s">
        <v>1104</v>
      </c>
      <c r="G406" t="s">
        <v>99</v>
      </c>
      <c r="H406" t="s">
        <v>99</v>
      </c>
      <c r="I406" t="s">
        <v>100</v>
      </c>
      <c r="J406" t="s">
        <v>1059</v>
      </c>
      <c r="K406" t="s">
        <v>1060</v>
      </c>
      <c r="L406" t="s">
        <v>5490</v>
      </c>
      <c r="M406" t="s">
        <v>5491</v>
      </c>
      <c r="N406" t="s">
        <v>114</v>
      </c>
      <c r="O406" t="s">
        <v>4520</v>
      </c>
      <c r="P406" t="s">
        <v>4520</v>
      </c>
      <c r="Q406" t="s">
        <v>100</v>
      </c>
      <c r="R406" t="s">
        <v>1059</v>
      </c>
      <c r="S406" t="s">
        <v>1060</v>
      </c>
      <c r="T406" t="s">
        <v>4467</v>
      </c>
      <c r="U406" t="s">
        <v>4468</v>
      </c>
      <c r="V406" t="s">
        <v>4521</v>
      </c>
      <c r="W406" t="s">
        <v>4470</v>
      </c>
      <c r="X406" t="s">
        <v>4471</v>
      </c>
      <c r="Y406" t="s">
        <v>4468</v>
      </c>
      <c r="Z406" t="s">
        <v>1015</v>
      </c>
      <c r="AA406" t="s">
        <v>4522</v>
      </c>
      <c r="AB406" t="s">
        <v>4521</v>
      </c>
      <c r="AC406" t="s">
        <v>61</v>
      </c>
      <c r="AD406" t="s">
        <v>19</v>
      </c>
      <c r="AE406" t="s">
        <v>19</v>
      </c>
      <c r="AF406" t="s">
        <v>5492</v>
      </c>
      <c r="AG406" t="s">
        <v>4650</v>
      </c>
      <c r="AH406" t="s">
        <v>22</v>
      </c>
      <c r="AI406" t="s">
        <v>22</v>
      </c>
      <c r="AJ406" t="s">
        <v>22</v>
      </c>
      <c r="AK406" t="s">
        <v>22</v>
      </c>
    </row>
    <row r="407" spans="1:37" ht="11.25" customHeight="1">
      <c r="A407" t="s">
        <v>22</v>
      </c>
      <c r="B407" t="s">
        <v>48</v>
      </c>
      <c r="C407" t="s">
        <v>50</v>
      </c>
      <c r="D407" t="s">
        <v>22</v>
      </c>
      <c r="E407" t="s">
        <v>5392</v>
      </c>
      <c r="F407" t="s">
        <v>1104</v>
      </c>
      <c r="G407" t="s">
        <v>99</v>
      </c>
      <c r="H407" t="s">
        <v>99</v>
      </c>
      <c r="I407" t="s">
        <v>100</v>
      </c>
      <c r="J407" t="s">
        <v>1059</v>
      </c>
      <c r="K407" t="s">
        <v>1060</v>
      </c>
      <c r="L407" t="s">
        <v>5493</v>
      </c>
      <c r="M407" t="s">
        <v>4830</v>
      </c>
      <c r="N407" t="s">
        <v>114</v>
      </c>
      <c r="O407" t="s">
        <v>4520</v>
      </c>
      <c r="P407" t="s">
        <v>4520</v>
      </c>
      <c r="Q407" t="s">
        <v>100</v>
      </c>
      <c r="R407" t="s">
        <v>1059</v>
      </c>
      <c r="S407" t="s">
        <v>1060</v>
      </c>
      <c r="T407" t="s">
        <v>4606</v>
      </c>
      <c r="U407" t="s">
        <v>4793</v>
      </c>
      <c r="V407" t="s">
        <v>586</v>
      </c>
      <c r="W407" t="s">
        <v>4470</v>
      </c>
      <c r="X407" t="s">
        <v>4834</v>
      </c>
      <c r="Y407" t="s">
        <v>4669</v>
      </c>
      <c r="Z407" t="s">
        <v>1015</v>
      </c>
      <c r="AA407" t="s">
        <v>4835</v>
      </c>
      <c r="AB407" t="s">
        <v>4733</v>
      </c>
      <c r="AC407" t="s">
        <v>61</v>
      </c>
      <c r="AD407" t="s">
        <v>19</v>
      </c>
      <c r="AE407" t="s">
        <v>19</v>
      </c>
      <c r="AF407" t="s">
        <v>1823</v>
      </c>
      <c r="AG407" t="s">
        <v>387</v>
      </c>
      <c r="AH407" t="s">
        <v>22</v>
      </c>
      <c r="AI407" t="s">
        <v>22</v>
      </c>
      <c r="AJ407" t="s">
        <v>22</v>
      </c>
      <c r="AK407" t="s">
        <v>22</v>
      </c>
    </row>
    <row r="408" spans="1:37" ht="11.25" customHeight="1">
      <c r="A408" t="s">
        <v>22</v>
      </c>
      <c r="B408" t="s">
        <v>48</v>
      </c>
      <c r="C408" t="s">
        <v>50</v>
      </c>
      <c r="D408" t="s">
        <v>22</v>
      </c>
      <c r="E408" t="s">
        <v>5392</v>
      </c>
      <c r="F408" t="s">
        <v>1104</v>
      </c>
      <c r="G408" t="s">
        <v>99</v>
      </c>
      <c r="H408" t="s">
        <v>99</v>
      </c>
      <c r="I408" t="s">
        <v>100</v>
      </c>
      <c r="J408" t="s">
        <v>1059</v>
      </c>
      <c r="K408" t="s">
        <v>1060</v>
      </c>
      <c r="L408" t="s">
        <v>5494</v>
      </c>
      <c r="M408" t="s">
        <v>4635</v>
      </c>
      <c r="N408" t="s">
        <v>114</v>
      </c>
      <c r="O408" t="s">
        <v>4520</v>
      </c>
      <c r="P408" t="s">
        <v>4520</v>
      </c>
      <c r="Q408" t="s">
        <v>100</v>
      </c>
      <c r="R408" t="s">
        <v>1059</v>
      </c>
      <c r="S408" t="s">
        <v>1060</v>
      </c>
      <c r="T408" t="s">
        <v>4606</v>
      </c>
      <c r="U408" t="s">
        <v>4793</v>
      </c>
      <c r="V408" t="s">
        <v>586</v>
      </c>
      <c r="W408" t="s">
        <v>4470</v>
      </c>
      <c r="X408" t="s">
        <v>4834</v>
      </c>
      <c r="Y408" t="s">
        <v>4669</v>
      </c>
      <c r="Z408" t="s">
        <v>1015</v>
      </c>
      <c r="AA408" t="s">
        <v>5495</v>
      </c>
      <c r="AB408" t="s">
        <v>4733</v>
      </c>
      <c r="AC408" t="s">
        <v>61</v>
      </c>
      <c r="AD408" t="s">
        <v>19</v>
      </c>
      <c r="AE408" t="s">
        <v>19</v>
      </c>
      <c r="AF408" t="s">
        <v>1823</v>
      </c>
      <c r="AG408" t="s">
        <v>5496</v>
      </c>
      <c r="AH408" t="s">
        <v>22</v>
      </c>
      <c r="AI408" t="s">
        <v>22</v>
      </c>
      <c r="AJ408" t="s">
        <v>22</v>
      </c>
      <c r="AK408" t="s">
        <v>22</v>
      </c>
    </row>
    <row r="409" spans="1:37" ht="11.25" customHeight="1">
      <c r="A409" t="s">
        <v>22</v>
      </c>
      <c r="B409" t="s">
        <v>48</v>
      </c>
      <c r="C409" t="s">
        <v>50</v>
      </c>
      <c r="D409" t="s">
        <v>22</v>
      </c>
      <c r="E409" t="s">
        <v>5392</v>
      </c>
      <c r="F409" t="s">
        <v>1104</v>
      </c>
      <c r="G409" t="s">
        <v>99</v>
      </c>
      <c r="H409" t="s">
        <v>99</v>
      </c>
      <c r="I409" t="s">
        <v>100</v>
      </c>
      <c r="J409" t="s">
        <v>1059</v>
      </c>
      <c r="K409" t="s">
        <v>1060</v>
      </c>
      <c r="L409" t="s">
        <v>5497</v>
      </c>
      <c r="M409" t="s">
        <v>5498</v>
      </c>
      <c r="N409" t="s">
        <v>114</v>
      </c>
      <c r="O409" t="s">
        <v>4520</v>
      </c>
      <c r="P409" t="s">
        <v>4520</v>
      </c>
      <c r="Q409" t="s">
        <v>100</v>
      </c>
      <c r="R409" t="s">
        <v>1059</v>
      </c>
      <c r="S409" t="s">
        <v>1060</v>
      </c>
      <c r="T409" t="s">
        <v>4606</v>
      </c>
      <c r="U409" t="s">
        <v>4793</v>
      </c>
      <c r="V409" t="s">
        <v>586</v>
      </c>
      <c r="W409" t="s">
        <v>4470</v>
      </c>
      <c r="X409" t="s">
        <v>4834</v>
      </c>
      <c r="Y409" t="s">
        <v>4669</v>
      </c>
      <c r="Z409" t="s">
        <v>1015</v>
      </c>
      <c r="AA409" t="s">
        <v>5482</v>
      </c>
      <c r="AB409" t="s">
        <v>4733</v>
      </c>
      <c r="AC409" t="s">
        <v>61</v>
      </c>
      <c r="AD409" t="s">
        <v>19</v>
      </c>
      <c r="AE409" t="s">
        <v>19</v>
      </c>
      <c r="AF409" t="s">
        <v>4624</v>
      </c>
      <c r="AG409" t="s">
        <v>1823</v>
      </c>
      <c r="AH409" t="s">
        <v>22</v>
      </c>
      <c r="AI409" t="s">
        <v>22</v>
      </c>
      <c r="AJ409" t="s">
        <v>22</v>
      </c>
      <c r="AK409" t="s">
        <v>22</v>
      </c>
    </row>
    <row r="410" spans="1:37" ht="11.25" customHeight="1">
      <c r="A410" t="s">
        <v>22</v>
      </c>
      <c r="B410" t="s">
        <v>48</v>
      </c>
      <c r="C410" t="s">
        <v>50</v>
      </c>
      <c r="D410" t="s">
        <v>22</v>
      </c>
      <c r="E410" t="s">
        <v>5392</v>
      </c>
      <c r="F410" t="s">
        <v>1104</v>
      </c>
      <c r="G410" t="s">
        <v>99</v>
      </c>
      <c r="H410" t="s">
        <v>99</v>
      </c>
      <c r="I410" t="s">
        <v>100</v>
      </c>
      <c r="J410" t="s">
        <v>1059</v>
      </c>
      <c r="K410" t="s">
        <v>1060</v>
      </c>
      <c r="L410" t="s">
        <v>5499</v>
      </c>
      <c r="M410" t="s">
        <v>5500</v>
      </c>
      <c r="N410" t="s">
        <v>114</v>
      </c>
      <c r="O410" t="s">
        <v>4520</v>
      </c>
      <c r="P410" t="s">
        <v>4520</v>
      </c>
      <c r="Q410" t="s">
        <v>100</v>
      </c>
      <c r="R410" t="s">
        <v>1059</v>
      </c>
      <c r="S410" t="s">
        <v>1060</v>
      </c>
      <c r="T410" t="s">
        <v>4467</v>
      </c>
      <c r="U410" t="s">
        <v>4468</v>
      </c>
      <c r="V410" t="s">
        <v>4521</v>
      </c>
      <c r="W410" t="s">
        <v>4470</v>
      </c>
      <c r="X410" t="s">
        <v>4471</v>
      </c>
      <c r="Y410" t="s">
        <v>4468</v>
      </c>
      <c r="Z410" t="s">
        <v>1015</v>
      </c>
      <c r="AA410" t="s">
        <v>4522</v>
      </c>
      <c r="AB410" t="s">
        <v>4521</v>
      </c>
      <c r="AC410" t="s">
        <v>61</v>
      </c>
      <c r="AD410" t="s">
        <v>19</v>
      </c>
      <c r="AE410" t="s">
        <v>19</v>
      </c>
      <c r="AF410" t="s">
        <v>5501</v>
      </c>
      <c r="AG410" t="s">
        <v>5502</v>
      </c>
      <c r="AH410" t="s">
        <v>22</v>
      </c>
      <c r="AI410" t="s">
        <v>22</v>
      </c>
      <c r="AJ410" t="s">
        <v>22</v>
      </c>
      <c r="AK410" t="s">
        <v>22</v>
      </c>
    </row>
    <row r="411" spans="1:37" ht="11.25" customHeight="1">
      <c r="A411" t="s">
        <v>22</v>
      </c>
      <c r="B411" t="s">
        <v>48</v>
      </c>
      <c r="C411" t="s">
        <v>50</v>
      </c>
      <c r="D411" t="s">
        <v>22</v>
      </c>
      <c r="E411" t="s">
        <v>5392</v>
      </c>
      <c r="F411" t="s">
        <v>1104</v>
      </c>
      <c r="G411" t="s">
        <v>99</v>
      </c>
      <c r="H411" t="s">
        <v>99</v>
      </c>
      <c r="I411" t="s">
        <v>100</v>
      </c>
      <c r="J411" t="s">
        <v>1059</v>
      </c>
      <c r="K411" t="s">
        <v>1060</v>
      </c>
      <c r="L411" t="s">
        <v>4832</v>
      </c>
      <c r="M411" t="s">
        <v>4833</v>
      </c>
      <c r="N411" t="s">
        <v>114</v>
      </c>
      <c r="O411" t="s">
        <v>4520</v>
      </c>
      <c r="P411" t="s">
        <v>4520</v>
      </c>
      <c r="Q411" t="s">
        <v>100</v>
      </c>
      <c r="R411" t="s">
        <v>1059</v>
      </c>
      <c r="S411" t="s">
        <v>1060</v>
      </c>
      <c r="T411" t="s">
        <v>4467</v>
      </c>
      <c r="U411" t="s">
        <v>4468</v>
      </c>
      <c r="V411" t="s">
        <v>4521</v>
      </c>
      <c r="W411" t="s">
        <v>4470</v>
      </c>
      <c r="X411" t="s">
        <v>4471</v>
      </c>
      <c r="Y411" t="s">
        <v>4468</v>
      </c>
      <c r="Z411" t="s">
        <v>1015</v>
      </c>
      <c r="AA411" t="s">
        <v>4522</v>
      </c>
      <c r="AB411" t="s">
        <v>4521</v>
      </c>
      <c r="AC411" t="s">
        <v>61</v>
      </c>
      <c r="AD411" t="s">
        <v>19</v>
      </c>
      <c r="AE411" t="s">
        <v>19</v>
      </c>
      <c r="AF411" t="s">
        <v>4550</v>
      </c>
      <c r="AG411" t="s">
        <v>387</v>
      </c>
      <c r="AH411" t="s">
        <v>22</v>
      </c>
      <c r="AI411" t="s">
        <v>22</v>
      </c>
      <c r="AJ411" t="s">
        <v>22</v>
      </c>
      <c r="AK411" t="s">
        <v>22</v>
      </c>
    </row>
    <row r="412" spans="1:37" ht="11.25" customHeight="1">
      <c r="A412" t="s">
        <v>22</v>
      </c>
      <c r="B412" t="s">
        <v>48</v>
      </c>
      <c r="C412" t="s">
        <v>50</v>
      </c>
      <c r="D412" t="s">
        <v>22</v>
      </c>
      <c r="E412" t="s">
        <v>5392</v>
      </c>
      <c r="F412" t="s">
        <v>1104</v>
      </c>
      <c r="G412" t="s">
        <v>99</v>
      </c>
      <c r="H412" t="s">
        <v>99</v>
      </c>
      <c r="I412" t="s">
        <v>100</v>
      </c>
      <c r="J412" t="s">
        <v>1059</v>
      </c>
      <c r="K412" t="s">
        <v>1060</v>
      </c>
      <c r="L412" t="s">
        <v>5503</v>
      </c>
      <c r="M412" t="s">
        <v>5504</v>
      </c>
      <c r="N412" t="s">
        <v>114</v>
      </c>
      <c r="O412" t="s">
        <v>4520</v>
      </c>
      <c r="P412" t="s">
        <v>4520</v>
      </c>
      <c r="Q412" t="s">
        <v>100</v>
      </c>
      <c r="R412" t="s">
        <v>1059</v>
      </c>
      <c r="S412" t="s">
        <v>1060</v>
      </c>
      <c r="T412" t="s">
        <v>4467</v>
      </c>
      <c r="U412" t="s">
        <v>4468</v>
      </c>
      <c r="V412" t="s">
        <v>4521</v>
      </c>
      <c r="W412" t="s">
        <v>4470</v>
      </c>
      <c r="X412" t="s">
        <v>4471</v>
      </c>
      <c r="Y412" t="s">
        <v>4468</v>
      </c>
      <c r="Z412" t="s">
        <v>1015</v>
      </c>
      <c r="AA412" t="s">
        <v>4522</v>
      </c>
      <c r="AB412" t="s">
        <v>4521</v>
      </c>
      <c r="AC412" t="s">
        <v>61</v>
      </c>
      <c r="AD412" t="s">
        <v>19</v>
      </c>
      <c r="AE412" t="s">
        <v>19</v>
      </c>
      <c r="AF412" t="s">
        <v>5505</v>
      </c>
      <c r="AG412" t="s">
        <v>116</v>
      </c>
      <c r="AH412" t="s">
        <v>22</v>
      </c>
      <c r="AI412" t="s">
        <v>22</v>
      </c>
      <c r="AJ412" t="s">
        <v>22</v>
      </c>
      <c r="AK412" t="s">
        <v>22</v>
      </c>
    </row>
    <row r="413" spans="1:37" ht="11.25" customHeight="1">
      <c r="A413" t="s">
        <v>22</v>
      </c>
      <c r="B413" t="s">
        <v>48</v>
      </c>
      <c r="C413" t="s">
        <v>50</v>
      </c>
      <c r="D413" t="s">
        <v>22</v>
      </c>
      <c r="E413" t="s">
        <v>5392</v>
      </c>
      <c r="F413" t="s">
        <v>1104</v>
      </c>
      <c r="G413" t="s">
        <v>99</v>
      </c>
      <c r="H413" t="s">
        <v>99</v>
      </c>
      <c r="I413" t="s">
        <v>100</v>
      </c>
      <c r="J413" t="s">
        <v>1059</v>
      </c>
      <c r="K413" t="s">
        <v>1060</v>
      </c>
      <c r="L413" t="s">
        <v>4818</v>
      </c>
      <c r="M413" t="s">
        <v>5506</v>
      </c>
      <c r="N413" t="s">
        <v>114</v>
      </c>
      <c r="O413" t="s">
        <v>4520</v>
      </c>
      <c r="P413" t="s">
        <v>4520</v>
      </c>
      <c r="Q413" t="s">
        <v>100</v>
      </c>
      <c r="R413" t="s">
        <v>1059</v>
      </c>
      <c r="S413" t="s">
        <v>1060</v>
      </c>
      <c r="T413" t="s">
        <v>4467</v>
      </c>
      <c r="U413" t="s">
        <v>4468</v>
      </c>
      <c r="V413" t="s">
        <v>4521</v>
      </c>
      <c r="W413" t="s">
        <v>4470</v>
      </c>
      <c r="X413" t="s">
        <v>4471</v>
      </c>
      <c r="Y413" t="s">
        <v>4468</v>
      </c>
      <c r="Z413" t="s">
        <v>1015</v>
      </c>
      <c r="AA413" t="s">
        <v>4522</v>
      </c>
      <c r="AB413" t="s">
        <v>4521</v>
      </c>
      <c r="AC413" t="s">
        <v>61</v>
      </c>
      <c r="AD413" t="s">
        <v>19</v>
      </c>
      <c r="AE413" t="s">
        <v>19</v>
      </c>
      <c r="AF413" t="s">
        <v>4532</v>
      </c>
      <c r="AG413" t="s">
        <v>5507</v>
      </c>
      <c r="AH413" t="s">
        <v>22</v>
      </c>
      <c r="AI413" t="s">
        <v>22</v>
      </c>
      <c r="AJ413" t="s">
        <v>22</v>
      </c>
      <c r="AK413" t="s">
        <v>22</v>
      </c>
    </row>
    <row r="414" spans="1:37" ht="11.25" customHeight="1">
      <c r="A414" t="s">
        <v>22</v>
      </c>
      <c r="B414" t="s">
        <v>48</v>
      </c>
      <c r="C414" t="s">
        <v>50</v>
      </c>
      <c r="D414" t="s">
        <v>22</v>
      </c>
      <c r="E414" t="s">
        <v>5392</v>
      </c>
      <c r="F414" t="s">
        <v>1104</v>
      </c>
      <c r="G414" t="s">
        <v>99</v>
      </c>
      <c r="H414" t="s">
        <v>99</v>
      </c>
      <c r="I414" t="s">
        <v>100</v>
      </c>
      <c r="J414" t="s">
        <v>1059</v>
      </c>
      <c r="K414" t="s">
        <v>1060</v>
      </c>
      <c r="L414" t="s">
        <v>4654</v>
      </c>
      <c r="M414" t="s">
        <v>1112</v>
      </c>
      <c r="N414" t="s">
        <v>114</v>
      </c>
      <c r="O414" t="s">
        <v>4520</v>
      </c>
      <c r="P414" t="s">
        <v>4520</v>
      </c>
      <c r="Q414" t="s">
        <v>100</v>
      </c>
      <c r="R414" t="s">
        <v>1059</v>
      </c>
      <c r="S414" t="s">
        <v>1060</v>
      </c>
      <c r="T414" t="s">
        <v>4467</v>
      </c>
      <c r="U414" t="s">
        <v>4468</v>
      </c>
      <c r="V414" t="s">
        <v>4521</v>
      </c>
      <c r="W414" t="s">
        <v>4470</v>
      </c>
      <c r="X414" t="s">
        <v>4471</v>
      </c>
      <c r="Y414" t="s">
        <v>4468</v>
      </c>
      <c r="Z414" t="s">
        <v>1015</v>
      </c>
      <c r="AA414" t="s">
        <v>4522</v>
      </c>
      <c r="AB414" t="s">
        <v>4521</v>
      </c>
      <c r="AC414" t="s">
        <v>61</v>
      </c>
      <c r="AD414" t="s">
        <v>19</v>
      </c>
      <c r="AE414" t="s">
        <v>19</v>
      </c>
      <c r="AF414" t="s">
        <v>5508</v>
      </c>
      <c r="AG414" t="s">
        <v>5509</v>
      </c>
      <c r="AH414" t="s">
        <v>22</v>
      </c>
      <c r="AI414" t="s">
        <v>22</v>
      </c>
      <c r="AJ414" t="s">
        <v>22</v>
      </c>
      <c r="AK414" t="s">
        <v>22</v>
      </c>
    </row>
    <row r="415" spans="1:37" ht="11.25" customHeight="1">
      <c r="A415" t="s">
        <v>22</v>
      </c>
      <c r="B415" t="s">
        <v>48</v>
      </c>
      <c r="C415" t="s">
        <v>50</v>
      </c>
      <c r="D415" t="s">
        <v>22</v>
      </c>
      <c r="E415" t="s">
        <v>5392</v>
      </c>
      <c r="F415" t="s">
        <v>1104</v>
      </c>
      <c r="G415" t="s">
        <v>99</v>
      </c>
      <c r="H415" t="s">
        <v>99</v>
      </c>
      <c r="I415" t="s">
        <v>100</v>
      </c>
      <c r="J415" t="s">
        <v>1059</v>
      </c>
      <c r="K415" t="s">
        <v>1060</v>
      </c>
      <c r="L415" t="s">
        <v>4654</v>
      </c>
      <c r="M415" t="s">
        <v>1153</v>
      </c>
      <c r="N415" t="s">
        <v>114</v>
      </c>
      <c r="O415" t="s">
        <v>4520</v>
      </c>
      <c r="P415" t="s">
        <v>4520</v>
      </c>
      <c r="Q415" t="s">
        <v>100</v>
      </c>
      <c r="R415" t="s">
        <v>1059</v>
      </c>
      <c r="S415" t="s">
        <v>1060</v>
      </c>
      <c r="T415" t="s">
        <v>4467</v>
      </c>
      <c r="U415" t="s">
        <v>4468</v>
      </c>
      <c r="V415" t="s">
        <v>4521</v>
      </c>
      <c r="W415" t="s">
        <v>4470</v>
      </c>
      <c r="X415" t="s">
        <v>4471</v>
      </c>
      <c r="Y415" t="s">
        <v>4468</v>
      </c>
      <c r="Z415" t="s">
        <v>1015</v>
      </c>
      <c r="AA415" t="s">
        <v>4522</v>
      </c>
      <c r="AB415" t="s">
        <v>4521</v>
      </c>
      <c r="AC415" t="s">
        <v>61</v>
      </c>
      <c r="AD415" t="s">
        <v>19</v>
      </c>
      <c r="AE415" t="s">
        <v>19</v>
      </c>
      <c r="AF415" t="s">
        <v>5510</v>
      </c>
      <c r="AG415" t="s">
        <v>5511</v>
      </c>
      <c r="AH415" t="s">
        <v>22</v>
      </c>
      <c r="AI415" t="s">
        <v>22</v>
      </c>
      <c r="AJ415" t="s">
        <v>22</v>
      </c>
      <c r="AK415" t="s">
        <v>22</v>
      </c>
    </row>
    <row r="416" spans="1:37" ht="11.25" customHeight="1">
      <c r="A416" t="s">
        <v>22</v>
      </c>
      <c r="B416" t="s">
        <v>48</v>
      </c>
      <c r="C416" t="s">
        <v>50</v>
      </c>
      <c r="D416" t="s">
        <v>22</v>
      </c>
      <c r="E416" t="s">
        <v>5392</v>
      </c>
      <c r="F416" t="s">
        <v>1104</v>
      </c>
      <c r="G416" t="s">
        <v>99</v>
      </c>
      <c r="H416" t="s">
        <v>99</v>
      </c>
      <c r="I416" t="s">
        <v>100</v>
      </c>
      <c r="J416" t="s">
        <v>1059</v>
      </c>
      <c r="K416" t="s">
        <v>1060</v>
      </c>
      <c r="L416" t="s">
        <v>5432</v>
      </c>
      <c r="M416" t="s">
        <v>1827</v>
      </c>
      <c r="N416" t="s">
        <v>114</v>
      </c>
      <c r="O416" t="s">
        <v>4520</v>
      </c>
      <c r="P416" t="s">
        <v>4520</v>
      </c>
      <c r="Q416" t="s">
        <v>100</v>
      </c>
      <c r="R416" t="s">
        <v>1059</v>
      </c>
      <c r="S416" t="s">
        <v>1060</v>
      </c>
      <c r="T416" t="s">
        <v>4467</v>
      </c>
      <c r="U416" t="s">
        <v>4468</v>
      </c>
      <c r="V416" t="s">
        <v>4521</v>
      </c>
      <c r="W416" t="s">
        <v>4470</v>
      </c>
      <c r="X416" t="s">
        <v>4471</v>
      </c>
      <c r="Y416" t="s">
        <v>4468</v>
      </c>
      <c r="Z416" t="s">
        <v>1015</v>
      </c>
      <c r="AA416" t="s">
        <v>4522</v>
      </c>
      <c r="AB416" t="s">
        <v>4521</v>
      </c>
      <c r="AC416" t="s">
        <v>61</v>
      </c>
      <c r="AD416" t="s">
        <v>19</v>
      </c>
      <c r="AE416" t="s">
        <v>19</v>
      </c>
      <c r="AF416" t="s">
        <v>1774</v>
      </c>
      <c r="AG416" t="s">
        <v>5512</v>
      </c>
      <c r="AH416" t="s">
        <v>22</v>
      </c>
      <c r="AI416" t="s">
        <v>22</v>
      </c>
      <c r="AJ416" t="s">
        <v>22</v>
      </c>
      <c r="AK416" t="s">
        <v>22</v>
      </c>
    </row>
    <row r="417" spans="1:37" ht="11.25" customHeight="1">
      <c r="A417" t="s">
        <v>22</v>
      </c>
      <c r="B417" t="s">
        <v>48</v>
      </c>
      <c r="C417" t="s">
        <v>50</v>
      </c>
      <c r="D417" t="s">
        <v>22</v>
      </c>
      <c r="E417" t="s">
        <v>5392</v>
      </c>
      <c r="F417" t="s">
        <v>1104</v>
      </c>
      <c r="G417" t="s">
        <v>99</v>
      </c>
      <c r="H417" t="s">
        <v>99</v>
      </c>
      <c r="I417" t="s">
        <v>100</v>
      </c>
      <c r="J417" t="s">
        <v>1059</v>
      </c>
      <c r="K417" t="s">
        <v>1060</v>
      </c>
      <c r="L417" t="s">
        <v>4748</v>
      </c>
      <c r="M417" t="s">
        <v>5513</v>
      </c>
      <c r="N417" t="s">
        <v>114</v>
      </c>
      <c r="O417" t="s">
        <v>4520</v>
      </c>
      <c r="P417" t="s">
        <v>4520</v>
      </c>
      <c r="Q417" t="s">
        <v>100</v>
      </c>
      <c r="R417" t="s">
        <v>1059</v>
      </c>
      <c r="S417" t="s">
        <v>1060</v>
      </c>
      <c r="T417" t="s">
        <v>4606</v>
      </c>
      <c r="U417" t="s">
        <v>4793</v>
      </c>
      <c r="V417" t="s">
        <v>586</v>
      </c>
      <c r="W417" t="s">
        <v>4470</v>
      </c>
      <c r="X417" t="s">
        <v>4834</v>
      </c>
      <c r="Y417" t="s">
        <v>4669</v>
      </c>
      <c r="Z417" t="s">
        <v>1015</v>
      </c>
      <c r="AA417" t="s">
        <v>5514</v>
      </c>
      <c r="AB417" t="s">
        <v>4733</v>
      </c>
      <c r="AC417" t="s">
        <v>61</v>
      </c>
      <c r="AD417" t="s">
        <v>19</v>
      </c>
      <c r="AE417" t="s">
        <v>19</v>
      </c>
      <c r="AF417" t="s">
        <v>4523</v>
      </c>
      <c r="AG417" t="s">
        <v>5515</v>
      </c>
      <c r="AH417" t="s">
        <v>22</v>
      </c>
      <c r="AI417" t="s">
        <v>22</v>
      </c>
      <c r="AJ417" t="s">
        <v>22</v>
      </c>
      <c r="AK417" t="s">
        <v>22</v>
      </c>
    </row>
    <row r="418" spans="1:37" ht="11.25" customHeight="1">
      <c r="A418" t="s">
        <v>22</v>
      </c>
      <c r="B418" t="s">
        <v>48</v>
      </c>
      <c r="C418" t="s">
        <v>50</v>
      </c>
      <c r="D418" t="s">
        <v>22</v>
      </c>
      <c r="E418" t="s">
        <v>5392</v>
      </c>
      <c r="F418" t="s">
        <v>1104</v>
      </c>
      <c r="G418" t="s">
        <v>99</v>
      </c>
      <c r="H418" t="s">
        <v>99</v>
      </c>
      <c r="I418" t="s">
        <v>100</v>
      </c>
      <c r="J418" t="s">
        <v>1059</v>
      </c>
      <c r="K418" t="s">
        <v>1060</v>
      </c>
      <c r="L418" t="s">
        <v>5516</v>
      </c>
      <c r="M418" t="s">
        <v>1118</v>
      </c>
      <c r="N418" t="s">
        <v>114</v>
      </c>
      <c r="O418" t="s">
        <v>4520</v>
      </c>
      <c r="P418" t="s">
        <v>4520</v>
      </c>
      <c r="Q418" t="s">
        <v>100</v>
      </c>
      <c r="R418" t="s">
        <v>1059</v>
      </c>
      <c r="S418" t="s">
        <v>1060</v>
      </c>
      <c r="T418" t="s">
        <v>4467</v>
      </c>
      <c r="U418" t="s">
        <v>4468</v>
      </c>
      <c r="V418" t="s">
        <v>4521</v>
      </c>
      <c r="W418" t="s">
        <v>4470</v>
      </c>
      <c r="X418" t="s">
        <v>4471</v>
      </c>
      <c r="Y418" t="s">
        <v>4468</v>
      </c>
      <c r="Z418" t="s">
        <v>1015</v>
      </c>
      <c r="AA418" t="s">
        <v>4522</v>
      </c>
      <c r="AB418" t="s">
        <v>4521</v>
      </c>
      <c r="AC418" t="s">
        <v>61</v>
      </c>
      <c r="AD418" t="s">
        <v>19</v>
      </c>
      <c r="AE418" t="s">
        <v>19</v>
      </c>
      <c r="AF418" t="s">
        <v>4942</v>
      </c>
      <c r="AG418" t="s">
        <v>5517</v>
      </c>
      <c r="AH418" t="s">
        <v>22</v>
      </c>
      <c r="AI418" t="s">
        <v>22</v>
      </c>
      <c r="AJ418" t="s">
        <v>22</v>
      </c>
      <c r="AK418" t="s">
        <v>22</v>
      </c>
    </row>
    <row r="419" spans="1:37" ht="11.25" customHeight="1">
      <c r="A419" t="s">
        <v>22</v>
      </c>
      <c r="B419" t="s">
        <v>48</v>
      </c>
      <c r="C419" t="s">
        <v>50</v>
      </c>
      <c r="D419" t="s">
        <v>22</v>
      </c>
      <c r="E419" t="s">
        <v>5392</v>
      </c>
      <c r="F419" t="s">
        <v>1104</v>
      </c>
      <c r="G419" t="s">
        <v>99</v>
      </c>
      <c r="H419" t="s">
        <v>99</v>
      </c>
      <c r="I419" t="s">
        <v>100</v>
      </c>
      <c r="J419" t="s">
        <v>1059</v>
      </c>
      <c r="K419" t="s">
        <v>1060</v>
      </c>
      <c r="L419" t="s">
        <v>5518</v>
      </c>
      <c r="M419" t="s">
        <v>1153</v>
      </c>
      <c r="N419" t="s">
        <v>114</v>
      </c>
      <c r="O419" t="s">
        <v>4520</v>
      </c>
      <c r="P419" t="s">
        <v>4520</v>
      </c>
      <c r="Q419" t="s">
        <v>100</v>
      </c>
      <c r="R419" t="s">
        <v>1059</v>
      </c>
      <c r="S419" t="s">
        <v>1060</v>
      </c>
      <c r="T419" t="s">
        <v>4467</v>
      </c>
      <c r="U419" t="s">
        <v>4468</v>
      </c>
      <c r="V419" t="s">
        <v>4521</v>
      </c>
      <c r="W419" t="s">
        <v>4470</v>
      </c>
      <c r="X419" t="s">
        <v>4471</v>
      </c>
      <c r="Y419" t="s">
        <v>4468</v>
      </c>
      <c r="Z419" t="s">
        <v>1015</v>
      </c>
      <c r="AA419" t="s">
        <v>4522</v>
      </c>
      <c r="AB419" t="s">
        <v>4521</v>
      </c>
      <c r="AC419" t="s">
        <v>61</v>
      </c>
      <c r="AD419" t="s">
        <v>19</v>
      </c>
      <c r="AE419" t="s">
        <v>19</v>
      </c>
      <c r="AF419" t="s">
        <v>5519</v>
      </c>
      <c r="AG419" t="s">
        <v>5520</v>
      </c>
      <c r="AH419" t="s">
        <v>22</v>
      </c>
      <c r="AI419" t="s">
        <v>22</v>
      </c>
      <c r="AJ419" t="s">
        <v>22</v>
      </c>
      <c r="AK419" t="s">
        <v>22</v>
      </c>
    </row>
    <row r="420" spans="1:37" ht="11.25" customHeight="1">
      <c r="A420" t="s">
        <v>22</v>
      </c>
      <c r="B420" t="s">
        <v>48</v>
      </c>
      <c r="C420" t="s">
        <v>50</v>
      </c>
      <c r="D420" t="s">
        <v>22</v>
      </c>
      <c r="E420" t="s">
        <v>5392</v>
      </c>
      <c r="F420" t="s">
        <v>1104</v>
      </c>
      <c r="G420" t="s">
        <v>99</v>
      </c>
      <c r="H420" t="s">
        <v>99</v>
      </c>
      <c r="I420" t="s">
        <v>100</v>
      </c>
      <c r="J420" t="s">
        <v>1059</v>
      </c>
      <c r="K420" t="s">
        <v>1060</v>
      </c>
      <c r="L420" t="s">
        <v>5402</v>
      </c>
      <c r="M420" t="s">
        <v>1818</v>
      </c>
      <c r="N420" t="s">
        <v>114</v>
      </c>
      <c r="O420" t="s">
        <v>4520</v>
      </c>
      <c r="P420" t="s">
        <v>4520</v>
      </c>
      <c r="Q420" t="s">
        <v>100</v>
      </c>
      <c r="R420" t="s">
        <v>1059</v>
      </c>
      <c r="S420" t="s">
        <v>1060</v>
      </c>
      <c r="T420" t="s">
        <v>4467</v>
      </c>
      <c r="U420" t="s">
        <v>4468</v>
      </c>
      <c r="V420" t="s">
        <v>4521</v>
      </c>
      <c r="W420" t="s">
        <v>4470</v>
      </c>
      <c r="X420" t="s">
        <v>4471</v>
      </c>
      <c r="Y420" t="s">
        <v>4468</v>
      </c>
      <c r="Z420" t="s">
        <v>1015</v>
      </c>
      <c r="AA420" t="s">
        <v>4522</v>
      </c>
      <c r="AB420" t="s">
        <v>4521</v>
      </c>
      <c r="AC420" t="s">
        <v>61</v>
      </c>
      <c r="AD420" t="s">
        <v>19</v>
      </c>
      <c r="AE420" t="s">
        <v>19</v>
      </c>
      <c r="AF420" t="s">
        <v>4532</v>
      </c>
      <c r="AG420" t="s">
        <v>5521</v>
      </c>
      <c r="AH420" t="s">
        <v>22</v>
      </c>
      <c r="AI420" t="s">
        <v>22</v>
      </c>
      <c r="AJ420" t="s">
        <v>22</v>
      </c>
      <c r="AK420" t="s">
        <v>22</v>
      </c>
    </row>
    <row r="421" spans="1:37" ht="11.25" customHeight="1">
      <c r="A421" t="s">
        <v>22</v>
      </c>
      <c r="B421" t="s">
        <v>48</v>
      </c>
      <c r="C421" t="s">
        <v>50</v>
      </c>
      <c r="D421" t="s">
        <v>22</v>
      </c>
      <c r="E421" t="s">
        <v>5392</v>
      </c>
      <c r="F421" t="s">
        <v>1104</v>
      </c>
      <c r="G421" t="s">
        <v>99</v>
      </c>
      <c r="H421" t="s">
        <v>99</v>
      </c>
      <c r="I421" t="s">
        <v>100</v>
      </c>
      <c r="J421" t="s">
        <v>1059</v>
      </c>
      <c r="K421" t="s">
        <v>1060</v>
      </c>
      <c r="L421" t="s">
        <v>5522</v>
      </c>
      <c r="M421" t="s">
        <v>5523</v>
      </c>
      <c r="N421" t="s">
        <v>114</v>
      </c>
      <c r="O421" t="s">
        <v>4520</v>
      </c>
      <c r="P421" t="s">
        <v>4520</v>
      </c>
      <c r="Q421" t="s">
        <v>100</v>
      </c>
      <c r="R421" t="s">
        <v>1059</v>
      </c>
      <c r="S421" t="s">
        <v>1060</v>
      </c>
      <c r="T421" t="s">
        <v>4467</v>
      </c>
      <c r="U421" t="s">
        <v>4468</v>
      </c>
      <c r="V421" t="s">
        <v>4521</v>
      </c>
      <c r="W421" t="s">
        <v>4470</v>
      </c>
      <c r="X421" t="s">
        <v>4471</v>
      </c>
      <c r="Y421" t="s">
        <v>4468</v>
      </c>
      <c r="Z421" t="s">
        <v>1015</v>
      </c>
      <c r="AA421" t="s">
        <v>4522</v>
      </c>
      <c r="AB421" t="s">
        <v>4521</v>
      </c>
      <c r="AC421" t="s">
        <v>61</v>
      </c>
      <c r="AD421" t="s">
        <v>19</v>
      </c>
      <c r="AE421" t="s">
        <v>19</v>
      </c>
      <c r="AF421" t="s">
        <v>4523</v>
      </c>
      <c r="AG421" t="s">
        <v>387</v>
      </c>
      <c r="AH421" t="s">
        <v>22</v>
      </c>
      <c r="AI421" t="s">
        <v>22</v>
      </c>
      <c r="AJ421" t="s">
        <v>22</v>
      </c>
      <c r="AK421" t="s">
        <v>22</v>
      </c>
    </row>
    <row r="422" spans="1:37" ht="11.25" customHeight="1">
      <c r="A422" t="s">
        <v>22</v>
      </c>
      <c r="B422" t="s">
        <v>48</v>
      </c>
      <c r="C422" t="s">
        <v>50</v>
      </c>
      <c r="D422" t="s">
        <v>22</v>
      </c>
      <c r="E422" t="s">
        <v>5392</v>
      </c>
      <c r="F422" t="s">
        <v>1104</v>
      </c>
      <c r="G422" t="s">
        <v>99</v>
      </c>
      <c r="H422" t="s">
        <v>99</v>
      </c>
      <c r="I422" t="s">
        <v>100</v>
      </c>
      <c r="J422" t="s">
        <v>1059</v>
      </c>
      <c r="K422" t="s">
        <v>1060</v>
      </c>
      <c r="L422" t="s">
        <v>5524</v>
      </c>
      <c r="M422" t="s">
        <v>102</v>
      </c>
      <c r="N422" t="s">
        <v>114</v>
      </c>
      <c r="O422" t="s">
        <v>4520</v>
      </c>
      <c r="P422" t="s">
        <v>4520</v>
      </c>
      <c r="Q422" t="s">
        <v>100</v>
      </c>
      <c r="R422" t="s">
        <v>1059</v>
      </c>
      <c r="S422" t="s">
        <v>1060</v>
      </c>
      <c r="T422" t="s">
        <v>4467</v>
      </c>
      <c r="U422" t="s">
        <v>4468</v>
      </c>
      <c r="V422" t="s">
        <v>4521</v>
      </c>
      <c r="W422" t="s">
        <v>4470</v>
      </c>
      <c r="X422" t="s">
        <v>4471</v>
      </c>
      <c r="Y422" t="s">
        <v>4468</v>
      </c>
      <c r="Z422" t="s">
        <v>1015</v>
      </c>
      <c r="AA422" t="s">
        <v>4522</v>
      </c>
      <c r="AB422" t="s">
        <v>4521</v>
      </c>
      <c r="AC422" t="s">
        <v>61</v>
      </c>
      <c r="AD422" t="s">
        <v>19</v>
      </c>
      <c r="AE422" t="s">
        <v>19</v>
      </c>
      <c r="AF422" t="s">
        <v>4942</v>
      </c>
      <c r="AG422" t="s">
        <v>5525</v>
      </c>
      <c r="AH422" t="s">
        <v>22</v>
      </c>
      <c r="AI422" t="s">
        <v>22</v>
      </c>
      <c r="AJ422" t="s">
        <v>22</v>
      </c>
      <c r="AK422" t="s">
        <v>22</v>
      </c>
    </row>
    <row r="423" spans="1:37" ht="11.25" customHeight="1">
      <c r="A423" t="s">
        <v>22</v>
      </c>
      <c r="B423" t="s">
        <v>48</v>
      </c>
      <c r="C423" t="s">
        <v>50</v>
      </c>
      <c r="D423" t="s">
        <v>22</v>
      </c>
      <c r="E423" t="s">
        <v>5392</v>
      </c>
      <c r="F423" t="s">
        <v>1104</v>
      </c>
      <c r="G423" t="s">
        <v>99</v>
      </c>
      <c r="H423" t="s">
        <v>99</v>
      </c>
      <c r="I423" t="s">
        <v>100</v>
      </c>
      <c r="J423" t="s">
        <v>1059</v>
      </c>
      <c r="K423" t="s">
        <v>1060</v>
      </c>
      <c r="L423" t="s">
        <v>5524</v>
      </c>
      <c r="M423" t="s">
        <v>1159</v>
      </c>
      <c r="N423" t="s">
        <v>114</v>
      </c>
      <c r="O423" t="s">
        <v>4520</v>
      </c>
      <c r="P423" t="s">
        <v>4520</v>
      </c>
      <c r="Q423" t="s">
        <v>100</v>
      </c>
      <c r="R423" t="s">
        <v>1059</v>
      </c>
      <c r="S423" t="s">
        <v>1060</v>
      </c>
      <c r="T423" t="s">
        <v>4467</v>
      </c>
      <c r="U423" t="s">
        <v>4468</v>
      </c>
      <c r="V423" t="s">
        <v>4521</v>
      </c>
      <c r="W423" t="s">
        <v>4470</v>
      </c>
      <c r="X423" t="s">
        <v>4471</v>
      </c>
      <c r="Y423" t="s">
        <v>4468</v>
      </c>
      <c r="Z423" t="s">
        <v>1015</v>
      </c>
      <c r="AA423" t="s">
        <v>4522</v>
      </c>
      <c r="AB423" t="s">
        <v>4521</v>
      </c>
      <c r="AC423" t="s">
        <v>61</v>
      </c>
      <c r="AD423" t="s">
        <v>19</v>
      </c>
      <c r="AE423" t="s">
        <v>19</v>
      </c>
      <c r="AF423" t="s">
        <v>4942</v>
      </c>
      <c r="AG423" t="s">
        <v>5526</v>
      </c>
      <c r="AH423" t="s">
        <v>22</v>
      </c>
      <c r="AI423" t="s">
        <v>22</v>
      </c>
      <c r="AJ423" t="s">
        <v>22</v>
      </c>
      <c r="AK423" t="s">
        <v>22</v>
      </c>
    </row>
    <row r="424" spans="1:37" ht="11.25" customHeight="1">
      <c r="A424" t="s">
        <v>22</v>
      </c>
      <c r="B424" t="s">
        <v>48</v>
      </c>
      <c r="C424" t="s">
        <v>50</v>
      </c>
      <c r="D424" t="s">
        <v>22</v>
      </c>
      <c r="E424" t="s">
        <v>5392</v>
      </c>
      <c r="F424" t="s">
        <v>1104</v>
      </c>
      <c r="G424" t="s">
        <v>99</v>
      </c>
      <c r="H424" t="s">
        <v>99</v>
      </c>
      <c r="I424" t="s">
        <v>100</v>
      </c>
      <c r="J424" t="s">
        <v>1059</v>
      </c>
      <c r="K424" t="s">
        <v>1060</v>
      </c>
      <c r="L424" t="s">
        <v>5527</v>
      </c>
      <c r="M424" t="s">
        <v>89</v>
      </c>
      <c r="N424" t="s">
        <v>114</v>
      </c>
      <c r="O424" t="s">
        <v>4520</v>
      </c>
      <c r="P424" t="s">
        <v>4520</v>
      </c>
      <c r="Q424" t="s">
        <v>100</v>
      </c>
      <c r="R424" t="s">
        <v>1059</v>
      </c>
      <c r="S424" t="s">
        <v>1060</v>
      </c>
      <c r="T424" t="s">
        <v>4467</v>
      </c>
      <c r="U424" t="s">
        <v>4468</v>
      </c>
      <c r="V424" t="s">
        <v>4521</v>
      </c>
      <c r="W424" t="s">
        <v>4470</v>
      </c>
      <c r="X424" t="s">
        <v>4471</v>
      </c>
      <c r="Y424" t="s">
        <v>4468</v>
      </c>
      <c r="Z424" t="s">
        <v>1015</v>
      </c>
      <c r="AA424" t="s">
        <v>4522</v>
      </c>
      <c r="AB424" t="s">
        <v>4521</v>
      </c>
      <c r="AC424" t="s">
        <v>61</v>
      </c>
      <c r="AD424" t="s">
        <v>19</v>
      </c>
      <c r="AE424" t="s">
        <v>19</v>
      </c>
      <c r="AF424" t="s">
        <v>5528</v>
      </c>
      <c r="AG424" t="s">
        <v>1823</v>
      </c>
      <c r="AH424" t="s">
        <v>22</v>
      </c>
      <c r="AI424" t="s">
        <v>22</v>
      </c>
      <c r="AJ424" t="s">
        <v>22</v>
      </c>
      <c r="AK424" t="s">
        <v>22</v>
      </c>
    </row>
    <row r="425" spans="1:37" ht="11.25" customHeight="1">
      <c r="A425" t="s">
        <v>22</v>
      </c>
      <c r="B425" t="s">
        <v>48</v>
      </c>
      <c r="C425" t="s">
        <v>50</v>
      </c>
      <c r="D425" t="s">
        <v>22</v>
      </c>
      <c r="E425" t="s">
        <v>5392</v>
      </c>
      <c r="F425" t="s">
        <v>1104</v>
      </c>
      <c r="G425" t="s">
        <v>99</v>
      </c>
      <c r="H425" t="s">
        <v>99</v>
      </c>
      <c r="I425" t="s">
        <v>100</v>
      </c>
      <c r="J425" t="s">
        <v>1059</v>
      </c>
      <c r="K425" t="s">
        <v>1060</v>
      </c>
      <c r="L425" t="s">
        <v>5413</v>
      </c>
      <c r="M425" t="s">
        <v>5529</v>
      </c>
      <c r="N425" t="s">
        <v>114</v>
      </c>
      <c r="O425" t="s">
        <v>4520</v>
      </c>
      <c r="P425" t="s">
        <v>4520</v>
      </c>
      <c r="Q425" t="s">
        <v>100</v>
      </c>
      <c r="R425" t="s">
        <v>1059</v>
      </c>
      <c r="S425" t="s">
        <v>1060</v>
      </c>
      <c r="T425" t="s">
        <v>4467</v>
      </c>
      <c r="U425" t="s">
        <v>4468</v>
      </c>
      <c r="V425" t="s">
        <v>4521</v>
      </c>
      <c r="W425" t="s">
        <v>4470</v>
      </c>
      <c r="X425" t="s">
        <v>4471</v>
      </c>
      <c r="Y425" t="s">
        <v>4468</v>
      </c>
      <c r="Z425" t="s">
        <v>1015</v>
      </c>
      <c r="AA425" t="s">
        <v>4522</v>
      </c>
      <c r="AB425" t="s">
        <v>4521</v>
      </c>
      <c r="AC425" t="s">
        <v>61</v>
      </c>
      <c r="AD425" t="s">
        <v>19</v>
      </c>
      <c r="AE425" t="s">
        <v>19</v>
      </c>
      <c r="AF425" t="s">
        <v>4942</v>
      </c>
      <c r="AG425" t="s">
        <v>5530</v>
      </c>
      <c r="AH425" t="s">
        <v>22</v>
      </c>
      <c r="AI425" t="s">
        <v>22</v>
      </c>
      <c r="AJ425" t="s">
        <v>22</v>
      </c>
      <c r="AK425" t="s">
        <v>22</v>
      </c>
    </row>
    <row r="426" spans="1:37" ht="11.25" customHeight="1">
      <c r="A426" t="s">
        <v>22</v>
      </c>
      <c r="B426" t="s">
        <v>48</v>
      </c>
      <c r="C426" t="s">
        <v>50</v>
      </c>
      <c r="D426" t="s">
        <v>22</v>
      </c>
      <c r="E426" t="s">
        <v>5392</v>
      </c>
      <c r="F426" t="s">
        <v>1104</v>
      </c>
      <c r="G426" t="s">
        <v>99</v>
      </c>
      <c r="H426" t="s">
        <v>99</v>
      </c>
      <c r="I426" t="s">
        <v>100</v>
      </c>
      <c r="J426" t="s">
        <v>1059</v>
      </c>
      <c r="K426" t="s">
        <v>1060</v>
      </c>
      <c r="L426" t="s">
        <v>5531</v>
      </c>
      <c r="M426" t="s">
        <v>162</v>
      </c>
      <c r="N426" t="s">
        <v>114</v>
      </c>
      <c r="O426" t="s">
        <v>4520</v>
      </c>
      <c r="P426" t="s">
        <v>4520</v>
      </c>
      <c r="Q426" t="s">
        <v>100</v>
      </c>
      <c r="R426" t="s">
        <v>1059</v>
      </c>
      <c r="S426" t="s">
        <v>1060</v>
      </c>
      <c r="T426" t="s">
        <v>4467</v>
      </c>
      <c r="U426" t="s">
        <v>4468</v>
      </c>
      <c r="V426" t="s">
        <v>4521</v>
      </c>
      <c r="W426" t="s">
        <v>4470</v>
      </c>
      <c r="X426" t="s">
        <v>4471</v>
      </c>
      <c r="Y426" t="s">
        <v>4468</v>
      </c>
      <c r="Z426" t="s">
        <v>1015</v>
      </c>
      <c r="AA426" t="s">
        <v>4522</v>
      </c>
      <c r="AB426" t="s">
        <v>4521</v>
      </c>
      <c r="AC426" t="s">
        <v>61</v>
      </c>
      <c r="AD426" t="s">
        <v>19</v>
      </c>
      <c r="AE426" t="s">
        <v>19</v>
      </c>
      <c r="AF426" t="s">
        <v>4616</v>
      </c>
      <c r="AG426" t="s">
        <v>5532</v>
      </c>
      <c r="AH426" t="s">
        <v>22</v>
      </c>
      <c r="AI426" t="s">
        <v>22</v>
      </c>
      <c r="AJ426" t="s">
        <v>22</v>
      </c>
      <c r="AK426" t="s">
        <v>22</v>
      </c>
    </row>
    <row r="427" spans="1:37" ht="11.25" customHeight="1">
      <c r="A427" t="s">
        <v>22</v>
      </c>
      <c r="B427" t="s">
        <v>48</v>
      </c>
      <c r="C427" t="s">
        <v>50</v>
      </c>
      <c r="D427" t="s">
        <v>22</v>
      </c>
      <c r="E427" t="s">
        <v>5392</v>
      </c>
      <c r="F427" t="s">
        <v>1104</v>
      </c>
      <c r="G427" t="s">
        <v>99</v>
      </c>
      <c r="H427" t="s">
        <v>99</v>
      </c>
      <c r="I427" t="s">
        <v>100</v>
      </c>
      <c r="J427" t="s">
        <v>1059</v>
      </c>
      <c r="K427" t="s">
        <v>1060</v>
      </c>
      <c r="L427" t="s">
        <v>5533</v>
      </c>
      <c r="M427" t="s">
        <v>90</v>
      </c>
      <c r="N427" t="s">
        <v>114</v>
      </c>
      <c r="O427" t="s">
        <v>4520</v>
      </c>
      <c r="P427" t="s">
        <v>4520</v>
      </c>
      <c r="Q427" t="s">
        <v>100</v>
      </c>
      <c r="R427" t="s">
        <v>1059</v>
      </c>
      <c r="S427" t="s">
        <v>1060</v>
      </c>
      <c r="T427" t="s">
        <v>4467</v>
      </c>
      <c r="U427" t="s">
        <v>4468</v>
      </c>
      <c r="V427" t="s">
        <v>4521</v>
      </c>
      <c r="W427" t="s">
        <v>4470</v>
      </c>
      <c r="X427" t="s">
        <v>4471</v>
      </c>
      <c r="Y427" t="s">
        <v>4468</v>
      </c>
      <c r="Z427" t="s">
        <v>1015</v>
      </c>
      <c r="AA427" t="s">
        <v>4522</v>
      </c>
      <c r="AB427" t="s">
        <v>4521</v>
      </c>
      <c r="AC427" t="s">
        <v>61</v>
      </c>
      <c r="AD427" t="s">
        <v>19</v>
      </c>
      <c r="AE427" t="s">
        <v>19</v>
      </c>
      <c r="AF427" t="s">
        <v>5534</v>
      </c>
      <c r="AG427" t="s">
        <v>4848</v>
      </c>
      <c r="AH427" t="s">
        <v>22</v>
      </c>
      <c r="AI427" t="s">
        <v>22</v>
      </c>
      <c r="AJ427" t="s">
        <v>22</v>
      </c>
      <c r="AK427" t="s">
        <v>22</v>
      </c>
    </row>
    <row r="428" spans="1:37" ht="11.25" customHeight="1">
      <c r="A428" t="s">
        <v>22</v>
      </c>
      <c r="B428" t="s">
        <v>48</v>
      </c>
      <c r="C428" t="s">
        <v>50</v>
      </c>
      <c r="D428" t="s">
        <v>22</v>
      </c>
      <c r="E428" t="s">
        <v>5392</v>
      </c>
      <c r="F428" t="s">
        <v>1104</v>
      </c>
      <c r="G428" t="s">
        <v>99</v>
      </c>
      <c r="H428" t="s">
        <v>99</v>
      </c>
      <c r="I428" t="s">
        <v>100</v>
      </c>
      <c r="J428" t="s">
        <v>1059</v>
      </c>
      <c r="K428" t="s">
        <v>1060</v>
      </c>
      <c r="L428" t="s">
        <v>5535</v>
      </c>
      <c r="M428" t="s">
        <v>4760</v>
      </c>
      <c r="N428" t="s">
        <v>114</v>
      </c>
      <c r="O428" t="s">
        <v>4520</v>
      </c>
      <c r="P428" t="s">
        <v>4520</v>
      </c>
      <c r="Q428" t="s">
        <v>100</v>
      </c>
      <c r="R428" t="s">
        <v>1059</v>
      </c>
      <c r="S428" t="s">
        <v>1060</v>
      </c>
      <c r="T428" t="s">
        <v>4467</v>
      </c>
      <c r="U428" t="s">
        <v>4468</v>
      </c>
      <c r="V428" t="s">
        <v>4521</v>
      </c>
      <c r="W428" t="s">
        <v>4470</v>
      </c>
      <c r="X428" t="s">
        <v>4471</v>
      </c>
      <c r="Y428" t="s">
        <v>4468</v>
      </c>
      <c r="Z428" t="s">
        <v>1015</v>
      </c>
      <c r="AA428" t="s">
        <v>4522</v>
      </c>
      <c r="AB428" t="s">
        <v>4521</v>
      </c>
      <c r="AC428" t="s">
        <v>61</v>
      </c>
      <c r="AD428" t="s">
        <v>19</v>
      </c>
      <c r="AE428" t="s">
        <v>19</v>
      </c>
      <c r="AF428" t="s">
        <v>4523</v>
      </c>
      <c r="AG428" t="s">
        <v>5536</v>
      </c>
      <c r="AH428" t="s">
        <v>22</v>
      </c>
      <c r="AI428" t="s">
        <v>22</v>
      </c>
      <c r="AJ428" t="s">
        <v>22</v>
      </c>
      <c r="AK428" t="s">
        <v>22</v>
      </c>
    </row>
    <row r="429" spans="1:37" ht="11.25" customHeight="1">
      <c r="A429" t="s">
        <v>22</v>
      </c>
      <c r="B429" t="s">
        <v>48</v>
      </c>
      <c r="C429" t="s">
        <v>50</v>
      </c>
      <c r="D429" t="s">
        <v>22</v>
      </c>
      <c r="E429" t="s">
        <v>5392</v>
      </c>
      <c r="F429" t="s">
        <v>1104</v>
      </c>
      <c r="G429" t="s">
        <v>99</v>
      </c>
      <c r="H429" t="s">
        <v>99</v>
      </c>
      <c r="I429" t="s">
        <v>100</v>
      </c>
      <c r="J429" t="s">
        <v>1059</v>
      </c>
      <c r="K429" t="s">
        <v>1060</v>
      </c>
      <c r="L429" t="s">
        <v>4646</v>
      </c>
      <c r="M429" t="s">
        <v>5537</v>
      </c>
      <c r="N429" t="s">
        <v>114</v>
      </c>
      <c r="O429" t="s">
        <v>4520</v>
      </c>
      <c r="P429" t="s">
        <v>4520</v>
      </c>
      <c r="Q429" t="s">
        <v>100</v>
      </c>
      <c r="R429" t="s">
        <v>1059</v>
      </c>
      <c r="S429" t="s">
        <v>1060</v>
      </c>
      <c r="T429" t="s">
        <v>4467</v>
      </c>
      <c r="U429" t="s">
        <v>4468</v>
      </c>
      <c r="V429" t="s">
        <v>4521</v>
      </c>
      <c r="W429" t="s">
        <v>4470</v>
      </c>
      <c r="X429" t="s">
        <v>4471</v>
      </c>
      <c r="Y429" t="s">
        <v>4468</v>
      </c>
      <c r="Z429" t="s">
        <v>1015</v>
      </c>
      <c r="AA429" t="s">
        <v>4522</v>
      </c>
      <c r="AB429" t="s">
        <v>4521</v>
      </c>
      <c r="AC429" t="s">
        <v>61</v>
      </c>
      <c r="AD429" t="s">
        <v>19</v>
      </c>
      <c r="AE429" t="s">
        <v>19</v>
      </c>
      <c r="AF429" t="s">
        <v>5538</v>
      </c>
      <c r="AG429" t="s">
        <v>5539</v>
      </c>
      <c r="AH429" t="s">
        <v>22</v>
      </c>
      <c r="AI429" t="s">
        <v>22</v>
      </c>
      <c r="AJ429" t="s">
        <v>22</v>
      </c>
      <c r="AK429" t="s">
        <v>22</v>
      </c>
    </row>
    <row r="430" spans="1:37" ht="11.25" customHeight="1">
      <c r="A430" t="s">
        <v>22</v>
      </c>
      <c r="B430" t="s">
        <v>48</v>
      </c>
      <c r="C430" t="s">
        <v>50</v>
      </c>
      <c r="D430" t="s">
        <v>22</v>
      </c>
      <c r="E430" t="s">
        <v>5392</v>
      </c>
      <c r="F430" t="s">
        <v>1104</v>
      </c>
      <c r="G430" t="s">
        <v>99</v>
      </c>
      <c r="H430" t="s">
        <v>99</v>
      </c>
      <c r="I430" t="s">
        <v>100</v>
      </c>
      <c r="J430" t="s">
        <v>1059</v>
      </c>
      <c r="K430" t="s">
        <v>1060</v>
      </c>
      <c r="L430" t="s">
        <v>5540</v>
      </c>
      <c r="M430" t="s">
        <v>1155</v>
      </c>
      <c r="N430" t="s">
        <v>114</v>
      </c>
      <c r="O430" t="s">
        <v>4520</v>
      </c>
      <c r="P430" t="s">
        <v>4520</v>
      </c>
      <c r="Q430" t="s">
        <v>100</v>
      </c>
      <c r="R430" t="s">
        <v>1059</v>
      </c>
      <c r="S430" t="s">
        <v>1060</v>
      </c>
      <c r="T430" t="s">
        <v>4467</v>
      </c>
      <c r="U430" t="s">
        <v>4468</v>
      </c>
      <c r="V430" t="s">
        <v>4521</v>
      </c>
      <c r="W430" t="s">
        <v>4470</v>
      </c>
      <c r="X430" t="s">
        <v>4471</v>
      </c>
      <c r="Y430" t="s">
        <v>4468</v>
      </c>
      <c r="Z430" t="s">
        <v>1015</v>
      </c>
      <c r="AA430" t="s">
        <v>4522</v>
      </c>
      <c r="AB430" t="s">
        <v>4521</v>
      </c>
      <c r="AC430" t="s">
        <v>61</v>
      </c>
      <c r="AD430" t="s">
        <v>19</v>
      </c>
      <c r="AE430" t="s">
        <v>19</v>
      </c>
      <c r="AF430" t="s">
        <v>4579</v>
      </c>
      <c r="AG430" t="s">
        <v>4481</v>
      </c>
      <c r="AH430" t="s">
        <v>22</v>
      </c>
      <c r="AI430" t="s">
        <v>22</v>
      </c>
      <c r="AJ430" t="s">
        <v>22</v>
      </c>
      <c r="AK430" t="s">
        <v>22</v>
      </c>
    </row>
    <row r="431" spans="1:37" ht="11.25" customHeight="1">
      <c r="A431" t="s">
        <v>22</v>
      </c>
      <c r="B431" t="s">
        <v>48</v>
      </c>
      <c r="C431" t="s">
        <v>50</v>
      </c>
      <c r="D431" t="s">
        <v>22</v>
      </c>
      <c r="E431" t="s">
        <v>5392</v>
      </c>
      <c r="F431" t="s">
        <v>1104</v>
      </c>
      <c r="G431" t="s">
        <v>99</v>
      </c>
      <c r="H431" t="s">
        <v>99</v>
      </c>
      <c r="I431" t="s">
        <v>100</v>
      </c>
      <c r="J431" t="s">
        <v>1059</v>
      </c>
      <c r="K431" t="s">
        <v>1060</v>
      </c>
      <c r="L431" t="s">
        <v>5541</v>
      </c>
      <c r="M431" t="s">
        <v>115</v>
      </c>
      <c r="N431" t="s">
        <v>114</v>
      </c>
      <c r="O431" t="s">
        <v>4520</v>
      </c>
      <c r="P431" t="s">
        <v>4520</v>
      </c>
      <c r="Q431" t="s">
        <v>100</v>
      </c>
      <c r="R431" t="s">
        <v>1059</v>
      </c>
      <c r="S431" t="s">
        <v>1060</v>
      </c>
      <c r="T431" t="s">
        <v>4606</v>
      </c>
      <c r="U431" t="s">
        <v>4793</v>
      </c>
      <c r="V431" t="s">
        <v>586</v>
      </c>
      <c r="W431" t="s">
        <v>4470</v>
      </c>
      <c r="X431" t="s">
        <v>4834</v>
      </c>
      <c r="Y431" t="s">
        <v>4669</v>
      </c>
      <c r="Z431" t="s">
        <v>1015</v>
      </c>
      <c r="AA431" t="s">
        <v>4835</v>
      </c>
      <c r="AB431" t="s">
        <v>4733</v>
      </c>
      <c r="AC431" t="s">
        <v>61</v>
      </c>
      <c r="AD431" t="s">
        <v>19</v>
      </c>
      <c r="AE431" t="s">
        <v>19</v>
      </c>
      <c r="AF431" t="s">
        <v>4550</v>
      </c>
      <c r="AG431" t="s">
        <v>5542</v>
      </c>
      <c r="AH431" t="s">
        <v>22</v>
      </c>
      <c r="AI431" t="s">
        <v>22</v>
      </c>
      <c r="AJ431" t="s">
        <v>22</v>
      </c>
      <c r="AK431" t="s">
        <v>22</v>
      </c>
    </row>
    <row r="432" spans="1:37" ht="11.25" customHeight="1">
      <c r="A432" t="s">
        <v>22</v>
      </c>
      <c r="B432" t="s">
        <v>48</v>
      </c>
      <c r="C432" t="s">
        <v>50</v>
      </c>
      <c r="D432" t="s">
        <v>22</v>
      </c>
      <c r="E432" t="s">
        <v>5392</v>
      </c>
      <c r="F432" t="s">
        <v>1104</v>
      </c>
      <c r="G432" t="s">
        <v>99</v>
      </c>
      <c r="H432" t="s">
        <v>99</v>
      </c>
      <c r="I432" t="s">
        <v>100</v>
      </c>
      <c r="J432" t="s">
        <v>1059</v>
      </c>
      <c r="K432" t="s">
        <v>1060</v>
      </c>
      <c r="L432" t="s">
        <v>5454</v>
      </c>
      <c r="M432" t="s">
        <v>1743</v>
      </c>
      <c r="N432" t="s">
        <v>114</v>
      </c>
      <c r="O432" t="s">
        <v>4520</v>
      </c>
      <c r="P432" t="s">
        <v>4520</v>
      </c>
      <c r="Q432" t="s">
        <v>100</v>
      </c>
      <c r="R432" t="s">
        <v>1059</v>
      </c>
      <c r="S432" t="s">
        <v>1060</v>
      </c>
      <c r="T432" t="s">
        <v>4467</v>
      </c>
      <c r="U432" t="s">
        <v>4468</v>
      </c>
      <c r="V432" t="s">
        <v>4521</v>
      </c>
      <c r="W432" t="s">
        <v>4470</v>
      </c>
      <c r="X432" t="s">
        <v>4471</v>
      </c>
      <c r="Y432" t="s">
        <v>4468</v>
      </c>
      <c r="Z432" t="s">
        <v>1015</v>
      </c>
      <c r="AA432" t="s">
        <v>4522</v>
      </c>
      <c r="AB432" t="s">
        <v>4521</v>
      </c>
      <c r="AC432" t="s">
        <v>61</v>
      </c>
      <c r="AD432" t="s">
        <v>19</v>
      </c>
      <c r="AE432" t="s">
        <v>19</v>
      </c>
      <c r="AF432" t="s">
        <v>4942</v>
      </c>
      <c r="AG432" t="s">
        <v>5543</v>
      </c>
      <c r="AH432" t="s">
        <v>22</v>
      </c>
      <c r="AI432" t="s">
        <v>22</v>
      </c>
      <c r="AJ432" t="s">
        <v>22</v>
      </c>
      <c r="AK432" t="s">
        <v>22</v>
      </c>
    </row>
    <row r="433" spans="1:37" ht="11.25" customHeight="1">
      <c r="A433" t="s">
        <v>22</v>
      </c>
      <c r="B433" t="s">
        <v>48</v>
      </c>
      <c r="C433" t="s">
        <v>50</v>
      </c>
      <c r="D433" t="s">
        <v>22</v>
      </c>
      <c r="E433" t="s">
        <v>5392</v>
      </c>
      <c r="F433" t="s">
        <v>1104</v>
      </c>
      <c r="G433" t="s">
        <v>99</v>
      </c>
      <c r="H433" t="s">
        <v>99</v>
      </c>
      <c r="I433" t="s">
        <v>100</v>
      </c>
      <c r="J433" t="s">
        <v>1059</v>
      </c>
      <c r="K433" t="s">
        <v>1060</v>
      </c>
      <c r="L433" t="s">
        <v>5544</v>
      </c>
      <c r="M433" t="s">
        <v>4691</v>
      </c>
      <c r="N433" t="s">
        <v>114</v>
      </c>
      <c r="O433" t="s">
        <v>4520</v>
      </c>
      <c r="P433" t="s">
        <v>4520</v>
      </c>
      <c r="Q433" t="s">
        <v>100</v>
      </c>
      <c r="R433" t="s">
        <v>1059</v>
      </c>
      <c r="S433" t="s">
        <v>1060</v>
      </c>
      <c r="T433" t="s">
        <v>4467</v>
      </c>
      <c r="U433" t="s">
        <v>4468</v>
      </c>
      <c r="V433" t="s">
        <v>4521</v>
      </c>
      <c r="W433" t="s">
        <v>4470</v>
      </c>
      <c r="X433" t="s">
        <v>4471</v>
      </c>
      <c r="Y433" t="s">
        <v>4468</v>
      </c>
      <c r="Z433" t="s">
        <v>1015</v>
      </c>
      <c r="AA433" t="s">
        <v>4522</v>
      </c>
      <c r="AB433" t="s">
        <v>4521</v>
      </c>
      <c r="AC433" t="s">
        <v>61</v>
      </c>
      <c r="AD433" t="s">
        <v>19</v>
      </c>
      <c r="AE433" t="s">
        <v>19</v>
      </c>
      <c r="AF433" t="s">
        <v>5545</v>
      </c>
      <c r="AG433" t="s">
        <v>5546</v>
      </c>
      <c r="AH433" t="s">
        <v>22</v>
      </c>
      <c r="AI433" t="s">
        <v>22</v>
      </c>
      <c r="AJ433" t="s">
        <v>22</v>
      </c>
      <c r="AK433" t="s">
        <v>22</v>
      </c>
    </row>
    <row r="434" spans="1:37" ht="11.25" customHeight="1">
      <c r="A434" t="s">
        <v>22</v>
      </c>
      <c r="B434" t="s">
        <v>48</v>
      </c>
      <c r="C434" t="s">
        <v>50</v>
      </c>
      <c r="D434" t="s">
        <v>22</v>
      </c>
      <c r="E434" t="s">
        <v>5392</v>
      </c>
      <c r="F434" t="s">
        <v>1104</v>
      </c>
      <c r="G434" t="s">
        <v>99</v>
      </c>
      <c r="H434" t="s">
        <v>99</v>
      </c>
      <c r="I434" t="s">
        <v>100</v>
      </c>
      <c r="J434" t="s">
        <v>1059</v>
      </c>
      <c r="K434" t="s">
        <v>1060</v>
      </c>
      <c r="L434" t="s">
        <v>5547</v>
      </c>
      <c r="M434" t="s">
        <v>4675</v>
      </c>
      <c r="N434" t="s">
        <v>114</v>
      </c>
      <c r="O434" t="s">
        <v>4520</v>
      </c>
      <c r="P434" t="s">
        <v>4520</v>
      </c>
      <c r="Q434" t="s">
        <v>100</v>
      </c>
      <c r="R434" t="s">
        <v>1059</v>
      </c>
      <c r="S434" t="s">
        <v>1060</v>
      </c>
      <c r="T434" t="s">
        <v>4467</v>
      </c>
      <c r="U434" t="s">
        <v>4468</v>
      </c>
      <c r="V434" t="s">
        <v>4521</v>
      </c>
      <c r="W434" t="s">
        <v>4470</v>
      </c>
      <c r="X434" t="s">
        <v>4471</v>
      </c>
      <c r="Y434" t="s">
        <v>4468</v>
      </c>
      <c r="Z434" t="s">
        <v>1015</v>
      </c>
      <c r="AA434" t="s">
        <v>4522</v>
      </c>
      <c r="AB434" t="s">
        <v>4521</v>
      </c>
      <c r="AC434" t="s">
        <v>61</v>
      </c>
      <c r="AD434" t="s">
        <v>19</v>
      </c>
      <c r="AE434" t="s">
        <v>19</v>
      </c>
      <c r="AF434" t="s">
        <v>4523</v>
      </c>
      <c r="AG434" t="s">
        <v>5548</v>
      </c>
      <c r="AH434" t="s">
        <v>22</v>
      </c>
      <c r="AI434" t="s">
        <v>22</v>
      </c>
      <c r="AJ434" t="s">
        <v>22</v>
      </c>
      <c r="AK434" t="s">
        <v>22</v>
      </c>
    </row>
    <row r="435" spans="1:37" ht="11.25" customHeight="1">
      <c r="A435" t="s">
        <v>22</v>
      </c>
      <c r="B435" t="s">
        <v>48</v>
      </c>
      <c r="C435" t="s">
        <v>50</v>
      </c>
      <c r="D435" t="s">
        <v>22</v>
      </c>
      <c r="E435" t="s">
        <v>5392</v>
      </c>
      <c r="F435" t="s">
        <v>1104</v>
      </c>
      <c r="G435" t="s">
        <v>99</v>
      </c>
      <c r="H435" t="s">
        <v>99</v>
      </c>
      <c r="I435" t="s">
        <v>100</v>
      </c>
      <c r="J435" t="s">
        <v>1059</v>
      </c>
      <c r="K435" t="s">
        <v>1060</v>
      </c>
      <c r="L435" t="s">
        <v>5549</v>
      </c>
      <c r="M435" t="s">
        <v>102</v>
      </c>
      <c r="N435" t="s">
        <v>114</v>
      </c>
      <c r="O435" t="s">
        <v>4520</v>
      </c>
      <c r="P435" t="s">
        <v>4520</v>
      </c>
      <c r="Q435" t="s">
        <v>100</v>
      </c>
      <c r="R435" t="s">
        <v>1059</v>
      </c>
      <c r="S435" t="s">
        <v>1060</v>
      </c>
      <c r="T435" t="s">
        <v>4467</v>
      </c>
      <c r="U435" t="s">
        <v>4468</v>
      </c>
      <c r="V435" t="s">
        <v>4521</v>
      </c>
      <c r="W435" t="s">
        <v>4470</v>
      </c>
      <c r="X435" t="s">
        <v>4471</v>
      </c>
      <c r="Y435" t="s">
        <v>4468</v>
      </c>
      <c r="Z435" t="s">
        <v>1015</v>
      </c>
      <c r="AA435" t="s">
        <v>4522</v>
      </c>
      <c r="AB435" t="s">
        <v>4521</v>
      </c>
      <c r="AC435" t="s">
        <v>61</v>
      </c>
      <c r="AD435" t="s">
        <v>19</v>
      </c>
      <c r="AE435" t="s">
        <v>19</v>
      </c>
      <c r="AF435" t="s">
        <v>4523</v>
      </c>
      <c r="AG435" t="s">
        <v>5550</v>
      </c>
      <c r="AH435" t="s">
        <v>22</v>
      </c>
      <c r="AI435" t="s">
        <v>22</v>
      </c>
      <c r="AJ435" t="s">
        <v>22</v>
      </c>
      <c r="AK435" t="s">
        <v>22</v>
      </c>
    </row>
    <row r="436" spans="1:37" ht="11.25" customHeight="1">
      <c r="A436" t="s">
        <v>22</v>
      </c>
      <c r="B436" t="s">
        <v>48</v>
      </c>
      <c r="C436" t="s">
        <v>50</v>
      </c>
      <c r="D436" t="s">
        <v>22</v>
      </c>
      <c r="E436" t="s">
        <v>5392</v>
      </c>
      <c r="F436" t="s">
        <v>1104</v>
      </c>
      <c r="G436" t="s">
        <v>99</v>
      </c>
      <c r="H436" t="s">
        <v>99</v>
      </c>
      <c r="I436" t="s">
        <v>100</v>
      </c>
      <c r="J436" t="s">
        <v>1059</v>
      </c>
      <c r="K436" t="s">
        <v>1060</v>
      </c>
      <c r="L436" t="s">
        <v>5551</v>
      </c>
      <c r="M436" t="s">
        <v>1774</v>
      </c>
      <c r="N436" t="s">
        <v>114</v>
      </c>
      <c r="O436" t="s">
        <v>4520</v>
      </c>
      <c r="P436" t="s">
        <v>4520</v>
      </c>
      <c r="Q436" t="s">
        <v>100</v>
      </c>
      <c r="R436" t="s">
        <v>1059</v>
      </c>
      <c r="S436" t="s">
        <v>1060</v>
      </c>
      <c r="T436" t="s">
        <v>4467</v>
      </c>
      <c r="U436" t="s">
        <v>4468</v>
      </c>
      <c r="V436" t="s">
        <v>4521</v>
      </c>
      <c r="W436" t="s">
        <v>4470</v>
      </c>
      <c r="X436" t="s">
        <v>4471</v>
      </c>
      <c r="Y436" t="s">
        <v>4468</v>
      </c>
      <c r="Z436" t="s">
        <v>1015</v>
      </c>
      <c r="AA436" t="s">
        <v>4522</v>
      </c>
      <c r="AB436" t="s">
        <v>4521</v>
      </c>
      <c r="AC436" t="s">
        <v>61</v>
      </c>
      <c r="AD436" t="s">
        <v>19</v>
      </c>
      <c r="AE436" t="s">
        <v>19</v>
      </c>
      <c r="AF436" t="s">
        <v>5437</v>
      </c>
      <c r="AG436" t="s">
        <v>5552</v>
      </c>
      <c r="AH436" t="s">
        <v>22</v>
      </c>
      <c r="AI436" t="s">
        <v>22</v>
      </c>
      <c r="AJ436" t="s">
        <v>22</v>
      </c>
      <c r="AK436" t="s">
        <v>22</v>
      </c>
    </row>
    <row r="437" spans="1:37" ht="11.25" customHeight="1">
      <c r="A437" t="s">
        <v>22</v>
      </c>
      <c r="B437" t="s">
        <v>48</v>
      </c>
      <c r="C437" t="s">
        <v>50</v>
      </c>
      <c r="D437" t="s">
        <v>22</v>
      </c>
      <c r="E437" t="s">
        <v>5392</v>
      </c>
      <c r="F437" t="s">
        <v>1104</v>
      </c>
      <c r="G437" t="s">
        <v>99</v>
      </c>
      <c r="H437" t="s">
        <v>99</v>
      </c>
      <c r="I437" t="s">
        <v>100</v>
      </c>
      <c r="J437" t="s">
        <v>1059</v>
      </c>
      <c r="K437" t="s">
        <v>1060</v>
      </c>
      <c r="L437" t="s">
        <v>5456</v>
      </c>
      <c r="M437" t="s">
        <v>4519</v>
      </c>
      <c r="N437" t="s">
        <v>114</v>
      </c>
      <c r="O437" t="s">
        <v>4520</v>
      </c>
      <c r="P437" t="s">
        <v>4520</v>
      </c>
      <c r="Q437" t="s">
        <v>100</v>
      </c>
      <c r="R437" t="s">
        <v>1059</v>
      </c>
      <c r="S437" t="s">
        <v>1060</v>
      </c>
      <c r="T437" t="s">
        <v>4467</v>
      </c>
      <c r="U437" t="s">
        <v>4468</v>
      </c>
      <c r="V437" t="s">
        <v>4521</v>
      </c>
      <c r="W437" t="s">
        <v>4470</v>
      </c>
      <c r="X437" t="s">
        <v>4471</v>
      </c>
      <c r="Y437" t="s">
        <v>4468</v>
      </c>
      <c r="Z437" t="s">
        <v>1015</v>
      </c>
      <c r="AA437" t="s">
        <v>4522</v>
      </c>
      <c r="AB437" t="s">
        <v>4521</v>
      </c>
      <c r="AC437" t="s">
        <v>61</v>
      </c>
      <c r="AD437" t="s">
        <v>19</v>
      </c>
      <c r="AE437" t="s">
        <v>19</v>
      </c>
      <c r="AF437" t="s">
        <v>5553</v>
      </c>
      <c r="AG437" t="s">
        <v>5554</v>
      </c>
      <c r="AH437" t="s">
        <v>22</v>
      </c>
      <c r="AI437" t="s">
        <v>22</v>
      </c>
      <c r="AJ437" t="s">
        <v>22</v>
      </c>
      <c r="AK437" t="s">
        <v>22</v>
      </c>
    </row>
    <row r="438" spans="1:37" ht="11.25" customHeight="1">
      <c r="A438" t="s">
        <v>22</v>
      </c>
      <c r="B438" t="s">
        <v>48</v>
      </c>
      <c r="C438" t="s">
        <v>50</v>
      </c>
      <c r="D438" t="s">
        <v>22</v>
      </c>
      <c r="E438" t="s">
        <v>5392</v>
      </c>
      <c r="F438" t="s">
        <v>1104</v>
      </c>
      <c r="G438" t="s">
        <v>99</v>
      </c>
      <c r="H438" t="s">
        <v>99</v>
      </c>
      <c r="I438" t="s">
        <v>100</v>
      </c>
      <c r="J438" t="s">
        <v>1059</v>
      </c>
      <c r="K438" t="s">
        <v>1060</v>
      </c>
      <c r="L438" t="s">
        <v>5402</v>
      </c>
      <c r="M438" t="s">
        <v>98</v>
      </c>
      <c r="N438" t="s">
        <v>114</v>
      </c>
      <c r="O438" t="s">
        <v>4520</v>
      </c>
      <c r="P438" t="s">
        <v>4520</v>
      </c>
      <c r="Q438" t="s">
        <v>100</v>
      </c>
      <c r="R438" t="s">
        <v>1059</v>
      </c>
      <c r="S438" t="s">
        <v>1060</v>
      </c>
      <c r="T438" t="s">
        <v>4606</v>
      </c>
      <c r="U438" t="s">
        <v>4793</v>
      </c>
      <c r="V438" t="s">
        <v>586</v>
      </c>
      <c r="W438" t="s">
        <v>4470</v>
      </c>
      <c r="X438" t="s">
        <v>4834</v>
      </c>
      <c r="Y438" t="s">
        <v>4669</v>
      </c>
      <c r="Z438" t="s">
        <v>1015</v>
      </c>
      <c r="AA438" t="s">
        <v>5555</v>
      </c>
      <c r="AB438" t="s">
        <v>4733</v>
      </c>
      <c r="AC438" t="s">
        <v>61</v>
      </c>
      <c r="AD438" t="s">
        <v>19</v>
      </c>
      <c r="AE438" t="s">
        <v>19</v>
      </c>
      <c r="AF438" t="s">
        <v>5556</v>
      </c>
      <c r="AG438" t="s">
        <v>5557</v>
      </c>
      <c r="AH438" t="s">
        <v>22</v>
      </c>
      <c r="AI438" t="s">
        <v>22</v>
      </c>
      <c r="AJ438" t="s">
        <v>22</v>
      </c>
      <c r="AK438" t="s">
        <v>22</v>
      </c>
    </row>
    <row r="439" spans="1:37" ht="11.25" customHeight="1">
      <c r="A439" t="s">
        <v>22</v>
      </c>
      <c r="B439" t="s">
        <v>48</v>
      </c>
      <c r="C439" t="s">
        <v>50</v>
      </c>
      <c r="D439" t="s">
        <v>22</v>
      </c>
      <c r="E439" t="s">
        <v>5392</v>
      </c>
      <c r="F439" t="s">
        <v>1104</v>
      </c>
      <c r="G439" t="s">
        <v>99</v>
      </c>
      <c r="H439" t="s">
        <v>99</v>
      </c>
      <c r="I439" t="s">
        <v>100</v>
      </c>
      <c r="J439" t="s">
        <v>1059</v>
      </c>
      <c r="K439" t="s">
        <v>1060</v>
      </c>
      <c r="L439" t="s">
        <v>4537</v>
      </c>
      <c r="M439" t="s">
        <v>5558</v>
      </c>
      <c r="N439" t="s">
        <v>114</v>
      </c>
      <c r="O439" t="s">
        <v>4520</v>
      </c>
      <c r="P439" t="s">
        <v>4520</v>
      </c>
      <c r="Q439" t="s">
        <v>100</v>
      </c>
      <c r="R439" t="s">
        <v>1059</v>
      </c>
      <c r="S439" t="s">
        <v>1060</v>
      </c>
      <c r="T439" t="s">
        <v>4606</v>
      </c>
      <c r="U439" t="s">
        <v>4793</v>
      </c>
      <c r="V439" t="s">
        <v>4733</v>
      </c>
      <c r="W439" t="s">
        <v>4470</v>
      </c>
      <c r="X439" t="s">
        <v>4834</v>
      </c>
      <c r="Y439" t="s">
        <v>4669</v>
      </c>
      <c r="Z439" t="s">
        <v>1015</v>
      </c>
      <c r="AA439" t="s">
        <v>5430</v>
      </c>
      <c r="AB439" t="s">
        <v>4733</v>
      </c>
      <c r="AC439" t="s">
        <v>61</v>
      </c>
      <c r="AD439" t="s">
        <v>19</v>
      </c>
      <c r="AE439" t="s">
        <v>19</v>
      </c>
      <c r="AF439" t="s">
        <v>906</v>
      </c>
      <c r="AG439" t="s">
        <v>5305</v>
      </c>
      <c r="AH439" t="s">
        <v>22</v>
      </c>
      <c r="AI439" t="s">
        <v>22</v>
      </c>
      <c r="AJ439" t="s">
        <v>22</v>
      </c>
      <c r="AK439" t="s">
        <v>22</v>
      </c>
    </row>
    <row r="440" spans="1:37" ht="11.25" customHeight="1">
      <c r="A440" t="s">
        <v>22</v>
      </c>
      <c r="B440" t="s">
        <v>48</v>
      </c>
      <c r="C440" t="s">
        <v>50</v>
      </c>
      <c r="D440" t="s">
        <v>22</v>
      </c>
      <c r="E440" t="s">
        <v>5392</v>
      </c>
      <c r="F440" t="s">
        <v>1104</v>
      </c>
      <c r="G440" t="s">
        <v>99</v>
      </c>
      <c r="H440" t="s">
        <v>99</v>
      </c>
      <c r="I440" t="s">
        <v>100</v>
      </c>
      <c r="J440" t="s">
        <v>1059</v>
      </c>
      <c r="K440" t="s">
        <v>1060</v>
      </c>
      <c r="L440" t="s">
        <v>5559</v>
      </c>
      <c r="M440" t="s">
        <v>114</v>
      </c>
      <c r="N440" t="s">
        <v>114</v>
      </c>
      <c r="O440" t="s">
        <v>4520</v>
      </c>
      <c r="P440" t="s">
        <v>4520</v>
      </c>
      <c r="Q440" t="s">
        <v>100</v>
      </c>
      <c r="R440" t="s">
        <v>1059</v>
      </c>
      <c r="S440" t="s">
        <v>1060</v>
      </c>
      <c r="T440" t="s">
        <v>4467</v>
      </c>
      <c r="U440" t="s">
        <v>4468</v>
      </c>
      <c r="V440" t="s">
        <v>4521</v>
      </c>
      <c r="W440" t="s">
        <v>4470</v>
      </c>
      <c r="X440" t="s">
        <v>4471</v>
      </c>
      <c r="Y440" t="s">
        <v>4468</v>
      </c>
      <c r="Z440" t="s">
        <v>1015</v>
      </c>
      <c r="AA440" t="s">
        <v>4522</v>
      </c>
      <c r="AB440" t="s">
        <v>4521</v>
      </c>
      <c r="AC440" t="s">
        <v>61</v>
      </c>
      <c r="AD440" t="s">
        <v>19</v>
      </c>
      <c r="AE440" t="s">
        <v>19</v>
      </c>
      <c r="AF440" t="s">
        <v>5560</v>
      </c>
      <c r="AG440" t="s">
        <v>5561</v>
      </c>
      <c r="AH440" t="s">
        <v>22</v>
      </c>
      <c r="AI440" t="s">
        <v>22</v>
      </c>
      <c r="AJ440" t="s">
        <v>22</v>
      </c>
      <c r="AK440" t="s">
        <v>22</v>
      </c>
    </row>
    <row r="441" spans="1:37" ht="11.25" customHeight="1">
      <c r="A441" t="s">
        <v>22</v>
      </c>
      <c r="B441" t="s">
        <v>48</v>
      </c>
      <c r="C441" t="s">
        <v>50</v>
      </c>
      <c r="D441" t="s">
        <v>22</v>
      </c>
      <c r="E441" t="s">
        <v>5392</v>
      </c>
      <c r="F441" t="s">
        <v>1104</v>
      </c>
      <c r="G441" t="s">
        <v>99</v>
      </c>
      <c r="H441" t="s">
        <v>99</v>
      </c>
      <c r="I441" t="s">
        <v>100</v>
      </c>
      <c r="J441" t="s">
        <v>1059</v>
      </c>
      <c r="K441" t="s">
        <v>1060</v>
      </c>
      <c r="L441" t="s">
        <v>5562</v>
      </c>
      <c r="M441" t="s">
        <v>1075</v>
      </c>
      <c r="N441" t="s">
        <v>114</v>
      </c>
      <c r="O441" t="s">
        <v>4520</v>
      </c>
      <c r="P441" t="s">
        <v>4520</v>
      </c>
      <c r="Q441" t="s">
        <v>100</v>
      </c>
      <c r="R441" t="s">
        <v>1059</v>
      </c>
      <c r="S441" t="s">
        <v>1060</v>
      </c>
      <c r="T441" t="s">
        <v>4467</v>
      </c>
      <c r="U441" t="s">
        <v>4468</v>
      </c>
      <c r="V441" t="s">
        <v>4521</v>
      </c>
      <c r="W441" t="s">
        <v>4470</v>
      </c>
      <c r="X441" t="s">
        <v>4471</v>
      </c>
      <c r="Y441" t="s">
        <v>4468</v>
      </c>
      <c r="Z441" t="s">
        <v>1015</v>
      </c>
      <c r="AA441" t="s">
        <v>4522</v>
      </c>
      <c r="AB441" t="s">
        <v>4521</v>
      </c>
      <c r="AC441" t="s">
        <v>61</v>
      </c>
      <c r="AD441" t="s">
        <v>19</v>
      </c>
      <c r="AE441" t="s">
        <v>19</v>
      </c>
      <c r="AF441" t="s">
        <v>1774</v>
      </c>
      <c r="AG441" t="s">
        <v>1157</v>
      </c>
      <c r="AH441" t="s">
        <v>22</v>
      </c>
      <c r="AI441" t="s">
        <v>22</v>
      </c>
      <c r="AJ441" t="s">
        <v>22</v>
      </c>
      <c r="AK441" t="s">
        <v>22</v>
      </c>
    </row>
    <row r="442" spans="1:37" ht="11.25" customHeight="1">
      <c r="A442" t="s">
        <v>22</v>
      </c>
      <c r="B442" t="s">
        <v>48</v>
      </c>
      <c r="C442" t="s">
        <v>50</v>
      </c>
      <c r="D442" t="s">
        <v>22</v>
      </c>
      <c r="E442" t="s">
        <v>5392</v>
      </c>
      <c r="F442" t="s">
        <v>1104</v>
      </c>
      <c r="G442" t="s">
        <v>99</v>
      </c>
      <c r="H442" t="s">
        <v>99</v>
      </c>
      <c r="I442" t="s">
        <v>100</v>
      </c>
      <c r="J442" t="s">
        <v>1059</v>
      </c>
      <c r="K442" t="s">
        <v>1060</v>
      </c>
      <c r="L442" t="s">
        <v>4537</v>
      </c>
      <c r="M442" t="s">
        <v>5563</v>
      </c>
      <c r="N442" t="s">
        <v>114</v>
      </c>
      <c r="O442" t="s">
        <v>4520</v>
      </c>
      <c r="P442" t="s">
        <v>4520</v>
      </c>
      <c r="Q442" t="s">
        <v>100</v>
      </c>
      <c r="R442" t="s">
        <v>1059</v>
      </c>
      <c r="S442" t="s">
        <v>1060</v>
      </c>
      <c r="T442" t="s">
        <v>4467</v>
      </c>
      <c r="U442" t="s">
        <v>4660</v>
      </c>
      <c r="V442" t="s">
        <v>4661</v>
      </c>
      <c r="W442" t="s">
        <v>4470</v>
      </c>
      <c r="X442" t="s">
        <v>4529</v>
      </c>
      <c r="Y442" t="s">
        <v>4662</v>
      </c>
      <c r="Z442" t="s">
        <v>4663</v>
      </c>
      <c r="AA442" t="s">
        <v>4664</v>
      </c>
      <c r="AB442" t="s">
        <v>4661</v>
      </c>
      <c r="AC442" t="s">
        <v>61</v>
      </c>
      <c r="AD442" t="s">
        <v>19</v>
      </c>
      <c r="AE442" t="s">
        <v>19</v>
      </c>
      <c r="AF442" t="s">
        <v>5564</v>
      </c>
      <c r="AG442" t="s">
        <v>387</v>
      </c>
      <c r="AH442" t="s">
        <v>22</v>
      </c>
      <c r="AI442" t="s">
        <v>22</v>
      </c>
      <c r="AJ442" t="s">
        <v>22</v>
      </c>
      <c r="AK442" t="s">
        <v>22</v>
      </c>
    </row>
    <row r="443" spans="1:37" ht="11.25" customHeight="1">
      <c r="A443" t="s">
        <v>22</v>
      </c>
      <c r="B443" t="s">
        <v>48</v>
      </c>
      <c r="C443" t="s">
        <v>50</v>
      </c>
      <c r="D443" t="s">
        <v>22</v>
      </c>
      <c r="E443" t="s">
        <v>5392</v>
      </c>
      <c r="F443" t="s">
        <v>1104</v>
      </c>
      <c r="G443" t="s">
        <v>99</v>
      </c>
      <c r="H443" t="s">
        <v>99</v>
      </c>
      <c r="I443" t="s">
        <v>100</v>
      </c>
      <c r="J443" t="s">
        <v>1059</v>
      </c>
      <c r="K443" t="s">
        <v>1060</v>
      </c>
      <c r="L443" t="s">
        <v>5562</v>
      </c>
      <c r="M443" t="s">
        <v>161</v>
      </c>
      <c r="N443" t="s">
        <v>114</v>
      </c>
      <c r="O443" t="s">
        <v>4520</v>
      </c>
      <c r="P443" t="s">
        <v>4520</v>
      </c>
      <c r="Q443" t="s">
        <v>100</v>
      </c>
      <c r="R443" t="s">
        <v>1059</v>
      </c>
      <c r="S443" t="s">
        <v>1060</v>
      </c>
      <c r="T443" t="s">
        <v>4467</v>
      </c>
      <c r="U443" t="s">
        <v>4468</v>
      </c>
      <c r="V443" t="s">
        <v>4521</v>
      </c>
      <c r="W443" t="s">
        <v>4470</v>
      </c>
      <c r="X443" t="s">
        <v>4471</v>
      </c>
      <c r="Y443" t="s">
        <v>4468</v>
      </c>
      <c r="Z443" t="s">
        <v>1015</v>
      </c>
      <c r="AA443" t="s">
        <v>4522</v>
      </c>
      <c r="AB443" t="s">
        <v>4521</v>
      </c>
      <c r="AC443" t="s">
        <v>61</v>
      </c>
      <c r="AD443" t="s">
        <v>19</v>
      </c>
      <c r="AE443" t="s">
        <v>19</v>
      </c>
      <c r="AF443" t="s">
        <v>4532</v>
      </c>
      <c r="AG443" t="s">
        <v>1823</v>
      </c>
      <c r="AH443" t="s">
        <v>22</v>
      </c>
      <c r="AI443" t="s">
        <v>22</v>
      </c>
      <c r="AJ443" t="s">
        <v>22</v>
      </c>
      <c r="AK443" t="s">
        <v>22</v>
      </c>
    </row>
    <row r="444" spans="1:37" ht="11.25" customHeight="1">
      <c r="A444" t="s">
        <v>22</v>
      </c>
      <c r="B444" t="s">
        <v>48</v>
      </c>
      <c r="C444" t="s">
        <v>50</v>
      </c>
      <c r="D444" t="s">
        <v>22</v>
      </c>
      <c r="E444" t="s">
        <v>5565</v>
      </c>
      <c r="F444" t="s">
        <v>1104</v>
      </c>
      <c r="G444" t="s">
        <v>99</v>
      </c>
      <c r="H444" t="s">
        <v>99</v>
      </c>
      <c r="I444" t="s">
        <v>100</v>
      </c>
      <c r="J444" t="s">
        <v>1059</v>
      </c>
      <c r="K444" t="s">
        <v>1060</v>
      </c>
      <c r="L444" t="s">
        <v>5531</v>
      </c>
      <c r="M444" t="s">
        <v>162</v>
      </c>
      <c r="N444" t="s">
        <v>114</v>
      </c>
      <c r="O444" t="s">
        <v>4520</v>
      </c>
      <c r="P444" t="s">
        <v>4520</v>
      </c>
      <c r="Q444" t="s">
        <v>100</v>
      </c>
      <c r="R444" t="s">
        <v>1059</v>
      </c>
      <c r="S444" t="s">
        <v>1060</v>
      </c>
      <c r="T444" t="s">
        <v>4467</v>
      </c>
      <c r="U444" t="s">
        <v>4468</v>
      </c>
      <c r="V444" t="s">
        <v>4521</v>
      </c>
      <c r="W444" t="s">
        <v>4470</v>
      </c>
      <c r="X444" t="s">
        <v>4471</v>
      </c>
      <c r="Y444" t="s">
        <v>4468</v>
      </c>
      <c r="Z444" t="s">
        <v>1015</v>
      </c>
      <c r="AA444" t="s">
        <v>4522</v>
      </c>
      <c r="AB444" t="s">
        <v>4521</v>
      </c>
      <c r="AC444" t="s">
        <v>61</v>
      </c>
      <c r="AD444" t="s">
        <v>19</v>
      </c>
      <c r="AE444" t="s">
        <v>19</v>
      </c>
      <c r="AF444" t="s">
        <v>5566</v>
      </c>
      <c r="AG444" t="s">
        <v>387</v>
      </c>
      <c r="AH444" t="s">
        <v>22</v>
      </c>
      <c r="AI444" t="s">
        <v>22</v>
      </c>
      <c r="AJ444" t="s">
        <v>22</v>
      </c>
      <c r="AK444" t="s">
        <v>22</v>
      </c>
    </row>
    <row r="445" spans="1:37" ht="11.25" customHeight="1">
      <c r="A445" t="s">
        <v>22</v>
      </c>
      <c r="B445" t="s">
        <v>48</v>
      </c>
      <c r="C445" t="s">
        <v>50</v>
      </c>
      <c r="D445" t="s">
        <v>22</v>
      </c>
      <c r="E445" t="s">
        <v>5565</v>
      </c>
      <c r="F445" t="s">
        <v>1104</v>
      </c>
      <c r="G445" t="s">
        <v>99</v>
      </c>
      <c r="H445" t="s">
        <v>99</v>
      </c>
      <c r="I445" t="s">
        <v>100</v>
      </c>
      <c r="J445" t="s">
        <v>1059</v>
      </c>
      <c r="K445" t="s">
        <v>1060</v>
      </c>
      <c r="L445" t="s">
        <v>5432</v>
      </c>
      <c r="M445" t="s">
        <v>1827</v>
      </c>
      <c r="N445" t="s">
        <v>114</v>
      </c>
      <c r="O445" t="s">
        <v>4520</v>
      </c>
      <c r="P445" t="s">
        <v>4520</v>
      </c>
      <c r="Q445" t="s">
        <v>100</v>
      </c>
      <c r="R445" t="s">
        <v>1059</v>
      </c>
      <c r="S445" t="s">
        <v>1060</v>
      </c>
      <c r="T445" t="s">
        <v>4606</v>
      </c>
      <c r="U445" t="s">
        <v>4793</v>
      </c>
      <c r="V445" t="s">
        <v>4733</v>
      </c>
      <c r="W445" t="s">
        <v>4470</v>
      </c>
      <c r="X445" t="s">
        <v>4834</v>
      </c>
      <c r="Y445" t="s">
        <v>4669</v>
      </c>
      <c r="Z445" t="s">
        <v>1015</v>
      </c>
      <c r="AA445" t="s">
        <v>5567</v>
      </c>
      <c r="AB445" t="s">
        <v>4733</v>
      </c>
      <c r="AC445" t="s">
        <v>61</v>
      </c>
      <c r="AD445" t="s">
        <v>19</v>
      </c>
      <c r="AE445" t="s">
        <v>19</v>
      </c>
      <c r="AF445" t="s">
        <v>1157</v>
      </c>
      <c r="AG445" t="s">
        <v>387</v>
      </c>
      <c r="AH445" t="s">
        <v>22</v>
      </c>
      <c r="AI445" t="s">
        <v>22</v>
      </c>
      <c r="AJ445" t="s">
        <v>22</v>
      </c>
      <c r="AK445" t="s">
        <v>22</v>
      </c>
    </row>
    <row r="446" spans="1:37" ht="11.25" customHeight="1">
      <c r="A446" t="s">
        <v>22</v>
      </c>
      <c r="B446" t="s">
        <v>48</v>
      </c>
      <c r="C446" t="s">
        <v>50</v>
      </c>
      <c r="D446" t="s">
        <v>22</v>
      </c>
      <c r="E446" t="s">
        <v>5565</v>
      </c>
      <c r="F446" t="s">
        <v>1104</v>
      </c>
      <c r="G446" t="s">
        <v>99</v>
      </c>
      <c r="H446" t="s">
        <v>99</v>
      </c>
      <c r="I446" t="s">
        <v>100</v>
      </c>
      <c r="J446" t="s">
        <v>1059</v>
      </c>
      <c r="K446" t="s">
        <v>1060</v>
      </c>
      <c r="L446" t="s">
        <v>5396</v>
      </c>
      <c r="M446" t="s">
        <v>5397</v>
      </c>
      <c r="N446" t="s">
        <v>114</v>
      </c>
      <c r="O446" t="s">
        <v>4520</v>
      </c>
      <c r="P446" t="s">
        <v>4520</v>
      </c>
      <c r="Q446" t="s">
        <v>100</v>
      </c>
      <c r="R446" t="s">
        <v>1059</v>
      </c>
      <c r="S446" t="s">
        <v>1060</v>
      </c>
      <c r="T446" t="s">
        <v>4467</v>
      </c>
      <c r="U446" t="s">
        <v>4468</v>
      </c>
      <c r="V446" t="s">
        <v>4521</v>
      </c>
      <c r="W446" t="s">
        <v>4470</v>
      </c>
      <c r="X446" t="s">
        <v>4471</v>
      </c>
      <c r="Y446" t="s">
        <v>4468</v>
      </c>
      <c r="Z446" t="s">
        <v>1015</v>
      </c>
      <c r="AA446" t="s">
        <v>4522</v>
      </c>
      <c r="AB446" t="s">
        <v>4521</v>
      </c>
      <c r="AC446" t="s">
        <v>61</v>
      </c>
      <c r="AD446" t="s">
        <v>19</v>
      </c>
      <c r="AE446" t="s">
        <v>19</v>
      </c>
      <c r="AF446" t="s">
        <v>4532</v>
      </c>
      <c r="AG446" t="s">
        <v>387</v>
      </c>
      <c r="AH446" t="s">
        <v>22</v>
      </c>
      <c r="AI446" t="s">
        <v>22</v>
      </c>
      <c r="AJ446" t="s">
        <v>22</v>
      </c>
      <c r="AK446" t="s">
        <v>22</v>
      </c>
    </row>
    <row r="447" spans="1:37" ht="11.25" customHeight="1">
      <c r="A447" t="s">
        <v>22</v>
      </c>
      <c r="B447" t="s">
        <v>48</v>
      </c>
      <c r="C447" t="s">
        <v>50</v>
      </c>
      <c r="D447" t="s">
        <v>22</v>
      </c>
      <c r="E447" t="s">
        <v>5565</v>
      </c>
      <c r="F447" t="s">
        <v>1104</v>
      </c>
      <c r="G447" t="s">
        <v>99</v>
      </c>
      <c r="H447" t="s">
        <v>99</v>
      </c>
      <c r="I447" t="s">
        <v>100</v>
      </c>
      <c r="J447" t="s">
        <v>1059</v>
      </c>
      <c r="K447" t="s">
        <v>1060</v>
      </c>
      <c r="L447" t="s">
        <v>5449</v>
      </c>
      <c r="M447" t="s">
        <v>4619</v>
      </c>
      <c r="N447" t="s">
        <v>114</v>
      </c>
      <c r="O447" t="s">
        <v>4520</v>
      </c>
      <c r="P447" t="s">
        <v>4520</v>
      </c>
      <c r="Q447" t="s">
        <v>100</v>
      </c>
      <c r="R447" t="s">
        <v>1059</v>
      </c>
      <c r="S447" t="s">
        <v>1060</v>
      </c>
      <c r="T447" t="s">
        <v>4467</v>
      </c>
      <c r="U447" t="s">
        <v>4660</v>
      </c>
      <c r="V447" t="s">
        <v>4661</v>
      </c>
      <c r="W447" t="s">
        <v>4470</v>
      </c>
      <c r="X447" t="s">
        <v>4529</v>
      </c>
      <c r="Y447" t="s">
        <v>4662</v>
      </c>
      <c r="Z447" t="s">
        <v>4663</v>
      </c>
      <c r="AA447" t="s">
        <v>4664</v>
      </c>
      <c r="AB447" t="s">
        <v>4661</v>
      </c>
      <c r="AC447" t="s">
        <v>61</v>
      </c>
      <c r="AD447" t="s">
        <v>19</v>
      </c>
      <c r="AE447" t="s">
        <v>19</v>
      </c>
      <c r="AF447" t="s">
        <v>1166</v>
      </c>
      <c r="AG447" t="s">
        <v>387</v>
      </c>
      <c r="AH447" t="s">
        <v>22</v>
      </c>
      <c r="AI447" t="s">
        <v>22</v>
      </c>
      <c r="AJ447" t="s">
        <v>22</v>
      </c>
      <c r="AK447" t="s">
        <v>22</v>
      </c>
    </row>
    <row r="448" spans="1:37" ht="11.25" customHeight="1">
      <c r="A448" t="s">
        <v>22</v>
      </c>
      <c r="B448" t="s">
        <v>48</v>
      </c>
      <c r="C448" t="s">
        <v>50</v>
      </c>
      <c r="D448" t="s">
        <v>22</v>
      </c>
      <c r="E448" t="s">
        <v>5565</v>
      </c>
      <c r="F448" t="s">
        <v>1104</v>
      </c>
      <c r="G448" t="s">
        <v>99</v>
      </c>
      <c r="H448" t="s">
        <v>99</v>
      </c>
      <c r="I448" t="s">
        <v>100</v>
      </c>
      <c r="J448" t="s">
        <v>1059</v>
      </c>
      <c r="K448" t="s">
        <v>1060</v>
      </c>
      <c r="L448" t="s">
        <v>5432</v>
      </c>
      <c r="M448" t="s">
        <v>4954</v>
      </c>
      <c r="N448" t="s">
        <v>114</v>
      </c>
      <c r="O448" t="s">
        <v>4520</v>
      </c>
      <c r="P448" t="s">
        <v>4520</v>
      </c>
      <c r="Q448" t="s">
        <v>100</v>
      </c>
      <c r="R448" t="s">
        <v>1059</v>
      </c>
      <c r="S448" t="s">
        <v>1060</v>
      </c>
      <c r="T448" t="s">
        <v>4606</v>
      </c>
      <c r="U448" t="s">
        <v>4793</v>
      </c>
      <c r="V448" t="s">
        <v>4733</v>
      </c>
      <c r="W448" t="s">
        <v>4470</v>
      </c>
      <c r="X448" t="s">
        <v>4834</v>
      </c>
      <c r="Y448" t="s">
        <v>4669</v>
      </c>
      <c r="Z448" t="s">
        <v>1015</v>
      </c>
      <c r="AA448" t="s">
        <v>5567</v>
      </c>
      <c r="AB448" t="s">
        <v>4733</v>
      </c>
      <c r="AC448" t="s">
        <v>61</v>
      </c>
      <c r="AD448" t="s">
        <v>19</v>
      </c>
      <c r="AE448" t="s">
        <v>19</v>
      </c>
      <c r="AF448" t="s">
        <v>1173</v>
      </c>
      <c r="AG448" t="s">
        <v>387</v>
      </c>
      <c r="AH448" t="s">
        <v>22</v>
      </c>
      <c r="AI448" t="s">
        <v>22</v>
      </c>
      <c r="AJ448" t="s">
        <v>22</v>
      </c>
      <c r="AK448" t="s">
        <v>22</v>
      </c>
    </row>
    <row r="449" spans="1:37" ht="11.25" customHeight="1">
      <c r="A449" t="s">
        <v>22</v>
      </c>
      <c r="B449" t="s">
        <v>48</v>
      </c>
      <c r="C449" t="s">
        <v>50</v>
      </c>
      <c r="D449" t="s">
        <v>22</v>
      </c>
      <c r="E449" t="s">
        <v>5565</v>
      </c>
      <c r="F449" t="s">
        <v>1104</v>
      </c>
      <c r="G449" t="s">
        <v>99</v>
      </c>
      <c r="H449" t="s">
        <v>99</v>
      </c>
      <c r="I449" t="s">
        <v>100</v>
      </c>
      <c r="J449" t="s">
        <v>1059</v>
      </c>
      <c r="K449" t="s">
        <v>1060</v>
      </c>
      <c r="L449" t="s">
        <v>5406</v>
      </c>
      <c r="M449" t="s">
        <v>5407</v>
      </c>
      <c r="N449" t="s">
        <v>114</v>
      </c>
      <c r="O449" t="s">
        <v>4520</v>
      </c>
      <c r="P449" t="s">
        <v>4520</v>
      </c>
      <c r="Q449" t="s">
        <v>100</v>
      </c>
      <c r="R449" t="s">
        <v>1059</v>
      </c>
      <c r="S449" t="s">
        <v>1060</v>
      </c>
      <c r="T449" t="s">
        <v>4467</v>
      </c>
      <c r="U449" t="s">
        <v>4660</v>
      </c>
      <c r="V449" t="s">
        <v>4661</v>
      </c>
      <c r="W449" t="s">
        <v>4470</v>
      </c>
      <c r="X449" t="s">
        <v>4529</v>
      </c>
      <c r="Y449" t="s">
        <v>4662</v>
      </c>
      <c r="Z449" t="s">
        <v>4663</v>
      </c>
      <c r="AA449" t="s">
        <v>4664</v>
      </c>
      <c r="AB449" t="s">
        <v>4661</v>
      </c>
      <c r="AC449" t="s">
        <v>61</v>
      </c>
      <c r="AD449" t="s">
        <v>19</v>
      </c>
      <c r="AE449" t="s">
        <v>19</v>
      </c>
      <c r="AF449" t="s">
        <v>1173</v>
      </c>
      <c r="AG449" t="s">
        <v>387</v>
      </c>
      <c r="AH449" t="s">
        <v>22</v>
      </c>
      <c r="AI449" t="s">
        <v>22</v>
      </c>
      <c r="AJ449" t="s">
        <v>22</v>
      </c>
      <c r="AK449" t="s">
        <v>22</v>
      </c>
    </row>
    <row r="450" spans="1:37" ht="11.25" customHeight="1">
      <c r="A450" t="s">
        <v>22</v>
      </c>
      <c r="B450" t="s">
        <v>48</v>
      </c>
      <c r="C450" t="s">
        <v>50</v>
      </c>
      <c r="D450" t="s">
        <v>22</v>
      </c>
      <c r="E450" t="s">
        <v>5565</v>
      </c>
      <c r="F450" t="s">
        <v>1104</v>
      </c>
      <c r="G450" t="s">
        <v>99</v>
      </c>
      <c r="H450" t="s">
        <v>99</v>
      </c>
      <c r="I450" t="s">
        <v>100</v>
      </c>
      <c r="J450" t="s">
        <v>1059</v>
      </c>
      <c r="K450" t="s">
        <v>1060</v>
      </c>
      <c r="L450" t="s">
        <v>5434</v>
      </c>
      <c r="M450" t="s">
        <v>5435</v>
      </c>
      <c r="N450" t="s">
        <v>114</v>
      </c>
      <c r="O450" t="s">
        <v>4520</v>
      </c>
      <c r="P450" t="s">
        <v>4520</v>
      </c>
      <c r="Q450" t="s">
        <v>100</v>
      </c>
      <c r="R450" t="s">
        <v>1059</v>
      </c>
      <c r="S450" t="s">
        <v>1060</v>
      </c>
      <c r="T450" t="s">
        <v>4467</v>
      </c>
      <c r="U450" t="s">
        <v>4468</v>
      </c>
      <c r="V450" t="s">
        <v>4521</v>
      </c>
      <c r="W450" t="s">
        <v>4470</v>
      </c>
      <c r="X450" t="s">
        <v>4471</v>
      </c>
      <c r="Y450" t="s">
        <v>4468</v>
      </c>
      <c r="Z450" t="s">
        <v>1015</v>
      </c>
      <c r="AA450" t="s">
        <v>4522</v>
      </c>
      <c r="AB450" t="s">
        <v>4521</v>
      </c>
      <c r="AC450" t="s">
        <v>61</v>
      </c>
      <c r="AD450" t="s">
        <v>19</v>
      </c>
      <c r="AE450" t="s">
        <v>19</v>
      </c>
      <c r="AF450" t="s">
        <v>5568</v>
      </c>
      <c r="AG450" t="s">
        <v>387</v>
      </c>
      <c r="AH450" t="s">
        <v>22</v>
      </c>
      <c r="AI450" t="s">
        <v>22</v>
      </c>
      <c r="AJ450" t="s">
        <v>22</v>
      </c>
      <c r="AK450" t="s">
        <v>22</v>
      </c>
    </row>
    <row r="451" spans="1:37" ht="11.25" customHeight="1">
      <c r="A451" t="s">
        <v>22</v>
      </c>
      <c r="B451" t="s">
        <v>48</v>
      </c>
      <c r="C451" t="s">
        <v>50</v>
      </c>
      <c r="D451" t="s">
        <v>22</v>
      </c>
      <c r="E451" t="s">
        <v>5565</v>
      </c>
      <c r="F451" t="s">
        <v>1104</v>
      </c>
      <c r="G451" t="s">
        <v>99</v>
      </c>
      <c r="H451" t="s">
        <v>99</v>
      </c>
      <c r="I451" t="s">
        <v>100</v>
      </c>
      <c r="J451" t="s">
        <v>1059</v>
      </c>
      <c r="K451" t="s">
        <v>1060</v>
      </c>
      <c r="L451" t="s">
        <v>5547</v>
      </c>
      <c r="M451" t="s">
        <v>4675</v>
      </c>
      <c r="N451" t="s">
        <v>114</v>
      </c>
      <c r="O451" t="s">
        <v>4520</v>
      </c>
      <c r="P451" t="s">
        <v>4520</v>
      </c>
      <c r="Q451" t="s">
        <v>100</v>
      </c>
      <c r="R451" t="s">
        <v>1059</v>
      </c>
      <c r="S451" t="s">
        <v>1060</v>
      </c>
      <c r="T451" t="s">
        <v>4467</v>
      </c>
      <c r="U451" t="s">
        <v>4468</v>
      </c>
      <c r="V451" t="s">
        <v>4521</v>
      </c>
      <c r="W451" t="s">
        <v>4470</v>
      </c>
      <c r="X451" t="s">
        <v>4471</v>
      </c>
      <c r="Y451" t="s">
        <v>4468</v>
      </c>
      <c r="Z451" t="s">
        <v>1015</v>
      </c>
      <c r="AA451" t="s">
        <v>4522</v>
      </c>
      <c r="AB451" t="s">
        <v>4521</v>
      </c>
      <c r="AC451" t="s">
        <v>61</v>
      </c>
      <c r="AD451" t="s">
        <v>19</v>
      </c>
      <c r="AE451" t="s">
        <v>19</v>
      </c>
      <c r="AF451" t="s">
        <v>4532</v>
      </c>
      <c r="AG451" t="s">
        <v>387</v>
      </c>
      <c r="AH451" t="s">
        <v>22</v>
      </c>
      <c r="AI451" t="s">
        <v>22</v>
      </c>
      <c r="AJ451" t="s">
        <v>22</v>
      </c>
      <c r="AK451" t="s">
        <v>22</v>
      </c>
    </row>
    <row r="452" spans="1:37" ht="11.25" customHeight="1">
      <c r="A452" t="s">
        <v>22</v>
      </c>
      <c r="B452" t="s">
        <v>48</v>
      </c>
      <c r="C452" t="s">
        <v>50</v>
      </c>
      <c r="D452" t="s">
        <v>22</v>
      </c>
      <c r="E452" t="s">
        <v>5565</v>
      </c>
      <c r="F452" t="s">
        <v>1104</v>
      </c>
      <c r="G452" t="s">
        <v>99</v>
      </c>
      <c r="H452" t="s">
        <v>99</v>
      </c>
      <c r="I452" t="s">
        <v>100</v>
      </c>
      <c r="J452" t="s">
        <v>1059</v>
      </c>
      <c r="K452" t="s">
        <v>1060</v>
      </c>
      <c r="L452" t="s">
        <v>5413</v>
      </c>
      <c r="M452" t="s">
        <v>5468</v>
      </c>
      <c r="N452" t="s">
        <v>114</v>
      </c>
      <c r="O452" t="s">
        <v>4520</v>
      </c>
      <c r="P452" t="s">
        <v>4520</v>
      </c>
      <c r="Q452" t="s">
        <v>100</v>
      </c>
      <c r="R452" t="s">
        <v>1059</v>
      </c>
      <c r="S452" t="s">
        <v>1060</v>
      </c>
      <c r="T452" t="s">
        <v>4606</v>
      </c>
      <c r="U452" t="s">
        <v>4793</v>
      </c>
      <c r="V452" t="s">
        <v>4733</v>
      </c>
      <c r="W452" t="s">
        <v>4470</v>
      </c>
      <c r="X452" t="s">
        <v>4834</v>
      </c>
      <c r="Y452" t="s">
        <v>4669</v>
      </c>
      <c r="Z452" t="s">
        <v>1015</v>
      </c>
      <c r="AA452" t="s">
        <v>5569</v>
      </c>
      <c r="AB452" t="s">
        <v>4733</v>
      </c>
      <c r="AC452" t="s">
        <v>61</v>
      </c>
      <c r="AD452" t="s">
        <v>19</v>
      </c>
      <c r="AE452" t="s">
        <v>19</v>
      </c>
      <c r="AF452" t="s">
        <v>4523</v>
      </c>
      <c r="AG452" t="s">
        <v>4532</v>
      </c>
      <c r="AH452" t="s">
        <v>22</v>
      </c>
      <c r="AI452" t="s">
        <v>22</v>
      </c>
      <c r="AJ452" t="s">
        <v>22</v>
      </c>
      <c r="AK452" t="s">
        <v>22</v>
      </c>
    </row>
    <row r="453" spans="1:37" ht="11.25" customHeight="1">
      <c r="A453" t="s">
        <v>22</v>
      </c>
      <c r="B453" t="s">
        <v>48</v>
      </c>
      <c r="C453" t="s">
        <v>50</v>
      </c>
      <c r="D453" t="s">
        <v>22</v>
      </c>
      <c r="E453" t="s">
        <v>5565</v>
      </c>
      <c r="F453" t="s">
        <v>1104</v>
      </c>
      <c r="G453" t="s">
        <v>99</v>
      </c>
      <c r="H453" t="s">
        <v>99</v>
      </c>
      <c r="I453" t="s">
        <v>100</v>
      </c>
      <c r="J453" t="s">
        <v>1059</v>
      </c>
      <c r="K453" t="s">
        <v>1060</v>
      </c>
      <c r="L453" t="s">
        <v>5476</v>
      </c>
      <c r="M453" t="s">
        <v>4860</v>
      </c>
      <c r="N453" t="s">
        <v>114</v>
      </c>
      <c r="O453" t="s">
        <v>4520</v>
      </c>
      <c r="P453" t="s">
        <v>4520</v>
      </c>
      <c r="Q453" t="s">
        <v>100</v>
      </c>
      <c r="R453" t="s">
        <v>1059</v>
      </c>
      <c r="S453" t="s">
        <v>1060</v>
      </c>
      <c r="T453" t="s">
        <v>4606</v>
      </c>
      <c r="U453" t="s">
        <v>4793</v>
      </c>
      <c r="V453" t="s">
        <v>4733</v>
      </c>
      <c r="W453" t="s">
        <v>4470</v>
      </c>
      <c r="X453" t="s">
        <v>4834</v>
      </c>
      <c r="Y453" t="s">
        <v>4669</v>
      </c>
      <c r="Z453" t="s">
        <v>1015</v>
      </c>
      <c r="AA453" t="s">
        <v>5570</v>
      </c>
      <c r="AB453" t="s">
        <v>4733</v>
      </c>
      <c r="AC453" t="s">
        <v>61</v>
      </c>
      <c r="AD453" t="s">
        <v>19</v>
      </c>
      <c r="AE453" t="s">
        <v>19</v>
      </c>
      <c r="AF453" t="s">
        <v>4624</v>
      </c>
      <c r="AG453" t="s">
        <v>5305</v>
      </c>
      <c r="AH453" t="s">
        <v>22</v>
      </c>
      <c r="AI453" t="s">
        <v>22</v>
      </c>
      <c r="AJ453" t="s">
        <v>22</v>
      </c>
      <c r="AK453" t="s">
        <v>22</v>
      </c>
    </row>
    <row r="454" spans="1:37" ht="11.25" customHeight="1">
      <c r="A454" t="s">
        <v>22</v>
      </c>
      <c r="B454" t="s">
        <v>48</v>
      </c>
      <c r="C454" t="s">
        <v>50</v>
      </c>
      <c r="D454" t="s">
        <v>22</v>
      </c>
      <c r="E454" t="s">
        <v>5565</v>
      </c>
      <c r="F454" t="s">
        <v>1104</v>
      </c>
      <c r="G454" t="s">
        <v>99</v>
      </c>
      <c r="H454" t="s">
        <v>99</v>
      </c>
      <c r="I454" t="s">
        <v>100</v>
      </c>
      <c r="J454" t="s">
        <v>1059</v>
      </c>
      <c r="K454" t="s">
        <v>1060</v>
      </c>
      <c r="L454" t="s">
        <v>5402</v>
      </c>
      <c r="M454" t="s">
        <v>1818</v>
      </c>
      <c r="N454" t="s">
        <v>114</v>
      </c>
      <c r="O454" t="s">
        <v>4520</v>
      </c>
      <c r="P454" t="s">
        <v>4520</v>
      </c>
      <c r="Q454" t="s">
        <v>100</v>
      </c>
      <c r="R454" t="s">
        <v>1059</v>
      </c>
      <c r="S454" t="s">
        <v>1060</v>
      </c>
      <c r="T454" t="s">
        <v>4467</v>
      </c>
      <c r="U454" t="s">
        <v>4468</v>
      </c>
      <c r="V454" t="s">
        <v>4521</v>
      </c>
      <c r="W454" t="s">
        <v>4470</v>
      </c>
      <c r="X454" t="s">
        <v>4471</v>
      </c>
      <c r="Y454" t="s">
        <v>4468</v>
      </c>
      <c r="Z454" t="s">
        <v>1015</v>
      </c>
      <c r="AA454" t="s">
        <v>4522</v>
      </c>
      <c r="AB454" t="s">
        <v>4521</v>
      </c>
      <c r="AC454" t="s">
        <v>61</v>
      </c>
      <c r="AD454" t="s">
        <v>19</v>
      </c>
      <c r="AE454" t="s">
        <v>19</v>
      </c>
      <c r="AF454" t="s">
        <v>4532</v>
      </c>
      <c r="AG454" t="s">
        <v>387</v>
      </c>
      <c r="AH454" t="s">
        <v>22</v>
      </c>
      <c r="AI454" t="s">
        <v>22</v>
      </c>
      <c r="AJ454" t="s">
        <v>22</v>
      </c>
      <c r="AK454" t="s">
        <v>22</v>
      </c>
    </row>
    <row r="455" spans="1:37" ht="11.25" customHeight="1">
      <c r="A455" t="s">
        <v>22</v>
      </c>
      <c r="B455" t="s">
        <v>48</v>
      </c>
      <c r="C455" t="s">
        <v>50</v>
      </c>
      <c r="D455" t="s">
        <v>22</v>
      </c>
      <c r="E455" t="s">
        <v>5565</v>
      </c>
      <c r="F455" t="s">
        <v>1104</v>
      </c>
      <c r="G455" t="s">
        <v>99</v>
      </c>
      <c r="H455" t="s">
        <v>99</v>
      </c>
      <c r="I455" t="s">
        <v>100</v>
      </c>
      <c r="J455" t="s">
        <v>1059</v>
      </c>
      <c r="K455" t="s">
        <v>1060</v>
      </c>
      <c r="L455" t="s">
        <v>5413</v>
      </c>
      <c r="M455" t="s">
        <v>5571</v>
      </c>
      <c r="N455" t="s">
        <v>114</v>
      </c>
      <c r="O455" t="s">
        <v>4520</v>
      </c>
      <c r="P455" t="s">
        <v>4520</v>
      </c>
      <c r="Q455" t="s">
        <v>100</v>
      </c>
      <c r="R455" t="s">
        <v>1059</v>
      </c>
      <c r="S455" t="s">
        <v>1060</v>
      </c>
      <c r="T455" t="s">
        <v>4606</v>
      </c>
      <c r="U455" t="s">
        <v>4793</v>
      </c>
      <c r="V455" t="s">
        <v>4733</v>
      </c>
      <c r="W455" t="s">
        <v>4470</v>
      </c>
      <c r="X455" t="s">
        <v>4834</v>
      </c>
      <c r="Y455" t="s">
        <v>4669</v>
      </c>
      <c r="Z455" t="s">
        <v>1015</v>
      </c>
      <c r="AA455" t="s">
        <v>5572</v>
      </c>
      <c r="AB455" t="s">
        <v>4733</v>
      </c>
      <c r="AC455" t="s">
        <v>61</v>
      </c>
      <c r="AD455" t="s">
        <v>19</v>
      </c>
      <c r="AE455" t="s">
        <v>19</v>
      </c>
      <c r="AF455" t="s">
        <v>5573</v>
      </c>
      <c r="AG455" t="s">
        <v>5305</v>
      </c>
      <c r="AH455" t="s">
        <v>22</v>
      </c>
      <c r="AI455" t="s">
        <v>22</v>
      </c>
      <c r="AJ455" t="s">
        <v>22</v>
      </c>
      <c r="AK455" t="s">
        <v>22</v>
      </c>
    </row>
    <row r="456" spans="1:37" ht="11.25" customHeight="1">
      <c r="A456" t="s">
        <v>22</v>
      </c>
      <c r="B456" t="s">
        <v>48</v>
      </c>
      <c r="C456" t="s">
        <v>50</v>
      </c>
      <c r="D456" t="s">
        <v>22</v>
      </c>
      <c r="E456" t="s">
        <v>5574</v>
      </c>
      <c r="F456" t="s">
        <v>1104</v>
      </c>
      <c r="G456" t="s">
        <v>99</v>
      </c>
      <c r="H456" t="s">
        <v>99</v>
      </c>
      <c r="I456" t="s">
        <v>100</v>
      </c>
      <c r="J456" t="s">
        <v>1059</v>
      </c>
      <c r="K456" t="s">
        <v>1060</v>
      </c>
      <c r="L456" t="s">
        <v>5434</v>
      </c>
      <c r="M456" t="s">
        <v>5435</v>
      </c>
      <c r="N456" t="s">
        <v>114</v>
      </c>
      <c r="O456" t="s">
        <v>4520</v>
      </c>
      <c r="P456" t="s">
        <v>4520</v>
      </c>
      <c r="Q456" t="s">
        <v>100</v>
      </c>
      <c r="R456" t="s">
        <v>1059</v>
      </c>
      <c r="S456" t="s">
        <v>1060</v>
      </c>
      <c r="T456" t="s">
        <v>4606</v>
      </c>
      <c r="U456" t="s">
        <v>4793</v>
      </c>
      <c r="V456" t="s">
        <v>4733</v>
      </c>
      <c r="W456" t="s">
        <v>4470</v>
      </c>
      <c r="X456" t="s">
        <v>4834</v>
      </c>
      <c r="Y456" t="s">
        <v>4669</v>
      </c>
      <c r="Z456" t="s">
        <v>1015</v>
      </c>
      <c r="AA456" t="s">
        <v>5394</v>
      </c>
      <c r="AB456" t="s">
        <v>4733</v>
      </c>
      <c r="AC456" t="s">
        <v>61</v>
      </c>
      <c r="AD456" t="s">
        <v>19</v>
      </c>
      <c r="AE456" t="s">
        <v>19</v>
      </c>
      <c r="AF456" t="s">
        <v>5463</v>
      </c>
      <c r="AG456" t="s">
        <v>387</v>
      </c>
      <c r="AH456" t="s">
        <v>22</v>
      </c>
      <c r="AI456" t="s">
        <v>22</v>
      </c>
      <c r="AJ456" t="s">
        <v>22</v>
      </c>
      <c r="AK456" t="s">
        <v>22</v>
      </c>
    </row>
    <row r="457" spans="1:37" ht="11.25" customHeight="1">
      <c r="A457" t="s">
        <v>22</v>
      </c>
      <c r="B457" t="s">
        <v>48</v>
      </c>
      <c r="C457" t="s">
        <v>50</v>
      </c>
      <c r="D457" t="s">
        <v>22</v>
      </c>
      <c r="E457" t="s">
        <v>5575</v>
      </c>
      <c r="F457" t="s">
        <v>1104</v>
      </c>
      <c r="G457" t="s">
        <v>106</v>
      </c>
      <c r="H457" t="s">
        <v>106</v>
      </c>
      <c r="I457" t="s">
        <v>107</v>
      </c>
      <c r="J457" t="s">
        <v>5576</v>
      </c>
      <c r="K457" t="s">
        <v>5577</v>
      </c>
      <c r="L457" t="s">
        <v>5578</v>
      </c>
      <c r="M457" t="s">
        <v>786</v>
      </c>
      <c r="N457" t="s">
        <v>114</v>
      </c>
      <c r="O457" t="s">
        <v>106</v>
      </c>
      <c r="P457" t="s">
        <v>106</v>
      </c>
      <c r="Q457" t="s">
        <v>107</v>
      </c>
      <c r="R457" t="s">
        <v>5576</v>
      </c>
      <c r="S457" t="s">
        <v>5577</v>
      </c>
      <c r="T457" t="s">
        <v>4467</v>
      </c>
      <c r="U457" t="s">
        <v>4468</v>
      </c>
      <c r="V457" t="s">
        <v>4469</v>
      </c>
      <c r="W457" t="s">
        <v>4470</v>
      </c>
      <c r="X457" t="s">
        <v>4471</v>
      </c>
      <c r="Y457" t="s">
        <v>4468</v>
      </c>
      <c r="Z457" t="s">
        <v>1015</v>
      </c>
      <c r="AA457" t="s">
        <v>4472</v>
      </c>
      <c r="AB457" t="s">
        <v>4469</v>
      </c>
      <c r="AC457" t="s">
        <v>61</v>
      </c>
      <c r="AD457" t="s">
        <v>19</v>
      </c>
      <c r="AE457" t="s">
        <v>19</v>
      </c>
      <c r="AF457" t="s">
        <v>1823</v>
      </c>
      <c r="AG457" t="s">
        <v>5005</v>
      </c>
      <c r="AH457" t="s">
        <v>22</v>
      </c>
      <c r="AI457" t="s">
        <v>22</v>
      </c>
      <c r="AJ457" t="s">
        <v>22</v>
      </c>
      <c r="AK457" t="s">
        <v>22</v>
      </c>
    </row>
    <row r="458" spans="1:37" ht="11.25" customHeight="1">
      <c r="A458" t="s">
        <v>22</v>
      </c>
      <c r="B458" t="s">
        <v>48</v>
      </c>
      <c r="C458" t="s">
        <v>50</v>
      </c>
      <c r="D458" t="s">
        <v>22</v>
      </c>
      <c r="E458" t="s">
        <v>1057</v>
      </c>
      <c r="F458" t="s">
        <v>1104</v>
      </c>
      <c r="G458" t="s">
        <v>99</v>
      </c>
      <c r="H458" t="s">
        <v>99</v>
      </c>
      <c r="I458" t="s">
        <v>100</v>
      </c>
      <c r="J458" t="s">
        <v>1059</v>
      </c>
      <c r="K458" t="s">
        <v>1060</v>
      </c>
      <c r="L458" t="s">
        <v>5579</v>
      </c>
      <c r="M458" t="s">
        <v>5580</v>
      </c>
      <c r="N458" t="s">
        <v>114</v>
      </c>
      <c r="O458" t="s">
        <v>4520</v>
      </c>
      <c r="P458" t="s">
        <v>4520</v>
      </c>
      <c r="Q458" t="s">
        <v>100</v>
      </c>
      <c r="R458" t="s">
        <v>1059</v>
      </c>
      <c r="S458" t="s">
        <v>1060</v>
      </c>
      <c r="T458" t="s">
        <v>4467</v>
      </c>
      <c r="U458" t="s">
        <v>4468</v>
      </c>
      <c r="V458" t="s">
        <v>4521</v>
      </c>
      <c r="W458" t="s">
        <v>4470</v>
      </c>
      <c r="X458" t="s">
        <v>4471</v>
      </c>
      <c r="Y458" t="s">
        <v>4468</v>
      </c>
      <c r="Z458" t="s">
        <v>1015</v>
      </c>
      <c r="AA458" t="s">
        <v>4522</v>
      </c>
      <c r="AB458" t="s">
        <v>4521</v>
      </c>
      <c r="AC458" t="s">
        <v>61</v>
      </c>
      <c r="AD458" t="s">
        <v>19</v>
      </c>
      <c r="AE458" t="s">
        <v>19</v>
      </c>
      <c r="AF458" t="s">
        <v>5581</v>
      </c>
      <c r="AG458" t="s">
        <v>5582</v>
      </c>
      <c r="AH458" t="s">
        <v>22</v>
      </c>
      <c r="AI458" t="s">
        <v>22</v>
      </c>
      <c r="AJ458" t="s">
        <v>22</v>
      </c>
      <c r="AK458" t="s">
        <v>22</v>
      </c>
    </row>
    <row r="459" spans="1:37" ht="11.25" customHeight="1">
      <c r="A459" t="s">
        <v>22</v>
      </c>
      <c r="B459" t="s">
        <v>48</v>
      </c>
      <c r="C459" t="s">
        <v>50</v>
      </c>
      <c r="D459" t="s">
        <v>22</v>
      </c>
      <c r="E459" t="s">
        <v>1057</v>
      </c>
      <c r="F459" t="s">
        <v>1058</v>
      </c>
      <c r="G459" t="s">
        <v>99</v>
      </c>
      <c r="H459" t="s">
        <v>99</v>
      </c>
      <c r="I459" t="s">
        <v>100</v>
      </c>
      <c r="J459" t="s">
        <v>1059</v>
      </c>
      <c r="K459" t="s">
        <v>1060</v>
      </c>
      <c r="L459" t="s">
        <v>1061</v>
      </c>
      <c r="M459" t="s">
        <v>1062</v>
      </c>
      <c r="N459" t="s">
        <v>114</v>
      </c>
      <c r="O459" t="s">
        <v>4520</v>
      </c>
      <c r="P459" t="s">
        <v>4520</v>
      </c>
      <c r="Q459" t="s">
        <v>100</v>
      </c>
      <c r="R459" t="s">
        <v>1059</v>
      </c>
      <c r="S459" t="s">
        <v>1060</v>
      </c>
      <c r="T459" t="s">
        <v>4467</v>
      </c>
      <c r="U459" t="s">
        <v>4468</v>
      </c>
      <c r="V459" t="s">
        <v>4521</v>
      </c>
      <c r="W459" t="s">
        <v>4470</v>
      </c>
      <c r="X459" t="s">
        <v>4471</v>
      </c>
      <c r="Y459" t="s">
        <v>4468</v>
      </c>
      <c r="Z459" t="s">
        <v>1015</v>
      </c>
      <c r="AA459" t="s">
        <v>4522</v>
      </c>
      <c r="AB459" t="s">
        <v>4521</v>
      </c>
      <c r="AC459" t="s">
        <v>19</v>
      </c>
      <c r="AD459" t="s">
        <v>61</v>
      </c>
      <c r="AE459" t="s">
        <v>19</v>
      </c>
      <c r="AF459" t="s">
        <v>22</v>
      </c>
      <c r="AG459" t="s">
        <v>22</v>
      </c>
      <c r="AH459" t="s">
        <v>5583</v>
      </c>
      <c r="AI459" t="s">
        <v>5584</v>
      </c>
      <c r="AJ459" t="s">
        <v>22</v>
      </c>
      <c r="AK459" t="s">
        <v>22</v>
      </c>
    </row>
    <row r="460" spans="1:37" ht="11.25" customHeight="1">
      <c r="A460" t="s">
        <v>22</v>
      </c>
      <c r="B460" t="s">
        <v>48</v>
      </c>
      <c r="C460" t="s">
        <v>50</v>
      </c>
      <c r="D460" t="s">
        <v>22</v>
      </c>
      <c r="E460" t="s">
        <v>5585</v>
      </c>
      <c r="F460" t="s">
        <v>1104</v>
      </c>
      <c r="G460" t="s">
        <v>106</v>
      </c>
      <c r="H460" t="s">
        <v>106</v>
      </c>
      <c r="I460" t="s">
        <v>107</v>
      </c>
      <c r="J460" t="s">
        <v>4492</v>
      </c>
      <c r="K460" t="s">
        <v>4493</v>
      </c>
      <c r="L460" t="s">
        <v>4494</v>
      </c>
      <c r="M460" t="s">
        <v>786</v>
      </c>
      <c r="N460" t="s">
        <v>114</v>
      </c>
      <c r="O460" t="s">
        <v>106</v>
      </c>
      <c r="P460" t="s">
        <v>106</v>
      </c>
      <c r="Q460" t="s">
        <v>107</v>
      </c>
      <c r="R460" t="s">
        <v>4492</v>
      </c>
      <c r="S460" t="s">
        <v>4493</v>
      </c>
      <c r="T460" t="s">
        <v>4467</v>
      </c>
      <c r="U460" t="s">
        <v>4468</v>
      </c>
      <c r="V460" t="s">
        <v>4469</v>
      </c>
      <c r="W460" t="s">
        <v>4470</v>
      </c>
      <c r="X460" t="s">
        <v>4471</v>
      </c>
      <c r="Y460" t="s">
        <v>4468</v>
      </c>
      <c r="Z460" t="s">
        <v>1015</v>
      </c>
      <c r="AA460" t="s">
        <v>4472</v>
      </c>
      <c r="AB460" t="s">
        <v>4469</v>
      </c>
      <c r="AC460" t="s">
        <v>61</v>
      </c>
      <c r="AD460" t="s">
        <v>19</v>
      </c>
      <c r="AE460" t="s">
        <v>19</v>
      </c>
      <c r="AF460" t="s">
        <v>162</v>
      </c>
      <c r="AG460" t="s">
        <v>102</v>
      </c>
      <c r="AH460" t="s">
        <v>22</v>
      </c>
      <c r="AI460" t="s">
        <v>22</v>
      </c>
      <c r="AJ460" t="s">
        <v>22</v>
      </c>
      <c r="AK460" t="s">
        <v>22</v>
      </c>
    </row>
    <row r="461" spans="1:37" ht="11.25" customHeight="1">
      <c r="A461" t="s">
        <v>22</v>
      </c>
      <c r="B461" t="s">
        <v>48</v>
      </c>
      <c r="C461" t="s">
        <v>50</v>
      </c>
      <c r="D461" t="s">
        <v>22</v>
      </c>
      <c r="E461" t="s">
        <v>5586</v>
      </c>
      <c r="F461" t="s">
        <v>1104</v>
      </c>
      <c r="G461" t="s">
        <v>106</v>
      </c>
      <c r="H461" t="s">
        <v>106</v>
      </c>
      <c r="I461" t="s">
        <v>107</v>
      </c>
      <c r="J461" t="s">
        <v>4909</v>
      </c>
      <c r="K461" t="s">
        <v>4910</v>
      </c>
      <c r="L461" t="s">
        <v>4911</v>
      </c>
      <c r="M461" t="s">
        <v>1015</v>
      </c>
      <c r="N461" t="s">
        <v>114</v>
      </c>
      <c r="O461" t="s">
        <v>106</v>
      </c>
      <c r="P461" t="s">
        <v>106</v>
      </c>
      <c r="Q461" t="s">
        <v>107</v>
      </c>
      <c r="R461" t="s">
        <v>4909</v>
      </c>
      <c r="S461" t="s">
        <v>4910</v>
      </c>
      <c r="T461" t="s">
        <v>4467</v>
      </c>
      <c r="U461" t="s">
        <v>4468</v>
      </c>
      <c r="V461" t="s">
        <v>4469</v>
      </c>
      <c r="W461" t="s">
        <v>4487</v>
      </c>
      <c r="X461" t="s">
        <v>4471</v>
      </c>
      <c r="Y461" t="s">
        <v>4468</v>
      </c>
      <c r="Z461" t="s">
        <v>1015</v>
      </c>
      <c r="AA461" t="s">
        <v>4472</v>
      </c>
      <c r="AB461" t="s">
        <v>4469</v>
      </c>
      <c r="AC461" t="s">
        <v>61</v>
      </c>
      <c r="AD461" t="s">
        <v>19</v>
      </c>
      <c r="AE461" t="s">
        <v>19</v>
      </c>
      <c r="AF461" t="s">
        <v>1766</v>
      </c>
      <c r="AG461" t="s">
        <v>387</v>
      </c>
      <c r="AH461" t="s">
        <v>22</v>
      </c>
      <c r="AI461" t="s">
        <v>22</v>
      </c>
      <c r="AJ461" t="s">
        <v>22</v>
      </c>
      <c r="AK461" t="s">
        <v>22</v>
      </c>
    </row>
    <row r="462" spans="1:37" ht="11.25" customHeight="1">
      <c r="A462" t="s">
        <v>22</v>
      </c>
      <c r="B462" t="s">
        <v>48</v>
      </c>
      <c r="C462" t="s">
        <v>50</v>
      </c>
      <c r="D462" t="s">
        <v>22</v>
      </c>
      <c r="E462" t="s">
        <v>5587</v>
      </c>
      <c r="F462" t="s">
        <v>1104</v>
      </c>
      <c r="G462" t="s">
        <v>106</v>
      </c>
      <c r="H462" t="s">
        <v>106</v>
      </c>
      <c r="I462" t="s">
        <v>107</v>
      </c>
      <c r="J462" t="s">
        <v>4909</v>
      </c>
      <c r="K462" t="s">
        <v>4910</v>
      </c>
      <c r="L462" t="s">
        <v>4911</v>
      </c>
      <c r="M462" t="s">
        <v>1015</v>
      </c>
      <c r="N462" t="s">
        <v>114</v>
      </c>
      <c r="O462" t="s">
        <v>106</v>
      </c>
      <c r="P462" t="s">
        <v>106</v>
      </c>
      <c r="Q462" t="s">
        <v>107</v>
      </c>
      <c r="R462" t="s">
        <v>4909</v>
      </c>
      <c r="S462" t="s">
        <v>4910</v>
      </c>
      <c r="T462" t="s">
        <v>4467</v>
      </c>
      <c r="U462" t="s">
        <v>4468</v>
      </c>
      <c r="V462" t="s">
        <v>4469</v>
      </c>
      <c r="W462" t="s">
        <v>4487</v>
      </c>
      <c r="X462" t="s">
        <v>4471</v>
      </c>
      <c r="Y462" t="s">
        <v>4468</v>
      </c>
      <c r="Z462" t="s">
        <v>1015</v>
      </c>
      <c r="AA462" t="s">
        <v>4472</v>
      </c>
      <c r="AB462" t="s">
        <v>4469</v>
      </c>
      <c r="AC462" t="s">
        <v>61</v>
      </c>
      <c r="AD462" t="s">
        <v>19</v>
      </c>
      <c r="AE462" t="s">
        <v>19</v>
      </c>
      <c r="AF462" t="s">
        <v>1766</v>
      </c>
      <c r="AG462" t="s">
        <v>387</v>
      </c>
      <c r="AH462" t="s">
        <v>22</v>
      </c>
      <c r="AI462" t="s">
        <v>22</v>
      </c>
      <c r="AJ462" t="s">
        <v>22</v>
      </c>
      <c r="AK462" t="s">
        <v>22</v>
      </c>
    </row>
    <row r="463" spans="1:37" ht="11.25" customHeight="1">
      <c r="A463" t="s">
        <v>22</v>
      </c>
      <c r="B463" t="s">
        <v>48</v>
      </c>
      <c r="C463" t="s">
        <v>50</v>
      </c>
      <c r="D463" t="s">
        <v>22</v>
      </c>
      <c r="E463" t="s">
        <v>5588</v>
      </c>
      <c r="F463" t="s">
        <v>1104</v>
      </c>
      <c r="G463" t="s">
        <v>106</v>
      </c>
      <c r="H463" t="s">
        <v>106</v>
      </c>
      <c r="I463" t="s">
        <v>107</v>
      </c>
      <c r="J463" t="s">
        <v>4492</v>
      </c>
      <c r="K463" t="s">
        <v>4493</v>
      </c>
      <c r="L463" t="s">
        <v>4494</v>
      </c>
      <c r="M463" t="s">
        <v>786</v>
      </c>
      <c r="N463" t="s">
        <v>114</v>
      </c>
      <c r="O463" t="s">
        <v>106</v>
      </c>
      <c r="P463" t="s">
        <v>106</v>
      </c>
      <c r="Q463" t="s">
        <v>107</v>
      </c>
      <c r="R463" t="s">
        <v>4492</v>
      </c>
      <c r="S463" t="s">
        <v>4493</v>
      </c>
      <c r="T463" t="s">
        <v>4467</v>
      </c>
      <c r="U463" t="s">
        <v>4468</v>
      </c>
      <c r="V463" t="s">
        <v>4469</v>
      </c>
      <c r="W463" t="s">
        <v>4470</v>
      </c>
      <c r="X463" t="s">
        <v>4471</v>
      </c>
      <c r="Y463" t="s">
        <v>4468</v>
      </c>
      <c r="Z463" t="s">
        <v>1015</v>
      </c>
      <c r="AA463" t="s">
        <v>4472</v>
      </c>
      <c r="AB463" t="s">
        <v>4469</v>
      </c>
      <c r="AC463" t="s">
        <v>61</v>
      </c>
      <c r="AD463" t="s">
        <v>19</v>
      </c>
      <c r="AE463" t="s">
        <v>19</v>
      </c>
      <c r="AF463" t="s">
        <v>162</v>
      </c>
      <c r="AG463" t="s">
        <v>102</v>
      </c>
      <c r="AH463" t="s">
        <v>22</v>
      </c>
      <c r="AI463" t="s">
        <v>22</v>
      </c>
      <c r="AJ463" t="s">
        <v>22</v>
      </c>
      <c r="AK463" t="s">
        <v>22</v>
      </c>
    </row>
    <row r="464" spans="1:37" ht="11.25" customHeight="1">
      <c r="A464" t="s">
        <v>22</v>
      </c>
      <c r="B464" t="s">
        <v>48</v>
      </c>
      <c r="C464" t="s">
        <v>50</v>
      </c>
      <c r="D464" t="s">
        <v>22</v>
      </c>
      <c r="E464" t="s">
        <v>5589</v>
      </c>
      <c r="F464" t="s">
        <v>4972</v>
      </c>
      <c r="G464" t="s">
        <v>106</v>
      </c>
      <c r="H464" t="s">
        <v>106</v>
      </c>
      <c r="I464" t="s">
        <v>107</v>
      </c>
      <c r="J464" t="s">
        <v>5590</v>
      </c>
      <c r="K464" t="s">
        <v>5591</v>
      </c>
      <c r="L464" t="s">
        <v>5592</v>
      </c>
      <c r="M464" t="s">
        <v>786</v>
      </c>
      <c r="N464" t="s">
        <v>114</v>
      </c>
      <c r="O464" t="s">
        <v>106</v>
      </c>
      <c r="P464" t="s">
        <v>106</v>
      </c>
      <c r="Q464" t="s">
        <v>107</v>
      </c>
      <c r="R464" t="s">
        <v>5590</v>
      </c>
      <c r="S464" t="s">
        <v>5591</v>
      </c>
      <c r="T464" t="s">
        <v>4732</v>
      </c>
      <c r="U464" t="s">
        <v>4660</v>
      </c>
      <c r="V464" t="s">
        <v>5593</v>
      </c>
      <c r="W464" t="s">
        <v>4470</v>
      </c>
      <c r="X464" t="s">
        <v>4734</v>
      </c>
      <c r="Y464" t="s">
        <v>4735</v>
      </c>
      <c r="Z464" t="s">
        <v>1015</v>
      </c>
      <c r="AA464" t="s">
        <v>5135</v>
      </c>
      <c r="AB464" t="s">
        <v>5593</v>
      </c>
      <c r="AC464" t="s">
        <v>19</v>
      </c>
      <c r="AD464" t="s">
        <v>19</v>
      </c>
      <c r="AE464" t="s">
        <v>61</v>
      </c>
      <c r="AF464" t="s">
        <v>22</v>
      </c>
      <c r="AG464" t="s">
        <v>22</v>
      </c>
      <c r="AH464" t="s">
        <v>22</v>
      </c>
      <c r="AI464" t="s">
        <v>22</v>
      </c>
      <c r="AJ464" t="s">
        <v>4603</v>
      </c>
      <c r="AK464" t="s">
        <v>387</v>
      </c>
    </row>
    <row r="465" spans="1:37" ht="11.25" customHeight="1">
      <c r="A465" t="s">
        <v>22</v>
      </c>
      <c r="B465" t="s">
        <v>48</v>
      </c>
      <c r="C465" t="s">
        <v>50</v>
      </c>
      <c r="D465" t="s">
        <v>22</v>
      </c>
      <c r="E465" t="s">
        <v>5594</v>
      </c>
      <c r="F465" t="s">
        <v>1104</v>
      </c>
      <c r="G465" t="s">
        <v>106</v>
      </c>
      <c r="H465" t="s">
        <v>106</v>
      </c>
      <c r="I465" t="s">
        <v>107</v>
      </c>
      <c r="J465" t="s">
        <v>4923</v>
      </c>
      <c r="K465" t="s">
        <v>4924</v>
      </c>
      <c r="L465" t="s">
        <v>4925</v>
      </c>
      <c r="M465" t="s">
        <v>786</v>
      </c>
      <c r="N465" t="s">
        <v>114</v>
      </c>
      <c r="O465" t="s">
        <v>106</v>
      </c>
      <c r="P465" t="s">
        <v>106</v>
      </c>
      <c r="Q465" t="s">
        <v>107</v>
      </c>
      <c r="R465" t="s">
        <v>4923</v>
      </c>
      <c r="S465" t="s">
        <v>4924</v>
      </c>
      <c r="T465" t="s">
        <v>4467</v>
      </c>
      <c r="U465" t="s">
        <v>4468</v>
      </c>
      <c r="V465" t="s">
        <v>4469</v>
      </c>
      <c r="W465" t="s">
        <v>4470</v>
      </c>
      <c r="X465" t="s">
        <v>4471</v>
      </c>
      <c r="Y465" t="s">
        <v>4468</v>
      </c>
      <c r="Z465" t="s">
        <v>1015</v>
      </c>
      <c r="AA465" t="s">
        <v>4472</v>
      </c>
      <c r="AB465" t="s">
        <v>4469</v>
      </c>
      <c r="AC465" t="s">
        <v>61</v>
      </c>
      <c r="AD465" t="s">
        <v>19</v>
      </c>
      <c r="AE465" t="s">
        <v>19</v>
      </c>
      <c r="AF465" t="s">
        <v>162</v>
      </c>
      <c r="AG465" t="s">
        <v>162</v>
      </c>
      <c r="AH465" t="s">
        <v>22</v>
      </c>
      <c r="AI465" t="s">
        <v>22</v>
      </c>
      <c r="AJ465" t="s">
        <v>22</v>
      </c>
      <c r="AK465" t="s">
        <v>22</v>
      </c>
    </row>
    <row r="466" spans="1:37" ht="11.25" customHeight="1">
      <c r="A466" t="s">
        <v>22</v>
      </c>
      <c r="B466" t="s">
        <v>48</v>
      </c>
      <c r="C466" t="s">
        <v>50</v>
      </c>
      <c r="D466" t="s">
        <v>22</v>
      </c>
      <c r="E466" t="s">
        <v>5595</v>
      </c>
      <c r="F466" t="s">
        <v>1104</v>
      </c>
      <c r="G466" t="s">
        <v>106</v>
      </c>
      <c r="H466" t="s">
        <v>106</v>
      </c>
      <c r="I466" t="s">
        <v>107</v>
      </c>
      <c r="J466" t="s">
        <v>4514</v>
      </c>
      <c r="K466" t="s">
        <v>4515</v>
      </c>
      <c r="L466" t="s">
        <v>5000</v>
      </c>
      <c r="M466" t="s">
        <v>786</v>
      </c>
      <c r="N466" t="s">
        <v>114</v>
      </c>
      <c r="O466" t="s">
        <v>106</v>
      </c>
      <c r="P466" t="s">
        <v>106</v>
      </c>
      <c r="Q466" t="s">
        <v>107</v>
      </c>
      <c r="R466" t="s">
        <v>4514</v>
      </c>
      <c r="S466" t="s">
        <v>4515</v>
      </c>
      <c r="T466" t="s">
        <v>4467</v>
      </c>
      <c r="U466" t="s">
        <v>4468</v>
      </c>
      <c r="V466" t="s">
        <v>4469</v>
      </c>
      <c r="W466" t="s">
        <v>4470</v>
      </c>
      <c r="X466" t="s">
        <v>4471</v>
      </c>
      <c r="Y466" t="s">
        <v>4468</v>
      </c>
      <c r="Z466" t="s">
        <v>1015</v>
      </c>
      <c r="AA466" t="s">
        <v>4472</v>
      </c>
      <c r="AB466" t="s">
        <v>4469</v>
      </c>
      <c r="AC466" t="s">
        <v>61</v>
      </c>
      <c r="AD466" t="s">
        <v>19</v>
      </c>
      <c r="AE466" t="s">
        <v>19</v>
      </c>
      <c r="AF466" t="s">
        <v>162</v>
      </c>
      <c r="AG466" t="s">
        <v>162</v>
      </c>
      <c r="AH466" t="s">
        <v>22</v>
      </c>
      <c r="AI466" t="s">
        <v>22</v>
      </c>
      <c r="AJ466" t="s">
        <v>22</v>
      </c>
      <c r="AK466" t="s">
        <v>22</v>
      </c>
    </row>
    <row r="467" spans="1:37" ht="11.25" customHeight="1">
      <c r="A467" t="s">
        <v>22</v>
      </c>
      <c r="B467" t="s">
        <v>48</v>
      </c>
      <c r="C467" t="s">
        <v>50</v>
      </c>
      <c r="D467" t="s">
        <v>22</v>
      </c>
      <c r="E467" t="s">
        <v>5596</v>
      </c>
      <c r="F467" t="s">
        <v>1104</v>
      </c>
      <c r="G467" t="s">
        <v>106</v>
      </c>
      <c r="H467" t="s">
        <v>106</v>
      </c>
      <c r="I467" t="s">
        <v>107</v>
      </c>
      <c r="J467" t="s">
        <v>4484</v>
      </c>
      <c r="K467" t="s">
        <v>4485</v>
      </c>
      <c r="L467" t="s">
        <v>4486</v>
      </c>
      <c r="M467" t="s">
        <v>786</v>
      </c>
      <c r="N467" t="s">
        <v>114</v>
      </c>
      <c r="O467" t="s">
        <v>106</v>
      </c>
      <c r="P467" t="s">
        <v>106</v>
      </c>
      <c r="Q467" t="s">
        <v>107</v>
      </c>
      <c r="R467" t="s">
        <v>4484</v>
      </c>
      <c r="S467" t="s">
        <v>4485</v>
      </c>
      <c r="T467" t="s">
        <v>4467</v>
      </c>
      <c r="U467" t="s">
        <v>4468</v>
      </c>
      <c r="V467" t="s">
        <v>4469</v>
      </c>
      <c r="W467" t="s">
        <v>4487</v>
      </c>
      <c r="X467" t="s">
        <v>4471</v>
      </c>
      <c r="Y467" t="s">
        <v>4468</v>
      </c>
      <c r="Z467" t="s">
        <v>1015</v>
      </c>
      <c r="AA467" t="s">
        <v>4472</v>
      </c>
      <c r="AB467" t="s">
        <v>4469</v>
      </c>
      <c r="AC467" t="s">
        <v>61</v>
      </c>
      <c r="AD467" t="s">
        <v>19</v>
      </c>
      <c r="AE467" t="s">
        <v>19</v>
      </c>
      <c r="AF467" t="s">
        <v>162</v>
      </c>
      <c r="AG467" t="s">
        <v>387</v>
      </c>
      <c r="AH467" t="s">
        <v>22</v>
      </c>
      <c r="AI467" t="s">
        <v>22</v>
      </c>
      <c r="AJ467" t="s">
        <v>22</v>
      </c>
      <c r="AK467" t="s">
        <v>22</v>
      </c>
    </row>
    <row r="468" spans="1:37" ht="11.25" customHeight="1">
      <c r="A468" t="s">
        <v>22</v>
      </c>
      <c r="B468" t="s">
        <v>48</v>
      </c>
      <c r="C468" t="s">
        <v>50</v>
      </c>
      <c r="D468" t="s">
        <v>22</v>
      </c>
      <c r="E468" t="s">
        <v>5597</v>
      </c>
      <c r="F468" t="s">
        <v>1104</v>
      </c>
      <c r="G468" t="s">
        <v>106</v>
      </c>
      <c r="H468" t="s">
        <v>106</v>
      </c>
      <c r="I468" t="s">
        <v>107</v>
      </c>
      <c r="J468" t="s">
        <v>4484</v>
      </c>
      <c r="K468" t="s">
        <v>4485</v>
      </c>
      <c r="L468" t="s">
        <v>4486</v>
      </c>
      <c r="M468" t="s">
        <v>786</v>
      </c>
      <c r="N468" t="s">
        <v>114</v>
      </c>
      <c r="O468" t="s">
        <v>106</v>
      </c>
      <c r="P468" t="s">
        <v>106</v>
      </c>
      <c r="Q468" t="s">
        <v>107</v>
      </c>
      <c r="R468" t="s">
        <v>4484</v>
      </c>
      <c r="S468" t="s">
        <v>4485</v>
      </c>
      <c r="T468" t="s">
        <v>4467</v>
      </c>
      <c r="U468" t="s">
        <v>4468</v>
      </c>
      <c r="V468" t="s">
        <v>4469</v>
      </c>
      <c r="W468" t="s">
        <v>4470</v>
      </c>
      <c r="X468" t="s">
        <v>4471</v>
      </c>
      <c r="Y468" t="s">
        <v>4468</v>
      </c>
      <c r="Z468" t="s">
        <v>1015</v>
      </c>
      <c r="AA468" t="s">
        <v>4472</v>
      </c>
      <c r="AB468" t="s">
        <v>4469</v>
      </c>
      <c r="AC468" t="s">
        <v>61</v>
      </c>
      <c r="AD468" t="s">
        <v>19</v>
      </c>
      <c r="AE468" t="s">
        <v>19</v>
      </c>
      <c r="AF468" t="s">
        <v>162</v>
      </c>
      <c r="AG468" t="s">
        <v>162</v>
      </c>
      <c r="AH468" t="s">
        <v>22</v>
      </c>
      <c r="AI468" t="s">
        <v>22</v>
      </c>
      <c r="AJ468" t="s">
        <v>22</v>
      </c>
      <c r="AK468" t="s">
        <v>22</v>
      </c>
    </row>
    <row r="469" spans="1:37" ht="11.25" customHeight="1">
      <c r="A469" t="s">
        <v>22</v>
      </c>
      <c r="B469" t="s">
        <v>48</v>
      </c>
      <c r="C469" t="s">
        <v>50</v>
      </c>
      <c r="D469" t="s">
        <v>22</v>
      </c>
      <c r="E469" t="s">
        <v>5598</v>
      </c>
      <c r="F469" t="s">
        <v>1104</v>
      </c>
      <c r="G469" t="s">
        <v>106</v>
      </c>
      <c r="H469" t="s">
        <v>106</v>
      </c>
      <c r="I469" t="s">
        <v>107</v>
      </c>
      <c r="J469" t="s">
        <v>5013</v>
      </c>
      <c r="K469" t="s">
        <v>5014</v>
      </c>
      <c r="L469" t="s">
        <v>5015</v>
      </c>
      <c r="M469" t="s">
        <v>786</v>
      </c>
      <c r="N469" t="s">
        <v>114</v>
      </c>
      <c r="O469" t="s">
        <v>106</v>
      </c>
      <c r="P469" t="s">
        <v>106</v>
      </c>
      <c r="Q469" t="s">
        <v>107</v>
      </c>
      <c r="R469" t="s">
        <v>5013</v>
      </c>
      <c r="S469" t="s">
        <v>5014</v>
      </c>
      <c r="T469" t="s">
        <v>4467</v>
      </c>
      <c r="U469" t="s">
        <v>4468</v>
      </c>
      <c r="V469" t="s">
        <v>4469</v>
      </c>
      <c r="W469" t="s">
        <v>4470</v>
      </c>
      <c r="X469" t="s">
        <v>4471</v>
      </c>
      <c r="Y469" t="s">
        <v>4468</v>
      </c>
      <c r="Z469" t="s">
        <v>1015</v>
      </c>
      <c r="AA469" t="s">
        <v>4472</v>
      </c>
      <c r="AB469" t="s">
        <v>4469</v>
      </c>
      <c r="AC469" t="s">
        <v>61</v>
      </c>
      <c r="AD469" t="s">
        <v>19</v>
      </c>
      <c r="AE469" t="s">
        <v>19</v>
      </c>
      <c r="AF469" t="s">
        <v>164</v>
      </c>
      <c r="AG469" t="s">
        <v>164</v>
      </c>
      <c r="AH469" t="s">
        <v>22</v>
      </c>
      <c r="AI469" t="s">
        <v>22</v>
      </c>
      <c r="AJ469" t="s">
        <v>22</v>
      </c>
      <c r="AK469" t="s">
        <v>22</v>
      </c>
    </row>
    <row r="470" spans="1:37" ht="11.25" customHeight="1">
      <c r="A470" t="s">
        <v>22</v>
      </c>
      <c r="B470" t="s">
        <v>48</v>
      </c>
      <c r="C470" t="s">
        <v>50</v>
      </c>
      <c r="D470" t="s">
        <v>22</v>
      </c>
      <c r="E470" t="s">
        <v>5599</v>
      </c>
      <c r="F470" t="s">
        <v>1104</v>
      </c>
      <c r="G470" t="s">
        <v>106</v>
      </c>
      <c r="H470" t="s">
        <v>106</v>
      </c>
      <c r="I470" t="s">
        <v>107</v>
      </c>
      <c r="J470" t="s">
        <v>5023</v>
      </c>
      <c r="K470" t="s">
        <v>5024</v>
      </c>
      <c r="L470" t="s">
        <v>5327</v>
      </c>
      <c r="M470" t="s">
        <v>786</v>
      </c>
      <c r="N470" t="s">
        <v>114</v>
      </c>
      <c r="O470" t="s">
        <v>106</v>
      </c>
      <c r="P470" t="s">
        <v>106</v>
      </c>
      <c r="Q470" t="s">
        <v>107</v>
      </c>
      <c r="R470" t="s">
        <v>5023</v>
      </c>
      <c r="S470" t="s">
        <v>5024</v>
      </c>
      <c r="T470" t="s">
        <v>4467</v>
      </c>
      <c r="U470" t="s">
        <v>4468</v>
      </c>
      <c r="V470" t="s">
        <v>4469</v>
      </c>
      <c r="W470" t="s">
        <v>4470</v>
      </c>
      <c r="X470" t="s">
        <v>4471</v>
      </c>
      <c r="Y470" t="s">
        <v>4468</v>
      </c>
      <c r="Z470" t="s">
        <v>1015</v>
      </c>
      <c r="AA470" t="s">
        <v>4472</v>
      </c>
      <c r="AB470" t="s">
        <v>4469</v>
      </c>
      <c r="AC470" t="s">
        <v>61</v>
      </c>
      <c r="AD470" t="s">
        <v>19</v>
      </c>
      <c r="AE470" t="s">
        <v>19</v>
      </c>
      <c r="AF470" t="s">
        <v>1166</v>
      </c>
      <c r="AG470" t="s">
        <v>1166</v>
      </c>
      <c r="AH470" t="s">
        <v>22</v>
      </c>
      <c r="AI470" t="s">
        <v>22</v>
      </c>
      <c r="AJ470" t="s">
        <v>22</v>
      </c>
      <c r="AK470" t="s">
        <v>22</v>
      </c>
    </row>
    <row r="471" spans="1:37" ht="11.25" customHeight="1">
      <c r="A471" t="s">
        <v>22</v>
      </c>
      <c r="B471" t="s">
        <v>48</v>
      </c>
      <c r="C471" t="s">
        <v>50</v>
      </c>
      <c r="D471" t="s">
        <v>22</v>
      </c>
      <c r="E471" t="s">
        <v>5600</v>
      </c>
      <c r="F471" t="s">
        <v>1104</v>
      </c>
      <c r="G471" t="s">
        <v>106</v>
      </c>
      <c r="H471" t="s">
        <v>106</v>
      </c>
      <c r="I471" t="s">
        <v>107</v>
      </c>
      <c r="J471" t="s">
        <v>5174</v>
      </c>
      <c r="K471" t="s">
        <v>5175</v>
      </c>
      <c r="L471" t="s">
        <v>5370</v>
      </c>
      <c r="M471" t="s">
        <v>786</v>
      </c>
      <c r="N471" t="s">
        <v>114</v>
      </c>
      <c r="O471" t="s">
        <v>106</v>
      </c>
      <c r="P471" t="s">
        <v>106</v>
      </c>
      <c r="Q471" t="s">
        <v>107</v>
      </c>
      <c r="R471" t="s">
        <v>5174</v>
      </c>
      <c r="S471" t="s">
        <v>5175</v>
      </c>
      <c r="T471" t="s">
        <v>4467</v>
      </c>
      <c r="U471" t="s">
        <v>4468</v>
      </c>
      <c r="V471" t="s">
        <v>4469</v>
      </c>
      <c r="W471" t="s">
        <v>4470</v>
      </c>
      <c r="X471" t="s">
        <v>4471</v>
      </c>
      <c r="Y471" t="s">
        <v>4468</v>
      </c>
      <c r="Z471" t="s">
        <v>1015</v>
      </c>
      <c r="AA471" t="s">
        <v>4472</v>
      </c>
      <c r="AB471" t="s">
        <v>4469</v>
      </c>
      <c r="AC471" t="s">
        <v>61</v>
      </c>
      <c r="AD471" t="s">
        <v>19</v>
      </c>
      <c r="AE471" t="s">
        <v>19</v>
      </c>
      <c r="AF471" t="s">
        <v>162</v>
      </c>
      <c r="AG471" t="s">
        <v>5246</v>
      </c>
      <c r="AH471" t="s">
        <v>22</v>
      </c>
      <c r="AI471" t="s">
        <v>22</v>
      </c>
      <c r="AJ471" t="s">
        <v>22</v>
      </c>
      <c r="AK471" t="s">
        <v>22</v>
      </c>
    </row>
    <row r="472" spans="1:37" ht="11.25" customHeight="1">
      <c r="A472" t="s">
        <v>22</v>
      </c>
      <c r="B472" t="s">
        <v>48</v>
      </c>
      <c r="C472" t="s">
        <v>50</v>
      </c>
      <c r="D472" t="s">
        <v>22</v>
      </c>
      <c r="E472" t="s">
        <v>5601</v>
      </c>
      <c r="F472" t="s">
        <v>1104</v>
      </c>
      <c r="G472" t="s">
        <v>106</v>
      </c>
      <c r="H472" t="s">
        <v>106</v>
      </c>
      <c r="I472" t="s">
        <v>107</v>
      </c>
      <c r="J472" t="s">
        <v>5023</v>
      </c>
      <c r="K472" t="s">
        <v>5024</v>
      </c>
      <c r="L472" t="s">
        <v>5327</v>
      </c>
      <c r="M472" t="s">
        <v>786</v>
      </c>
      <c r="N472" t="s">
        <v>114</v>
      </c>
      <c r="O472" t="s">
        <v>106</v>
      </c>
      <c r="P472" t="s">
        <v>106</v>
      </c>
      <c r="Q472" t="s">
        <v>107</v>
      </c>
      <c r="R472" t="s">
        <v>5023</v>
      </c>
      <c r="S472" t="s">
        <v>5024</v>
      </c>
      <c r="T472" t="s">
        <v>4467</v>
      </c>
      <c r="U472" t="s">
        <v>4468</v>
      </c>
      <c r="V472" t="s">
        <v>4469</v>
      </c>
      <c r="W472" t="s">
        <v>4470</v>
      </c>
      <c r="X472" t="s">
        <v>4471</v>
      </c>
      <c r="Y472" t="s">
        <v>4468</v>
      </c>
      <c r="Z472" t="s">
        <v>1015</v>
      </c>
      <c r="AA472" t="s">
        <v>4472</v>
      </c>
      <c r="AB472" t="s">
        <v>4469</v>
      </c>
      <c r="AC472" t="s">
        <v>61</v>
      </c>
      <c r="AD472" t="s">
        <v>19</v>
      </c>
      <c r="AE472" t="s">
        <v>19</v>
      </c>
      <c r="AF472" t="s">
        <v>1166</v>
      </c>
      <c r="AG472" t="s">
        <v>1166</v>
      </c>
      <c r="AH472" t="s">
        <v>22</v>
      </c>
      <c r="AI472" t="s">
        <v>22</v>
      </c>
      <c r="AJ472" t="s">
        <v>22</v>
      </c>
      <c r="AK472" t="s">
        <v>22</v>
      </c>
    </row>
    <row r="473" spans="1:37" ht="11.25" customHeight="1">
      <c r="A473" t="s">
        <v>22</v>
      </c>
      <c r="B473" t="s">
        <v>48</v>
      </c>
      <c r="C473" t="s">
        <v>50</v>
      </c>
      <c r="D473" t="s">
        <v>22</v>
      </c>
      <c r="E473" t="s">
        <v>5602</v>
      </c>
      <c r="F473" t="s">
        <v>1104</v>
      </c>
      <c r="G473" t="s">
        <v>106</v>
      </c>
      <c r="H473" t="s">
        <v>106</v>
      </c>
      <c r="I473" t="s">
        <v>107</v>
      </c>
      <c r="J473" t="s">
        <v>5013</v>
      </c>
      <c r="K473" t="s">
        <v>5014</v>
      </c>
      <c r="L473" t="s">
        <v>5015</v>
      </c>
      <c r="M473" t="s">
        <v>786</v>
      </c>
      <c r="N473" t="s">
        <v>114</v>
      </c>
      <c r="O473" t="s">
        <v>106</v>
      </c>
      <c r="P473" t="s">
        <v>106</v>
      </c>
      <c r="Q473" t="s">
        <v>107</v>
      </c>
      <c r="R473" t="s">
        <v>5013</v>
      </c>
      <c r="S473" t="s">
        <v>5014</v>
      </c>
      <c r="T473" t="s">
        <v>4467</v>
      </c>
      <c r="U473" t="s">
        <v>4468</v>
      </c>
      <c r="V473" t="s">
        <v>4469</v>
      </c>
      <c r="W473" t="s">
        <v>4470</v>
      </c>
      <c r="X473" t="s">
        <v>4471</v>
      </c>
      <c r="Y473" t="s">
        <v>4468</v>
      </c>
      <c r="Z473" t="s">
        <v>1015</v>
      </c>
      <c r="AA473" t="s">
        <v>4472</v>
      </c>
      <c r="AB473" t="s">
        <v>4469</v>
      </c>
      <c r="AC473" t="s">
        <v>61</v>
      </c>
      <c r="AD473" t="s">
        <v>19</v>
      </c>
      <c r="AE473" t="s">
        <v>19</v>
      </c>
      <c r="AF473" t="s">
        <v>164</v>
      </c>
      <c r="AG473" t="s">
        <v>164</v>
      </c>
      <c r="AH473" t="s">
        <v>22</v>
      </c>
      <c r="AI473" t="s">
        <v>22</v>
      </c>
      <c r="AJ473" t="s">
        <v>22</v>
      </c>
      <c r="AK473" t="s">
        <v>22</v>
      </c>
    </row>
    <row r="474" spans="1:37" ht="11.25" customHeight="1">
      <c r="A474" t="s">
        <v>22</v>
      </c>
      <c r="B474" t="s">
        <v>48</v>
      </c>
      <c r="C474" t="s">
        <v>50</v>
      </c>
      <c r="D474" t="s">
        <v>22</v>
      </c>
      <c r="E474" t="s">
        <v>5603</v>
      </c>
      <c r="F474" t="s">
        <v>1104</v>
      </c>
      <c r="G474" t="s">
        <v>106</v>
      </c>
      <c r="H474" t="s">
        <v>106</v>
      </c>
      <c r="I474" t="s">
        <v>107</v>
      </c>
      <c r="J474" t="s">
        <v>5023</v>
      </c>
      <c r="K474" t="s">
        <v>5024</v>
      </c>
      <c r="L474" t="s">
        <v>5327</v>
      </c>
      <c r="M474" t="s">
        <v>786</v>
      </c>
      <c r="N474" t="s">
        <v>114</v>
      </c>
      <c r="O474" t="s">
        <v>106</v>
      </c>
      <c r="P474" t="s">
        <v>106</v>
      </c>
      <c r="Q474" t="s">
        <v>107</v>
      </c>
      <c r="R474" t="s">
        <v>5023</v>
      </c>
      <c r="S474" t="s">
        <v>5024</v>
      </c>
      <c r="T474" t="s">
        <v>4467</v>
      </c>
      <c r="U474" t="s">
        <v>4468</v>
      </c>
      <c r="V474" t="s">
        <v>4469</v>
      </c>
      <c r="W474" t="s">
        <v>4470</v>
      </c>
      <c r="X474" t="s">
        <v>4471</v>
      </c>
      <c r="Y474" t="s">
        <v>4468</v>
      </c>
      <c r="Z474" t="s">
        <v>1015</v>
      </c>
      <c r="AA474" t="s">
        <v>4472</v>
      </c>
      <c r="AB474" t="s">
        <v>4469</v>
      </c>
      <c r="AC474" t="s">
        <v>61</v>
      </c>
      <c r="AD474" t="s">
        <v>19</v>
      </c>
      <c r="AE474" t="s">
        <v>19</v>
      </c>
      <c r="AF474" t="s">
        <v>1166</v>
      </c>
      <c r="AG474" t="s">
        <v>1166</v>
      </c>
      <c r="AH474" t="s">
        <v>22</v>
      </c>
      <c r="AI474" t="s">
        <v>22</v>
      </c>
      <c r="AJ474" t="s">
        <v>22</v>
      </c>
      <c r="AK474" t="s">
        <v>22</v>
      </c>
    </row>
    <row r="475" spans="1:37" ht="11.25" customHeight="1">
      <c r="A475" t="s">
        <v>22</v>
      </c>
      <c r="B475" t="s">
        <v>48</v>
      </c>
      <c r="C475" t="s">
        <v>50</v>
      </c>
      <c r="D475" t="s">
        <v>22</v>
      </c>
      <c r="E475" t="s">
        <v>5604</v>
      </c>
      <c r="F475" t="s">
        <v>1104</v>
      </c>
      <c r="G475" t="s">
        <v>106</v>
      </c>
      <c r="H475" t="s">
        <v>106</v>
      </c>
      <c r="I475" t="s">
        <v>107</v>
      </c>
      <c r="J475" t="s">
        <v>4484</v>
      </c>
      <c r="K475" t="s">
        <v>4485</v>
      </c>
      <c r="L475" t="s">
        <v>4486</v>
      </c>
      <c r="M475" t="s">
        <v>786</v>
      </c>
      <c r="N475" t="s">
        <v>114</v>
      </c>
      <c r="O475" t="s">
        <v>106</v>
      </c>
      <c r="P475" t="s">
        <v>106</v>
      </c>
      <c r="Q475" t="s">
        <v>107</v>
      </c>
      <c r="R475" t="s">
        <v>4484</v>
      </c>
      <c r="S475" t="s">
        <v>4485</v>
      </c>
      <c r="T475" t="s">
        <v>4467</v>
      </c>
      <c r="U475" t="s">
        <v>4468</v>
      </c>
      <c r="V475" t="s">
        <v>4469</v>
      </c>
      <c r="W475" t="s">
        <v>4470</v>
      </c>
      <c r="X475" t="s">
        <v>4471</v>
      </c>
      <c r="Y475" t="s">
        <v>4468</v>
      </c>
      <c r="Z475" t="s">
        <v>1015</v>
      </c>
      <c r="AA475" t="s">
        <v>4472</v>
      </c>
      <c r="AB475" t="s">
        <v>4469</v>
      </c>
      <c r="AC475" t="s">
        <v>61</v>
      </c>
      <c r="AD475" t="s">
        <v>19</v>
      </c>
      <c r="AE475" t="s">
        <v>19</v>
      </c>
      <c r="AF475" t="s">
        <v>162</v>
      </c>
      <c r="AG475" t="s">
        <v>4506</v>
      </c>
      <c r="AH475" t="s">
        <v>22</v>
      </c>
      <c r="AI475" t="s">
        <v>22</v>
      </c>
      <c r="AJ475" t="s">
        <v>22</v>
      </c>
      <c r="AK475" t="s">
        <v>22</v>
      </c>
    </row>
    <row r="476" spans="1:37" ht="11.25" customHeight="1">
      <c r="A476" t="s">
        <v>22</v>
      </c>
      <c r="B476" t="s">
        <v>48</v>
      </c>
      <c r="C476" t="s">
        <v>50</v>
      </c>
      <c r="D476" t="s">
        <v>22</v>
      </c>
      <c r="E476" t="s">
        <v>5605</v>
      </c>
      <c r="F476" t="s">
        <v>1104</v>
      </c>
      <c r="G476" t="s">
        <v>106</v>
      </c>
      <c r="H476" t="s">
        <v>106</v>
      </c>
      <c r="I476" t="s">
        <v>107</v>
      </c>
      <c r="J476" t="s">
        <v>5174</v>
      </c>
      <c r="K476" t="s">
        <v>5175</v>
      </c>
      <c r="L476" t="s">
        <v>5370</v>
      </c>
      <c r="M476" t="s">
        <v>786</v>
      </c>
      <c r="N476" t="s">
        <v>114</v>
      </c>
      <c r="O476" t="s">
        <v>106</v>
      </c>
      <c r="P476" t="s">
        <v>106</v>
      </c>
      <c r="Q476" t="s">
        <v>107</v>
      </c>
      <c r="R476" t="s">
        <v>5174</v>
      </c>
      <c r="S476" t="s">
        <v>5175</v>
      </c>
      <c r="T476" t="s">
        <v>4732</v>
      </c>
      <c r="U476" t="s">
        <v>4660</v>
      </c>
      <c r="V476" t="s">
        <v>5606</v>
      </c>
      <c r="W476" t="s">
        <v>4470</v>
      </c>
      <c r="X476" t="s">
        <v>4734</v>
      </c>
      <c r="Y476" t="s">
        <v>4735</v>
      </c>
      <c r="Z476" t="s">
        <v>1015</v>
      </c>
      <c r="AA476" t="s">
        <v>5185</v>
      </c>
      <c r="AB476" t="s">
        <v>5606</v>
      </c>
      <c r="AC476" t="s">
        <v>61</v>
      </c>
      <c r="AD476" t="s">
        <v>19</v>
      </c>
      <c r="AE476" t="s">
        <v>19</v>
      </c>
      <c r="AF476" t="s">
        <v>162</v>
      </c>
      <c r="AG476" t="s">
        <v>5246</v>
      </c>
      <c r="AH476" t="s">
        <v>22</v>
      </c>
      <c r="AI476" t="s">
        <v>22</v>
      </c>
      <c r="AJ476" t="s">
        <v>22</v>
      </c>
      <c r="AK476" t="s">
        <v>22</v>
      </c>
    </row>
    <row r="477" spans="1:37" ht="11.25" customHeight="1">
      <c r="A477" t="s">
        <v>22</v>
      </c>
      <c r="B477" t="s">
        <v>48</v>
      </c>
      <c r="C477" t="s">
        <v>50</v>
      </c>
      <c r="D477" t="s">
        <v>22</v>
      </c>
      <c r="E477" t="s">
        <v>5607</v>
      </c>
      <c r="F477" t="s">
        <v>1104</v>
      </c>
      <c r="G477" t="s">
        <v>106</v>
      </c>
      <c r="H477" t="s">
        <v>106</v>
      </c>
      <c r="I477" t="s">
        <v>107</v>
      </c>
      <c r="J477" t="s">
        <v>5023</v>
      </c>
      <c r="K477" t="s">
        <v>5024</v>
      </c>
      <c r="L477" t="s">
        <v>5327</v>
      </c>
      <c r="M477" t="s">
        <v>786</v>
      </c>
      <c r="N477" t="s">
        <v>114</v>
      </c>
      <c r="O477" t="s">
        <v>106</v>
      </c>
      <c r="P477" t="s">
        <v>106</v>
      </c>
      <c r="Q477" t="s">
        <v>107</v>
      </c>
      <c r="R477" t="s">
        <v>5023</v>
      </c>
      <c r="S477" t="s">
        <v>5024</v>
      </c>
      <c r="T477" t="s">
        <v>4467</v>
      </c>
      <c r="U477" t="s">
        <v>4468</v>
      </c>
      <c r="V477" t="s">
        <v>4469</v>
      </c>
      <c r="W477" t="s">
        <v>4470</v>
      </c>
      <c r="X477" t="s">
        <v>4471</v>
      </c>
      <c r="Y477" t="s">
        <v>4468</v>
      </c>
      <c r="Z477" t="s">
        <v>1015</v>
      </c>
      <c r="AA477" t="s">
        <v>4472</v>
      </c>
      <c r="AB477" t="s">
        <v>4469</v>
      </c>
      <c r="AC477" t="s">
        <v>61</v>
      </c>
      <c r="AD477" t="s">
        <v>19</v>
      </c>
      <c r="AE477" t="s">
        <v>19</v>
      </c>
      <c r="AF477" t="s">
        <v>1166</v>
      </c>
      <c r="AG477" t="s">
        <v>1166</v>
      </c>
      <c r="AH477" t="s">
        <v>22</v>
      </c>
      <c r="AI477" t="s">
        <v>22</v>
      </c>
      <c r="AJ477" t="s">
        <v>22</v>
      </c>
      <c r="AK477" t="s">
        <v>22</v>
      </c>
    </row>
    <row r="478" spans="1:37" ht="11.25" customHeight="1">
      <c r="A478" t="s">
        <v>22</v>
      </c>
      <c r="B478" t="s">
        <v>48</v>
      </c>
      <c r="C478" t="s">
        <v>50</v>
      </c>
      <c r="D478" t="s">
        <v>22</v>
      </c>
      <c r="E478" t="s">
        <v>5608</v>
      </c>
      <c r="F478" t="s">
        <v>1104</v>
      </c>
      <c r="G478" t="s">
        <v>106</v>
      </c>
      <c r="H478" t="s">
        <v>106</v>
      </c>
      <c r="I478" t="s">
        <v>107</v>
      </c>
      <c r="J478" t="s">
        <v>4474</v>
      </c>
      <c r="K478" t="s">
        <v>4475</v>
      </c>
      <c r="L478" t="s">
        <v>4476</v>
      </c>
      <c r="M478" t="s">
        <v>786</v>
      </c>
      <c r="N478" t="s">
        <v>114</v>
      </c>
      <c r="O478" t="s">
        <v>106</v>
      </c>
      <c r="P478" t="s">
        <v>106</v>
      </c>
      <c r="Q478" t="s">
        <v>107</v>
      </c>
      <c r="R478" t="s">
        <v>4474</v>
      </c>
      <c r="S478" t="s">
        <v>4475</v>
      </c>
      <c r="T478" t="s">
        <v>4467</v>
      </c>
      <c r="U478" t="s">
        <v>4468</v>
      </c>
      <c r="V478" t="s">
        <v>4469</v>
      </c>
      <c r="W478" t="s">
        <v>4470</v>
      </c>
      <c r="X478" t="s">
        <v>4471</v>
      </c>
      <c r="Y478" t="s">
        <v>4468</v>
      </c>
      <c r="Z478" t="s">
        <v>1015</v>
      </c>
      <c r="AA478" t="s">
        <v>4472</v>
      </c>
      <c r="AB478" t="s">
        <v>4469</v>
      </c>
      <c r="AC478" t="s">
        <v>61</v>
      </c>
      <c r="AD478" t="s">
        <v>19</v>
      </c>
      <c r="AE478" t="s">
        <v>19</v>
      </c>
      <c r="AF478" t="s">
        <v>4481</v>
      </c>
      <c r="AG478" t="s">
        <v>343</v>
      </c>
      <c r="AH478" t="s">
        <v>22</v>
      </c>
      <c r="AI478" t="s">
        <v>22</v>
      </c>
      <c r="AJ478" t="s">
        <v>22</v>
      </c>
      <c r="AK478" t="s">
        <v>22</v>
      </c>
    </row>
    <row r="479" spans="1:37" ht="11.25" customHeight="1">
      <c r="A479" t="s">
        <v>22</v>
      </c>
      <c r="B479" t="s">
        <v>48</v>
      </c>
      <c r="C479" t="s">
        <v>50</v>
      </c>
      <c r="D479" t="s">
        <v>22</v>
      </c>
      <c r="E479" t="s">
        <v>5609</v>
      </c>
      <c r="F479" t="s">
        <v>1104</v>
      </c>
      <c r="G479" t="s">
        <v>106</v>
      </c>
      <c r="H479" t="s">
        <v>106</v>
      </c>
      <c r="I479" t="s">
        <v>107</v>
      </c>
      <c r="J479" t="s">
        <v>5137</v>
      </c>
      <c r="K479" t="s">
        <v>5138</v>
      </c>
      <c r="L479" t="s">
        <v>5139</v>
      </c>
      <c r="M479" t="s">
        <v>786</v>
      </c>
      <c r="N479" t="s">
        <v>114</v>
      </c>
      <c r="O479" t="s">
        <v>106</v>
      </c>
      <c r="P479" t="s">
        <v>106</v>
      </c>
      <c r="Q479" t="s">
        <v>107</v>
      </c>
      <c r="R479" t="s">
        <v>5137</v>
      </c>
      <c r="S479" t="s">
        <v>5138</v>
      </c>
      <c r="T479" t="s">
        <v>4467</v>
      </c>
      <c r="U479" t="s">
        <v>4468</v>
      </c>
      <c r="V479" t="s">
        <v>4469</v>
      </c>
      <c r="W479" t="s">
        <v>4470</v>
      </c>
      <c r="X479" t="s">
        <v>4471</v>
      </c>
      <c r="Y479" t="s">
        <v>4468</v>
      </c>
      <c r="Z479" t="s">
        <v>1015</v>
      </c>
      <c r="AA479" t="s">
        <v>4472</v>
      </c>
      <c r="AB479" t="s">
        <v>4469</v>
      </c>
      <c r="AC479" t="s">
        <v>61</v>
      </c>
      <c r="AD479" t="s">
        <v>19</v>
      </c>
      <c r="AE479" t="s">
        <v>19</v>
      </c>
      <c r="AF479" t="s">
        <v>4481</v>
      </c>
      <c r="AG479" t="s">
        <v>5026</v>
      </c>
      <c r="AH479" t="s">
        <v>22</v>
      </c>
      <c r="AI479" t="s">
        <v>22</v>
      </c>
      <c r="AJ479" t="s">
        <v>22</v>
      </c>
      <c r="AK479" t="s">
        <v>22</v>
      </c>
    </row>
    <row r="480" spans="1:37" ht="11.25" customHeight="1">
      <c r="A480" t="s">
        <v>22</v>
      </c>
      <c r="B480" t="s">
        <v>48</v>
      </c>
      <c r="C480" t="s">
        <v>50</v>
      </c>
      <c r="D480" t="s">
        <v>22</v>
      </c>
      <c r="E480" t="s">
        <v>5610</v>
      </c>
      <c r="F480" t="s">
        <v>1104</v>
      </c>
      <c r="G480" t="s">
        <v>106</v>
      </c>
      <c r="H480" t="s">
        <v>106</v>
      </c>
      <c r="I480" t="s">
        <v>107</v>
      </c>
      <c r="J480" t="s">
        <v>4890</v>
      </c>
      <c r="K480" t="s">
        <v>4891</v>
      </c>
      <c r="L480" t="s">
        <v>5004</v>
      </c>
      <c r="M480" t="s">
        <v>786</v>
      </c>
      <c r="N480" t="s">
        <v>114</v>
      </c>
      <c r="O480" t="s">
        <v>106</v>
      </c>
      <c r="P480" t="s">
        <v>106</v>
      </c>
      <c r="Q480" t="s">
        <v>107</v>
      </c>
      <c r="R480" t="s">
        <v>4890</v>
      </c>
      <c r="S480" t="s">
        <v>4891</v>
      </c>
      <c r="T480" t="s">
        <v>4467</v>
      </c>
      <c r="U480" t="s">
        <v>4468</v>
      </c>
      <c r="V480" t="s">
        <v>4469</v>
      </c>
      <c r="W480" t="s">
        <v>4470</v>
      </c>
      <c r="X480" t="s">
        <v>4471</v>
      </c>
      <c r="Y480" t="s">
        <v>4468</v>
      </c>
      <c r="Z480" t="s">
        <v>1015</v>
      </c>
      <c r="AA480" t="s">
        <v>4472</v>
      </c>
      <c r="AB480" t="s">
        <v>4469</v>
      </c>
      <c r="AC480" t="s">
        <v>61</v>
      </c>
      <c r="AD480" t="s">
        <v>19</v>
      </c>
      <c r="AE480" t="s">
        <v>19</v>
      </c>
      <c r="AF480" t="s">
        <v>162</v>
      </c>
      <c r="AG480" t="s">
        <v>4481</v>
      </c>
      <c r="AH480" t="s">
        <v>22</v>
      </c>
      <c r="AI480" t="s">
        <v>22</v>
      </c>
      <c r="AJ480" t="s">
        <v>22</v>
      </c>
      <c r="AK480" t="s">
        <v>22</v>
      </c>
    </row>
    <row r="481" spans="1:37" ht="11.25" customHeight="1">
      <c r="A481" t="s">
        <v>22</v>
      </c>
      <c r="B481" t="s">
        <v>48</v>
      </c>
      <c r="C481" t="s">
        <v>50</v>
      </c>
      <c r="D481" t="s">
        <v>22</v>
      </c>
      <c r="E481" t="s">
        <v>5611</v>
      </c>
      <c r="F481" t="s">
        <v>1104</v>
      </c>
      <c r="G481" t="s">
        <v>106</v>
      </c>
      <c r="H481" t="s">
        <v>106</v>
      </c>
      <c r="I481" t="s">
        <v>107</v>
      </c>
      <c r="J481" t="s">
        <v>4991</v>
      </c>
      <c r="K481" t="s">
        <v>4992</v>
      </c>
      <c r="L481" t="s">
        <v>4993</v>
      </c>
      <c r="M481" t="s">
        <v>786</v>
      </c>
      <c r="N481" t="s">
        <v>114</v>
      </c>
      <c r="O481" t="s">
        <v>106</v>
      </c>
      <c r="P481" t="s">
        <v>106</v>
      </c>
      <c r="Q481" t="s">
        <v>107</v>
      </c>
      <c r="R481" t="s">
        <v>4991</v>
      </c>
      <c r="S481" t="s">
        <v>4992</v>
      </c>
      <c r="T481" t="s">
        <v>4467</v>
      </c>
      <c r="U481" t="s">
        <v>4468</v>
      </c>
      <c r="V481" t="s">
        <v>4469</v>
      </c>
      <c r="W481" t="s">
        <v>4470</v>
      </c>
      <c r="X481" t="s">
        <v>4471</v>
      </c>
      <c r="Y481" t="s">
        <v>4468</v>
      </c>
      <c r="Z481" t="s">
        <v>1015</v>
      </c>
      <c r="AA481" t="s">
        <v>4472</v>
      </c>
      <c r="AB481" t="s">
        <v>4469</v>
      </c>
      <c r="AC481" t="s">
        <v>61</v>
      </c>
      <c r="AD481" t="s">
        <v>19</v>
      </c>
      <c r="AE481" t="s">
        <v>19</v>
      </c>
      <c r="AF481" t="s">
        <v>162</v>
      </c>
      <c r="AG481" t="s">
        <v>102</v>
      </c>
      <c r="AH481" t="s">
        <v>22</v>
      </c>
      <c r="AI481" t="s">
        <v>22</v>
      </c>
      <c r="AJ481" t="s">
        <v>22</v>
      </c>
      <c r="AK481" t="s">
        <v>22</v>
      </c>
    </row>
    <row r="482" spans="1:37" ht="11.25" customHeight="1">
      <c r="A482" t="s">
        <v>22</v>
      </c>
      <c r="B482" t="s">
        <v>48</v>
      </c>
      <c r="C482" t="s">
        <v>50</v>
      </c>
      <c r="D482" t="s">
        <v>22</v>
      </c>
      <c r="E482" t="s">
        <v>5612</v>
      </c>
      <c r="F482" t="s">
        <v>1104</v>
      </c>
      <c r="G482" t="s">
        <v>106</v>
      </c>
      <c r="H482" t="s">
        <v>106</v>
      </c>
      <c r="I482" t="s">
        <v>107</v>
      </c>
      <c r="J482" t="s">
        <v>4881</v>
      </c>
      <c r="K482" t="s">
        <v>4882</v>
      </c>
      <c r="L482" t="s">
        <v>5051</v>
      </c>
      <c r="M482" t="s">
        <v>786</v>
      </c>
      <c r="N482" t="s">
        <v>114</v>
      </c>
      <c r="O482" t="s">
        <v>106</v>
      </c>
      <c r="P482" t="s">
        <v>106</v>
      </c>
      <c r="Q482" t="s">
        <v>107</v>
      </c>
      <c r="R482" t="s">
        <v>4881</v>
      </c>
      <c r="S482" t="s">
        <v>4882</v>
      </c>
      <c r="T482" t="s">
        <v>4467</v>
      </c>
      <c r="U482" t="s">
        <v>4468</v>
      </c>
      <c r="V482" t="s">
        <v>4469</v>
      </c>
      <c r="W482" t="s">
        <v>4470</v>
      </c>
      <c r="X482" t="s">
        <v>4471</v>
      </c>
      <c r="Y482" t="s">
        <v>4468</v>
      </c>
      <c r="Z482" t="s">
        <v>1015</v>
      </c>
      <c r="AA482" t="s">
        <v>4472</v>
      </c>
      <c r="AB482" t="s">
        <v>4469</v>
      </c>
      <c r="AC482" t="s">
        <v>61</v>
      </c>
      <c r="AD482" t="s">
        <v>19</v>
      </c>
      <c r="AE482" t="s">
        <v>19</v>
      </c>
      <c r="AF482" t="s">
        <v>4481</v>
      </c>
      <c r="AG482" t="s">
        <v>4884</v>
      </c>
      <c r="AH482" t="s">
        <v>22</v>
      </c>
      <c r="AI482" t="s">
        <v>22</v>
      </c>
      <c r="AJ482" t="s">
        <v>22</v>
      </c>
      <c r="AK482" t="s">
        <v>22</v>
      </c>
    </row>
    <row r="483" spans="1:37" ht="11.25" customHeight="1">
      <c r="A483" t="s">
        <v>22</v>
      </c>
      <c r="B483" t="s">
        <v>48</v>
      </c>
      <c r="C483" t="s">
        <v>50</v>
      </c>
      <c r="D483" t="s">
        <v>22</v>
      </c>
      <c r="E483" t="s">
        <v>5613</v>
      </c>
      <c r="F483" t="s">
        <v>1104</v>
      </c>
      <c r="G483" t="s">
        <v>106</v>
      </c>
      <c r="H483" t="s">
        <v>106</v>
      </c>
      <c r="I483" t="s">
        <v>107</v>
      </c>
      <c r="J483" t="s">
        <v>5019</v>
      </c>
      <c r="K483" t="s">
        <v>5020</v>
      </c>
      <c r="L483" t="s">
        <v>5021</v>
      </c>
      <c r="M483" t="s">
        <v>1015</v>
      </c>
      <c r="N483" t="s">
        <v>114</v>
      </c>
      <c r="O483" t="s">
        <v>106</v>
      </c>
      <c r="P483" t="s">
        <v>106</v>
      </c>
      <c r="Q483" t="s">
        <v>107</v>
      </c>
      <c r="R483" t="s">
        <v>5019</v>
      </c>
      <c r="S483" t="s">
        <v>5020</v>
      </c>
      <c r="T483" t="s">
        <v>4467</v>
      </c>
      <c r="U483" t="s">
        <v>4468</v>
      </c>
      <c r="V483" t="s">
        <v>4469</v>
      </c>
      <c r="W483" t="s">
        <v>4487</v>
      </c>
      <c r="X483" t="s">
        <v>4471</v>
      </c>
      <c r="Y483" t="s">
        <v>4468</v>
      </c>
      <c r="Z483" t="s">
        <v>1015</v>
      </c>
      <c r="AA483" t="s">
        <v>4472</v>
      </c>
      <c r="AB483" t="s">
        <v>4469</v>
      </c>
      <c r="AC483" t="s">
        <v>61</v>
      </c>
      <c r="AD483" t="s">
        <v>19</v>
      </c>
      <c r="AE483" t="s">
        <v>19</v>
      </c>
      <c r="AF483" t="s">
        <v>162</v>
      </c>
      <c r="AG483" t="s">
        <v>387</v>
      </c>
      <c r="AH483" t="s">
        <v>22</v>
      </c>
      <c r="AI483" t="s">
        <v>22</v>
      </c>
      <c r="AJ483" t="s">
        <v>22</v>
      </c>
      <c r="AK483" t="s">
        <v>22</v>
      </c>
    </row>
    <row r="484" spans="1:37" ht="11.25" customHeight="1">
      <c r="A484" t="s">
        <v>22</v>
      </c>
      <c r="B484" t="s">
        <v>48</v>
      </c>
      <c r="C484" t="s">
        <v>50</v>
      </c>
      <c r="D484" t="s">
        <v>22</v>
      </c>
      <c r="E484" t="s">
        <v>5614</v>
      </c>
      <c r="F484" t="s">
        <v>1104</v>
      </c>
      <c r="G484" t="s">
        <v>106</v>
      </c>
      <c r="H484" t="s">
        <v>106</v>
      </c>
      <c r="I484" t="s">
        <v>107</v>
      </c>
      <c r="J484" t="s">
        <v>5174</v>
      </c>
      <c r="K484" t="s">
        <v>5175</v>
      </c>
      <c r="L484" t="s">
        <v>5615</v>
      </c>
      <c r="M484" t="s">
        <v>5616</v>
      </c>
      <c r="N484" t="s">
        <v>114</v>
      </c>
      <c r="O484" t="s">
        <v>106</v>
      </c>
      <c r="P484" t="s">
        <v>106</v>
      </c>
      <c r="Q484" t="s">
        <v>107</v>
      </c>
      <c r="R484" t="s">
        <v>5174</v>
      </c>
      <c r="S484" t="s">
        <v>5175</v>
      </c>
      <c r="T484" t="s">
        <v>4467</v>
      </c>
      <c r="U484" t="s">
        <v>4468</v>
      </c>
      <c r="V484" t="s">
        <v>4469</v>
      </c>
      <c r="W484" t="s">
        <v>4470</v>
      </c>
      <c r="X484" t="s">
        <v>4471</v>
      </c>
      <c r="Y484" t="s">
        <v>4468</v>
      </c>
      <c r="Z484" t="s">
        <v>1015</v>
      </c>
      <c r="AA484" t="s">
        <v>4472</v>
      </c>
      <c r="AB484" t="s">
        <v>4469</v>
      </c>
      <c r="AC484" t="s">
        <v>61</v>
      </c>
      <c r="AD484" t="s">
        <v>19</v>
      </c>
      <c r="AE484" t="s">
        <v>19</v>
      </c>
      <c r="AF484" t="s">
        <v>162</v>
      </c>
      <c r="AG484" t="s">
        <v>5246</v>
      </c>
      <c r="AH484" t="s">
        <v>22</v>
      </c>
      <c r="AI484" t="s">
        <v>22</v>
      </c>
      <c r="AJ484" t="s">
        <v>22</v>
      </c>
      <c r="AK484" t="s">
        <v>22</v>
      </c>
    </row>
    <row r="485" spans="1:37" ht="11.25" customHeight="1">
      <c r="A485" t="s">
        <v>22</v>
      </c>
      <c r="B485" t="s">
        <v>48</v>
      </c>
      <c r="C485" t="s">
        <v>50</v>
      </c>
      <c r="D485" t="s">
        <v>22</v>
      </c>
      <c r="E485" t="s">
        <v>5617</v>
      </c>
      <c r="F485" t="s">
        <v>1104</v>
      </c>
      <c r="G485" t="s">
        <v>106</v>
      </c>
      <c r="H485" t="s">
        <v>106</v>
      </c>
      <c r="I485" t="s">
        <v>107</v>
      </c>
      <c r="J485" t="s">
        <v>5101</v>
      </c>
      <c r="K485" t="s">
        <v>5102</v>
      </c>
      <c r="L485" t="s">
        <v>5354</v>
      </c>
      <c r="M485" t="s">
        <v>786</v>
      </c>
      <c r="N485" t="s">
        <v>114</v>
      </c>
      <c r="O485" t="s">
        <v>106</v>
      </c>
      <c r="P485" t="s">
        <v>106</v>
      </c>
      <c r="Q485" t="s">
        <v>107</v>
      </c>
      <c r="R485" t="s">
        <v>5101</v>
      </c>
      <c r="S485" t="s">
        <v>5102</v>
      </c>
      <c r="T485" t="s">
        <v>4467</v>
      </c>
      <c r="U485" t="s">
        <v>4468</v>
      </c>
      <c r="V485" t="s">
        <v>4469</v>
      </c>
      <c r="W485" t="s">
        <v>4470</v>
      </c>
      <c r="X485" t="s">
        <v>4471</v>
      </c>
      <c r="Y485" t="s">
        <v>4468</v>
      </c>
      <c r="Z485" t="s">
        <v>1015</v>
      </c>
      <c r="AA485" t="s">
        <v>4472</v>
      </c>
      <c r="AB485" t="s">
        <v>4469</v>
      </c>
      <c r="AC485" t="s">
        <v>61</v>
      </c>
      <c r="AD485" t="s">
        <v>19</v>
      </c>
      <c r="AE485" t="s">
        <v>19</v>
      </c>
      <c r="AF485" t="s">
        <v>90</v>
      </c>
      <c r="AG485" t="s">
        <v>1200</v>
      </c>
      <c r="AH485" t="s">
        <v>22</v>
      </c>
      <c r="AI485" t="s">
        <v>22</v>
      </c>
      <c r="AJ485" t="s">
        <v>22</v>
      </c>
      <c r="AK485" t="s">
        <v>22</v>
      </c>
    </row>
    <row r="486" spans="1:37" ht="11.25" customHeight="1">
      <c r="A486" t="s">
        <v>22</v>
      </c>
      <c r="B486" t="s">
        <v>48</v>
      </c>
      <c r="C486" t="s">
        <v>50</v>
      </c>
      <c r="D486" t="s">
        <v>22</v>
      </c>
      <c r="E486" t="s">
        <v>5618</v>
      </c>
      <c r="F486" t="s">
        <v>1104</v>
      </c>
      <c r="G486" t="s">
        <v>106</v>
      </c>
      <c r="H486" t="s">
        <v>106</v>
      </c>
      <c r="I486" t="s">
        <v>107</v>
      </c>
      <c r="J486" t="s">
        <v>5381</v>
      </c>
      <c r="K486" t="s">
        <v>5382</v>
      </c>
      <c r="L486" t="s">
        <v>5383</v>
      </c>
      <c r="M486" t="s">
        <v>786</v>
      </c>
      <c r="N486" t="s">
        <v>114</v>
      </c>
      <c r="O486" t="s">
        <v>106</v>
      </c>
      <c r="P486" t="s">
        <v>106</v>
      </c>
      <c r="Q486" t="s">
        <v>107</v>
      </c>
      <c r="R486" t="s">
        <v>5381</v>
      </c>
      <c r="S486" t="s">
        <v>5382</v>
      </c>
      <c r="T486" t="s">
        <v>4467</v>
      </c>
      <c r="U486" t="s">
        <v>4468</v>
      </c>
      <c r="V486" t="s">
        <v>4469</v>
      </c>
      <c r="W486" t="s">
        <v>4470</v>
      </c>
      <c r="X486" t="s">
        <v>4471</v>
      </c>
      <c r="Y486" t="s">
        <v>4468</v>
      </c>
      <c r="Z486" t="s">
        <v>1015</v>
      </c>
      <c r="AA486" t="s">
        <v>4472</v>
      </c>
      <c r="AB486" t="s">
        <v>4469</v>
      </c>
      <c r="AC486" t="s">
        <v>61</v>
      </c>
      <c r="AD486" t="s">
        <v>19</v>
      </c>
      <c r="AE486" t="s">
        <v>19</v>
      </c>
      <c r="AF486" t="s">
        <v>162</v>
      </c>
      <c r="AG486" t="s">
        <v>162</v>
      </c>
      <c r="AH486" t="s">
        <v>22</v>
      </c>
      <c r="AI486" t="s">
        <v>22</v>
      </c>
      <c r="AJ486" t="s">
        <v>22</v>
      </c>
      <c r="AK486" t="s">
        <v>22</v>
      </c>
    </row>
    <row r="487" spans="1:37" ht="11.25" customHeight="1">
      <c r="A487" t="s">
        <v>22</v>
      </c>
      <c r="B487" t="s">
        <v>48</v>
      </c>
      <c r="C487" t="s">
        <v>50</v>
      </c>
      <c r="D487" t="s">
        <v>22</v>
      </c>
      <c r="E487" t="s">
        <v>5619</v>
      </c>
      <c r="F487" t="s">
        <v>1104</v>
      </c>
      <c r="G487" t="s">
        <v>106</v>
      </c>
      <c r="H487" t="s">
        <v>106</v>
      </c>
      <c r="I487" t="s">
        <v>107</v>
      </c>
      <c r="J487" t="s">
        <v>4890</v>
      </c>
      <c r="K487" t="s">
        <v>4891</v>
      </c>
      <c r="L487" t="s">
        <v>5620</v>
      </c>
      <c r="M487" t="s">
        <v>1015</v>
      </c>
      <c r="N487" t="s">
        <v>114</v>
      </c>
      <c r="O487" t="s">
        <v>106</v>
      </c>
      <c r="P487" t="s">
        <v>106</v>
      </c>
      <c r="Q487" t="s">
        <v>107</v>
      </c>
      <c r="R487" t="s">
        <v>4890</v>
      </c>
      <c r="S487" t="s">
        <v>4891</v>
      </c>
      <c r="T487" t="s">
        <v>4732</v>
      </c>
      <c r="U487" t="s">
        <v>4660</v>
      </c>
      <c r="V487" t="s">
        <v>5621</v>
      </c>
      <c r="W487" t="s">
        <v>4470</v>
      </c>
      <c r="X487" t="s">
        <v>4734</v>
      </c>
      <c r="Y487" t="s">
        <v>4735</v>
      </c>
      <c r="Z487" t="s">
        <v>1015</v>
      </c>
      <c r="AA487" t="s">
        <v>5249</v>
      </c>
      <c r="AB487" t="s">
        <v>5621</v>
      </c>
      <c r="AC487" t="s">
        <v>61</v>
      </c>
      <c r="AD487" t="s">
        <v>19</v>
      </c>
      <c r="AE487" t="s">
        <v>19</v>
      </c>
      <c r="AF487" t="s">
        <v>164</v>
      </c>
      <c r="AG487" t="s">
        <v>92</v>
      </c>
      <c r="AH487" t="s">
        <v>22</v>
      </c>
      <c r="AI487" t="s">
        <v>22</v>
      </c>
      <c r="AJ487" t="s">
        <v>22</v>
      </c>
      <c r="AK487" t="s">
        <v>22</v>
      </c>
    </row>
    <row r="488" spans="1:37" ht="11.25" customHeight="1">
      <c r="A488" t="s">
        <v>22</v>
      </c>
      <c r="B488" t="s">
        <v>48</v>
      </c>
      <c r="C488" t="s">
        <v>50</v>
      </c>
      <c r="D488" t="s">
        <v>22</v>
      </c>
      <c r="E488" t="s">
        <v>5622</v>
      </c>
      <c r="F488" t="s">
        <v>1104</v>
      </c>
      <c r="G488" t="s">
        <v>106</v>
      </c>
      <c r="H488" t="s">
        <v>106</v>
      </c>
      <c r="I488" t="s">
        <v>107</v>
      </c>
      <c r="J488" t="s">
        <v>4502</v>
      </c>
      <c r="K488" t="s">
        <v>4503</v>
      </c>
      <c r="L488" t="s">
        <v>4504</v>
      </c>
      <c r="M488" t="s">
        <v>786</v>
      </c>
      <c r="N488" t="s">
        <v>114</v>
      </c>
      <c r="O488" t="s">
        <v>106</v>
      </c>
      <c r="P488" t="s">
        <v>106</v>
      </c>
      <c r="Q488" t="s">
        <v>107</v>
      </c>
      <c r="R488" t="s">
        <v>4502</v>
      </c>
      <c r="S488" t="s">
        <v>4503</v>
      </c>
      <c r="T488" t="s">
        <v>4467</v>
      </c>
      <c r="U488" t="s">
        <v>4468</v>
      </c>
      <c r="V488" t="s">
        <v>4469</v>
      </c>
      <c r="W488" t="s">
        <v>4470</v>
      </c>
      <c r="X488" t="s">
        <v>4471</v>
      </c>
      <c r="Y488" t="s">
        <v>4468</v>
      </c>
      <c r="Z488" t="s">
        <v>1015</v>
      </c>
      <c r="AA488" t="s">
        <v>4472</v>
      </c>
      <c r="AB488" t="s">
        <v>4469</v>
      </c>
      <c r="AC488" t="s">
        <v>61</v>
      </c>
      <c r="AD488" t="s">
        <v>19</v>
      </c>
      <c r="AE488" t="s">
        <v>19</v>
      </c>
      <c r="AF488" t="s">
        <v>4481</v>
      </c>
      <c r="AG488" t="s">
        <v>4482</v>
      </c>
      <c r="AH488" t="s">
        <v>22</v>
      </c>
      <c r="AI488" t="s">
        <v>22</v>
      </c>
      <c r="AJ488" t="s">
        <v>22</v>
      </c>
      <c r="AK488" t="s">
        <v>22</v>
      </c>
    </row>
    <row r="489" spans="1:37" ht="11.25" customHeight="1">
      <c r="A489" t="s">
        <v>22</v>
      </c>
      <c r="B489" t="s">
        <v>48</v>
      </c>
      <c r="C489" t="s">
        <v>50</v>
      </c>
      <c r="D489" t="s">
        <v>22</v>
      </c>
      <c r="E489" t="s">
        <v>5623</v>
      </c>
      <c r="F489" t="s">
        <v>1104</v>
      </c>
      <c r="G489" t="s">
        <v>106</v>
      </c>
      <c r="H489" t="s">
        <v>106</v>
      </c>
      <c r="I489" t="s">
        <v>107</v>
      </c>
      <c r="J489" t="s">
        <v>5120</v>
      </c>
      <c r="K489" t="s">
        <v>5121</v>
      </c>
      <c r="L489" t="s">
        <v>5122</v>
      </c>
      <c r="M489" t="s">
        <v>786</v>
      </c>
      <c r="N489" t="s">
        <v>114</v>
      </c>
      <c r="O489" t="s">
        <v>106</v>
      </c>
      <c r="P489" t="s">
        <v>106</v>
      </c>
      <c r="Q489" t="s">
        <v>107</v>
      </c>
      <c r="R489" t="s">
        <v>5120</v>
      </c>
      <c r="S489" t="s">
        <v>5121</v>
      </c>
      <c r="T489" t="s">
        <v>4467</v>
      </c>
      <c r="U489" t="s">
        <v>4468</v>
      </c>
      <c r="V489" t="s">
        <v>4469</v>
      </c>
      <c r="W489" t="s">
        <v>4470</v>
      </c>
      <c r="X489" t="s">
        <v>4471</v>
      </c>
      <c r="Y489" t="s">
        <v>4468</v>
      </c>
      <c r="Z489" t="s">
        <v>1015</v>
      </c>
      <c r="AA489" t="s">
        <v>4472</v>
      </c>
      <c r="AB489" t="s">
        <v>4469</v>
      </c>
      <c r="AC489" t="s">
        <v>61</v>
      </c>
      <c r="AD489" t="s">
        <v>19</v>
      </c>
      <c r="AE489" t="s">
        <v>19</v>
      </c>
      <c r="AF489" t="s">
        <v>4481</v>
      </c>
      <c r="AG489" t="s">
        <v>5026</v>
      </c>
      <c r="AH489" t="s">
        <v>22</v>
      </c>
      <c r="AI489" t="s">
        <v>22</v>
      </c>
      <c r="AJ489" t="s">
        <v>22</v>
      </c>
      <c r="AK489" t="s">
        <v>22</v>
      </c>
    </row>
    <row r="490" spans="1:37" ht="11.25" customHeight="1">
      <c r="A490" t="s">
        <v>22</v>
      </c>
      <c r="B490" t="s">
        <v>48</v>
      </c>
      <c r="C490" t="s">
        <v>50</v>
      </c>
      <c r="D490" t="s">
        <v>22</v>
      </c>
      <c r="E490" t="s">
        <v>1074</v>
      </c>
      <c r="F490" t="s">
        <v>1104</v>
      </c>
      <c r="G490" t="s">
        <v>99</v>
      </c>
      <c r="H490" t="s">
        <v>99</v>
      </c>
      <c r="I490" t="s">
        <v>100</v>
      </c>
      <c r="J490" t="s">
        <v>1059</v>
      </c>
      <c r="K490" t="s">
        <v>1060</v>
      </c>
      <c r="L490" t="s">
        <v>1070</v>
      </c>
      <c r="M490" t="s">
        <v>1075</v>
      </c>
      <c r="N490" t="s">
        <v>114</v>
      </c>
      <c r="O490" t="s">
        <v>4520</v>
      </c>
      <c r="P490" t="s">
        <v>4520</v>
      </c>
      <c r="Q490" t="s">
        <v>100</v>
      </c>
      <c r="R490" t="s">
        <v>1059</v>
      </c>
      <c r="S490" t="s">
        <v>1060</v>
      </c>
      <c r="T490" t="s">
        <v>4467</v>
      </c>
      <c r="U490" t="s">
        <v>4468</v>
      </c>
      <c r="V490" t="s">
        <v>4521</v>
      </c>
      <c r="W490" t="s">
        <v>4470</v>
      </c>
      <c r="X490" t="s">
        <v>4471</v>
      </c>
      <c r="Y490" t="s">
        <v>4468</v>
      </c>
      <c r="Z490" t="s">
        <v>1015</v>
      </c>
      <c r="AA490" t="s">
        <v>4522</v>
      </c>
      <c r="AB490" t="s">
        <v>4521</v>
      </c>
      <c r="AC490" t="s">
        <v>61</v>
      </c>
      <c r="AD490" t="s">
        <v>19</v>
      </c>
      <c r="AE490" t="s">
        <v>19</v>
      </c>
      <c r="AF490" t="s">
        <v>5624</v>
      </c>
      <c r="AG490" t="s">
        <v>5625</v>
      </c>
      <c r="AH490" t="s">
        <v>22</v>
      </c>
      <c r="AI490" t="s">
        <v>22</v>
      </c>
      <c r="AJ490" t="s">
        <v>22</v>
      </c>
      <c r="AK490" t="s">
        <v>22</v>
      </c>
    </row>
    <row r="491" spans="1:37" ht="11.25" customHeight="1">
      <c r="A491" t="s">
        <v>22</v>
      </c>
      <c r="B491" t="s">
        <v>48</v>
      </c>
      <c r="C491" t="s">
        <v>50</v>
      </c>
      <c r="D491" t="s">
        <v>22</v>
      </c>
      <c r="E491" t="s">
        <v>1074</v>
      </c>
      <c r="F491" t="s">
        <v>1058</v>
      </c>
      <c r="G491" t="s">
        <v>99</v>
      </c>
      <c r="H491" t="s">
        <v>99</v>
      </c>
      <c r="I491" t="s">
        <v>100</v>
      </c>
      <c r="J491" t="s">
        <v>1059</v>
      </c>
      <c r="K491" t="s">
        <v>1060</v>
      </c>
      <c r="L491" t="s">
        <v>1070</v>
      </c>
      <c r="M491" t="s">
        <v>1075</v>
      </c>
      <c r="N491" t="s">
        <v>114</v>
      </c>
      <c r="O491" t="s">
        <v>4520</v>
      </c>
      <c r="P491" t="s">
        <v>4520</v>
      </c>
      <c r="Q491" t="s">
        <v>100</v>
      </c>
      <c r="R491" t="s">
        <v>1059</v>
      </c>
      <c r="S491" t="s">
        <v>1060</v>
      </c>
      <c r="T491" t="s">
        <v>4467</v>
      </c>
      <c r="U491" t="s">
        <v>4468</v>
      </c>
      <c r="V491" t="s">
        <v>4521</v>
      </c>
      <c r="W491" t="s">
        <v>4470</v>
      </c>
      <c r="X491" t="s">
        <v>4471</v>
      </c>
      <c r="Y491" t="s">
        <v>4468</v>
      </c>
      <c r="Z491" t="s">
        <v>1015</v>
      </c>
      <c r="AA491" t="s">
        <v>4522</v>
      </c>
      <c r="AB491" t="s">
        <v>4521</v>
      </c>
      <c r="AC491" t="s">
        <v>19</v>
      </c>
      <c r="AD491" t="s">
        <v>61</v>
      </c>
      <c r="AE491" t="s">
        <v>19</v>
      </c>
      <c r="AF491" t="s">
        <v>22</v>
      </c>
      <c r="AG491" t="s">
        <v>22</v>
      </c>
      <c r="AH491" t="s">
        <v>5626</v>
      </c>
      <c r="AI491" t="s">
        <v>5627</v>
      </c>
      <c r="AJ491" t="s">
        <v>22</v>
      </c>
      <c r="AK491" t="s">
        <v>22</v>
      </c>
    </row>
    <row r="492" spans="1:37" ht="11.25" customHeight="1">
      <c r="A492" t="s">
        <v>22</v>
      </c>
      <c r="B492" t="s">
        <v>48</v>
      </c>
      <c r="C492" t="s">
        <v>50</v>
      </c>
      <c r="D492" t="s">
        <v>22</v>
      </c>
      <c r="E492" t="s">
        <v>5628</v>
      </c>
      <c r="F492" t="s">
        <v>4972</v>
      </c>
      <c r="G492" t="s">
        <v>106</v>
      </c>
      <c r="H492" t="s">
        <v>106</v>
      </c>
      <c r="I492" t="s">
        <v>107</v>
      </c>
      <c r="J492" t="s">
        <v>5629</v>
      </c>
      <c r="K492" t="s">
        <v>5630</v>
      </c>
      <c r="L492" t="s">
        <v>5631</v>
      </c>
      <c r="M492" t="s">
        <v>786</v>
      </c>
      <c r="N492" t="s">
        <v>114</v>
      </c>
      <c r="O492" t="s">
        <v>106</v>
      </c>
      <c r="P492" t="s">
        <v>106</v>
      </c>
      <c r="Q492" t="s">
        <v>107</v>
      </c>
      <c r="R492" t="s">
        <v>5629</v>
      </c>
      <c r="S492" t="s">
        <v>5630</v>
      </c>
      <c r="T492" t="s">
        <v>4467</v>
      </c>
      <c r="U492" t="s">
        <v>4468</v>
      </c>
      <c r="V492" t="s">
        <v>4469</v>
      </c>
      <c r="W492" t="s">
        <v>4470</v>
      </c>
      <c r="X492" t="s">
        <v>4471</v>
      </c>
      <c r="Y492" t="s">
        <v>4468</v>
      </c>
      <c r="Z492" t="s">
        <v>1015</v>
      </c>
      <c r="AA492" t="s">
        <v>4472</v>
      </c>
      <c r="AB492" t="s">
        <v>4469</v>
      </c>
      <c r="AC492" t="s">
        <v>19</v>
      </c>
      <c r="AD492" t="s">
        <v>19</v>
      </c>
      <c r="AE492" t="s">
        <v>61</v>
      </c>
      <c r="AF492" t="s">
        <v>22</v>
      </c>
      <c r="AG492" t="s">
        <v>22</v>
      </c>
      <c r="AH492" t="s">
        <v>22</v>
      </c>
      <c r="AI492" t="s">
        <v>22</v>
      </c>
      <c r="AJ492" t="s">
        <v>1823</v>
      </c>
      <c r="AK492" t="s">
        <v>897</v>
      </c>
    </row>
    <row r="493" spans="1:37" ht="11.25" customHeight="1">
      <c r="A493" t="s">
        <v>22</v>
      </c>
      <c r="B493" t="s">
        <v>48</v>
      </c>
      <c r="C493" t="s">
        <v>50</v>
      </c>
      <c r="D493" t="s">
        <v>22</v>
      </c>
      <c r="E493" t="s">
        <v>5632</v>
      </c>
      <c r="F493" t="s">
        <v>4972</v>
      </c>
      <c r="G493" t="s">
        <v>106</v>
      </c>
      <c r="H493" t="s">
        <v>106</v>
      </c>
      <c r="I493" t="s">
        <v>107</v>
      </c>
      <c r="J493" t="s">
        <v>4877</v>
      </c>
      <c r="K493" t="s">
        <v>4878</v>
      </c>
      <c r="L493" t="s">
        <v>4879</v>
      </c>
      <c r="M493" t="s">
        <v>786</v>
      </c>
      <c r="N493" t="s">
        <v>114</v>
      </c>
      <c r="O493" t="s">
        <v>106</v>
      </c>
      <c r="P493" t="s">
        <v>106</v>
      </c>
      <c r="Q493" t="s">
        <v>107</v>
      </c>
      <c r="R493" t="s">
        <v>4877</v>
      </c>
      <c r="S493" t="s">
        <v>4878</v>
      </c>
      <c r="T493" t="s">
        <v>4467</v>
      </c>
      <c r="U493" t="s">
        <v>4468</v>
      </c>
      <c r="V493" t="s">
        <v>4469</v>
      </c>
      <c r="W493" t="s">
        <v>4470</v>
      </c>
      <c r="X493" t="s">
        <v>4471</v>
      </c>
      <c r="Y493" t="s">
        <v>4468</v>
      </c>
      <c r="Z493" t="s">
        <v>1015</v>
      </c>
      <c r="AA493" t="s">
        <v>4472</v>
      </c>
      <c r="AB493" t="s">
        <v>4469</v>
      </c>
      <c r="AC493" t="s">
        <v>19</v>
      </c>
      <c r="AD493" t="s">
        <v>19</v>
      </c>
      <c r="AE493" t="s">
        <v>61</v>
      </c>
      <c r="AF493" t="s">
        <v>22</v>
      </c>
      <c r="AG493" t="s">
        <v>22</v>
      </c>
      <c r="AH493" t="s">
        <v>22</v>
      </c>
      <c r="AI493" t="s">
        <v>22</v>
      </c>
      <c r="AJ493" t="s">
        <v>162</v>
      </c>
      <c r="AK493" t="s">
        <v>102</v>
      </c>
    </row>
    <row r="494" spans="1:37" ht="11.25" customHeight="1">
      <c r="A494" t="s">
        <v>22</v>
      </c>
      <c r="B494" t="s">
        <v>48</v>
      </c>
      <c r="C494" t="s">
        <v>50</v>
      </c>
      <c r="D494" t="s">
        <v>22</v>
      </c>
      <c r="E494" t="s">
        <v>5633</v>
      </c>
      <c r="F494" t="s">
        <v>4972</v>
      </c>
      <c r="G494" t="s">
        <v>106</v>
      </c>
      <c r="H494" t="s">
        <v>106</v>
      </c>
      <c r="I494" t="s">
        <v>107</v>
      </c>
      <c r="J494" t="s">
        <v>4991</v>
      </c>
      <c r="K494" t="s">
        <v>4992</v>
      </c>
      <c r="L494" t="s">
        <v>4993</v>
      </c>
      <c r="M494" t="s">
        <v>786</v>
      </c>
      <c r="N494" t="s">
        <v>114</v>
      </c>
      <c r="O494" t="s">
        <v>106</v>
      </c>
      <c r="P494" t="s">
        <v>106</v>
      </c>
      <c r="Q494" t="s">
        <v>107</v>
      </c>
      <c r="R494" t="s">
        <v>4991</v>
      </c>
      <c r="S494" t="s">
        <v>4992</v>
      </c>
      <c r="T494" t="s">
        <v>4467</v>
      </c>
      <c r="U494" t="s">
        <v>4468</v>
      </c>
      <c r="V494" t="s">
        <v>4469</v>
      </c>
      <c r="W494" t="s">
        <v>4470</v>
      </c>
      <c r="X494" t="s">
        <v>4471</v>
      </c>
      <c r="Y494" t="s">
        <v>4468</v>
      </c>
      <c r="Z494" t="s">
        <v>1015</v>
      </c>
      <c r="AA494" t="s">
        <v>4472</v>
      </c>
      <c r="AB494" t="s">
        <v>4469</v>
      </c>
      <c r="AC494" t="s">
        <v>19</v>
      </c>
      <c r="AD494" t="s">
        <v>19</v>
      </c>
      <c r="AE494" t="s">
        <v>61</v>
      </c>
      <c r="AF494" t="s">
        <v>22</v>
      </c>
      <c r="AG494" t="s">
        <v>22</v>
      </c>
      <c r="AH494" t="s">
        <v>22</v>
      </c>
      <c r="AI494" t="s">
        <v>22</v>
      </c>
      <c r="AJ494" t="s">
        <v>162</v>
      </c>
      <c r="AK494" t="s">
        <v>102</v>
      </c>
    </row>
    <row r="495" spans="1:37" ht="11.25" customHeight="1">
      <c r="A495" t="s">
        <v>22</v>
      </c>
      <c r="B495" t="s">
        <v>48</v>
      </c>
      <c r="C495" t="s">
        <v>50</v>
      </c>
      <c r="D495" t="s">
        <v>22</v>
      </c>
      <c r="E495" t="s">
        <v>5634</v>
      </c>
      <c r="F495" t="s">
        <v>1104</v>
      </c>
      <c r="G495" t="s">
        <v>106</v>
      </c>
      <c r="H495" t="s">
        <v>106</v>
      </c>
      <c r="I495" t="s">
        <v>107</v>
      </c>
      <c r="J495" t="s">
        <v>4987</v>
      </c>
      <c r="K495" t="s">
        <v>4988</v>
      </c>
      <c r="L495" t="s">
        <v>5635</v>
      </c>
      <c r="M495" t="s">
        <v>1015</v>
      </c>
      <c r="N495" t="s">
        <v>114</v>
      </c>
      <c r="O495" t="s">
        <v>106</v>
      </c>
      <c r="P495" t="s">
        <v>106</v>
      </c>
      <c r="Q495" t="s">
        <v>107</v>
      </c>
      <c r="R495" t="s">
        <v>4987</v>
      </c>
      <c r="S495" t="s">
        <v>4988</v>
      </c>
      <c r="T495" t="s">
        <v>4467</v>
      </c>
      <c r="U495" t="s">
        <v>4468</v>
      </c>
      <c r="V495" t="s">
        <v>4469</v>
      </c>
      <c r="W495" t="s">
        <v>4487</v>
      </c>
      <c r="X495" t="s">
        <v>4471</v>
      </c>
      <c r="Y495" t="s">
        <v>4468</v>
      </c>
      <c r="Z495" t="s">
        <v>1015</v>
      </c>
      <c r="AA495" t="s">
        <v>4472</v>
      </c>
      <c r="AB495" t="s">
        <v>4469</v>
      </c>
      <c r="AC495" t="s">
        <v>61</v>
      </c>
      <c r="AD495" t="s">
        <v>19</v>
      </c>
      <c r="AE495" t="s">
        <v>19</v>
      </c>
      <c r="AF495" t="s">
        <v>116</v>
      </c>
      <c r="AG495" t="s">
        <v>387</v>
      </c>
      <c r="AH495" t="s">
        <v>22</v>
      </c>
      <c r="AI495" t="s">
        <v>22</v>
      </c>
      <c r="AJ495" t="s">
        <v>22</v>
      </c>
      <c r="AK495" t="s">
        <v>22</v>
      </c>
    </row>
    <row r="496" spans="1:37" ht="11.25" customHeight="1">
      <c r="A496" t="s">
        <v>22</v>
      </c>
      <c r="B496" t="s">
        <v>48</v>
      </c>
      <c r="C496" t="s">
        <v>50</v>
      </c>
      <c r="D496" t="s">
        <v>22</v>
      </c>
      <c r="E496" t="s">
        <v>5636</v>
      </c>
      <c r="F496" t="s">
        <v>4972</v>
      </c>
      <c r="G496" t="s">
        <v>106</v>
      </c>
      <c r="H496" t="s">
        <v>106</v>
      </c>
      <c r="I496" t="s">
        <v>107</v>
      </c>
      <c r="J496" t="s">
        <v>4975</v>
      </c>
      <c r="K496" t="s">
        <v>4976</v>
      </c>
      <c r="L496" t="s">
        <v>5011</v>
      </c>
      <c r="M496" t="s">
        <v>1015</v>
      </c>
      <c r="N496" t="s">
        <v>114</v>
      </c>
      <c r="O496" t="s">
        <v>106</v>
      </c>
      <c r="P496" t="s">
        <v>106</v>
      </c>
      <c r="Q496" t="s">
        <v>107</v>
      </c>
      <c r="R496" t="s">
        <v>4975</v>
      </c>
      <c r="S496" t="s">
        <v>4976</v>
      </c>
      <c r="T496" t="s">
        <v>4467</v>
      </c>
      <c r="U496" t="s">
        <v>4468</v>
      </c>
      <c r="V496" t="s">
        <v>4469</v>
      </c>
      <c r="W496" t="s">
        <v>4487</v>
      </c>
      <c r="X496" t="s">
        <v>4471</v>
      </c>
      <c r="Y496" t="s">
        <v>4468</v>
      </c>
      <c r="Z496" t="s">
        <v>1015</v>
      </c>
      <c r="AA496" t="s">
        <v>4472</v>
      </c>
      <c r="AB496" t="s">
        <v>4469</v>
      </c>
      <c r="AC496" t="s">
        <v>19</v>
      </c>
      <c r="AD496" t="s">
        <v>19</v>
      </c>
      <c r="AE496" t="s">
        <v>61</v>
      </c>
      <c r="AF496" t="s">
        <v>22</v>
      </c>
      <c r="AG496" t="s">
        <v>22</v>
      </c>
      <c r="AH496" t="s">
        <v>22</v>
      </c>
      <c r="AI496" t="s">
        <v>22</v>
      </c>
      <c r="AJ496" t="s">
        <v>1766</v>
      </c>
      <c r="AK496" t="s">
        <v>387</v>
      </c>
    </row>
    <row r="497" spans="1:37" ht="11.25" customHeight="1">
      <c r="A497" t="s">
        <v>22</v>
      </c>
      <c r="B497" t="s">
        <v>48</v>
      </c>
      <c r="C497" t="s">
        <v>50</v>
      </c>
      <c r="D497" t="s">
        <v>22</v>
      </c>
      <c r="E497" t="s">
        <v>5637</v>
      </c>
      <c r="F497" t="s">
        <v>1058</v>
      </c>
      <c r="G497" t="s">
        <v>106</v>
      </c>
      <c r="H497" t="s">
        <v>106</v>
      </c>
      <c r="I497" t="s">
        <v>107</v>
      </c>
      <c r="J497" t="s">
        <v>4983</v>
      </c>
      <c r="K497" t="s">
        <v>4984</v>
      </c>
      <c r="L497" t="s">
        <v>4985</v>
      </c>
      <c r="M497" t="s">
        <v>786</v>
      </c>
      <c r="N497" t="s">
        <v>114</v>
      </c>
      <c r="O497" t="s">
        <v>106</v>
      </c>
      <c r="P497" t="s">
        <v>106</v>
      </c>
      <c r="Q497" t="s">
        <v>107</v>
      </c>
      <c r="R497" t="s">
        <v>4983</v>
      </c>
      <c r="S497" t="s">
        <v>4984</v>
      </c>
      <c r="T497" t="s">
        <v>4467</v>
      </c>
      <c r="U497" t="s">
        <v>4468</v>
      </c>
      <c r="V497" t="s">
        <v>4469</v>
      </c>
      <c r="W497" t="s">
        <v>4470</v>
      </c>
      <c r="X497" t="s">
        <v>4471</v>
      </c>
      <c r="Y497" t="s">
        <v>4468</v>
      </c>
      <c r="Z497" t="s">
        <v>1015</v>
      </c>
      <c r="AA497" t="s">
        <v>4472</v>
      </c>
      <c r="AB497" t="s">
        <v>4469</v>
      </c>
      <c r="AC497" t="s">
        <v>19</v>
      </c>
      <c r="AD497" t="s">
        <v>61</v>
      </c>
      <c r="AE497" t="s">
        <v>19</v>
      </c>
      <c r="AF497" t="s">
        <v>22</v>
      </c>
      <c r="AG497" t="s">
        <v>22</v>
      </c>
      <c r="AH497" t="s">
        <v>1766</v>
      </c>
      <c r="AI497" t="s">
        <v>4495</v>
      </c>
      <c r="AJ497" t="s">
        <v>22</v>
      </c>
      <c r="AK497" t="s">
        <v>22</v>
      </c>
    </row>
    <row r="498" spans="1:37" ht="11.25" customHeight="1">
      <c r="A498" t="s">
        <v>22</v>
      </c>
      <c r="B498" t="s">
        <v>48</v>
      </c>
      <c r="C498" t="s">
        <v>50</v>
      </c>
      <c r="D498" t="s">
        <v>22</v>
      </c>
      <c r="E498" t="s">
        <v>5638</v>
      </c>
      <c r="F498" t="s">
        <v>1104</v>
      </c>
      <c r="G498" t="s">
        <v>99</v>
      </c>
      <c r="H498" t="s">
        <v>99</v>
      </c>
      <c r="I498" t="s">
        <v>100</v>
      </c>
      <c r="J498" t="s">
        <v>1059</v>
      </c>
      <c r="K498" t="s">
        <v>1060</v>
      </c>
      <c r="L498" t="s">
        <v>5639</v>
      </c>
      <c r="M498" t="s">
        <v>1015</v>
      </c>
      <c r="N498" t="s">
        <v>114</v>
      </c>
      <c r="O498" t="s">
        <v>4520</v>
      </c>
      <c r="P498" t="s">
        <v>4520</v>
      </c>
      <c r="Q498" t="s">
        <v>100</v>
      </c>
      <c r="R498" t="s">
        <v>1059</v>
      </c>
      <c r="S498" t="s">
        <v>1060</v>
      </c>
      <c r="T498" t="s">
        <v>4467</v>
      </c>
      <c r="U498" t="s">
        <v>4468</v>
      </c>
      <c r="V498" t="s">
        <v>4521</v>
      </c>
      <c r="W498" t="s">
        <v>4470</v>
      </c>
      <c r="X498" t="s">
        <v>4471</v>
      </c>
      <c r="Y498" t="s">
        <v>4468</v>
      </c>
      <c r="Z498" t="s">
        <v>1015</v>
      </c>
      <c r="AA498" t="s">
        <v>4522</v>
      </c>
      <c r="AB498" t="s">
        <v>4521</v>
      </c>
      <c r="AC498" t="s">
        <v>61</v>
      </c>
      <c r="AD498" t="s">
        <v>19</v>
      </c>
      <c r="AE498" t="s">
        <v>19</v>
      </c>
      <c r="AF498" t="s">
        <v>5305</v>
      </c>
      <c r="AG498" t="s">
        <v>5305</v>
      </c>
      <c r="AH498" t="s">
        <v>22</v>
      </c>
      <c r="AI498" t="s">
        <v>22</v>
      </c>
      <c r="AJ498" t="s">
        <v>22</v>
      </c>
      <c r="AK498" t="s">
        <v>22</v>
      </c>
    </row>
    <row r="499" spans="1:37" ht="11.25" customHeight="1">
      <c r="A499" t="s">
        <v>22</v>
      </c>
      <c r="B499" t="s">
        <v>48</v>
      </c>
      <c r="C499" t="s">
        <v>50</v>
      </c>
      <c r="D499" t="s">
        <v>22</v>
      </c>
      <c r="E499" t="s">
        <v>5640</v>
      </c>
      <c r="F499" t="s">
        <v>1104</v>
      </c>
      <c r="G499" t="s">
        <v>106</v>
      </c>
      <c r="H499" t="s">
        <v>106</v>
      </c>
      <c r="I499" t="s">
        <v>107</v>
      </c>
      <c r="J499" t="s">
        <v>5101</v>
      </c>
      <c r="K499" t="s">
        <v>5102</v>
      </c>
      <c r="L499" t="s">
        <v>5354</v>
      </c>
      <c r="M499" t="s">
        <v>786</v>
      </c>
      <c r="N499" t="s">
        <v>114</v>
      </c>
      <c r="O499" t="s">
        <v>106</v>
      </c>
      <c r="P499" t="s">
        <v>106</v>
      </c>
      <c r="Q499" t="s">
        <v>107</v>
      </c>
      <c r="R499" t="s">
        <v>5101</v>
      </c>
      <c r="S499" t="s">
        <v>5102</v>
      </c>
      <c r="T499" t="s">
        <v>4467</v>
      </c>
      <c r="U499" t="s">
        <v>4468</v>
      </c>
      <c r="V499" t="s">
        <v>4469</v>
      </c>
      <c r="W499" t="s">
        <v>4470</v>
      </c>
      <c r="X499" t="s">
        <v>4471</v>
      </c>
      <c r="Y499" t="s">
        <v>4468</v>
      </c>
      <c r="Z499" t="s">
        <v>1015</v>
      </c>
      <c r="AA499" t="s">
        <v>4472</v>
      </c>
      <c r="AB499" t="s">
        <v>4469</v>
      </c>
      <c r="AC499" t="s">
        <v>61</v>
      </c>
      <c r="AD499" t="s">
        <v>19</v>
      </c>
      <c r="AE499" t="s">
        <v>19</v>
      </c>
      <c r="AF499" t="s">
        <v>90</v>
      </c>
      <c r="AG499" t="s">
        <v>89</v>
      </c>
      <c r="AH499" t="s">
        <v>22</v>
      </c>
      <c r="AI499" t="s">
        <v>22</v>
      </c>
      <c r="AJ499" t="s">
        <v>22</v>
      </c>
      <c r="AK499" t="s">
        <v>22</v>
      </c>
    </row>
    <row r="500" spans="1:37" ht="11.25" customHeight="1">
      <c r="A500" t="s">
        <v>22</v>
      </c>
      <c r="B500" t="s">
        <v>48</v>
      </c>
      <c r="C500" t="s">
        <v>50</v>
      </c>
      <c r="D500" t="s">
        <v>22</v>
      </c>
      <c r="E500" t="s">
        <v>5641</v>
      </c>
      <c r="F500" t="s">
        <v>1104</v>
      </c>
      <c r="G500" t="s">
        <v>99</v>
      </c>
      <c r="H500" t="s">
        <v>99</v>
      </c>
      <c r="I500" t="s">
        <v>100</v>
      </c>
      <c r="J500" t="s">
        <v>1059</v>
      </c>
      <c r="K500" t="s">
        <v>1060</v>
      </c>
      <c r="L500" t="s">
        <v>5642</v>
      </c>
      <c r="M500" t="s">
        <v>4635</v>
      </c>
      <c r="N500" t="s">
        <v>114</v>
      </c>
      <c r="O500" t="s">
        <v>4520</v>
      </c>
      <c r="P500" t="s">
        <v>4520</v>
      </c>
      <c r="Q500" t="s">
        <v>100</v>
      </c>
      <c r="R500" t="s">
        <v>1059</v>
      </c>
      <c r="S500" t="s">
        <v>1060</v>
      </c>
      <c r="T500" t="s">
        <v>4467</v>
      </c>
      <c r="U500" t="s">
        <v>4660</v>
      </c>
      <c r="V500" t="s">
        <v>4661</v>
      </c>
      <c r="W500" t="s">
        <v>4470</v>
      </c>
      <c r="X500" t="s">
        <v>4529</v>
      </c>
      <c r="Y500" t="s">
        <v>4662</v>
      </c>
      <c r="Z500" t="s">
        <v>4663</v>
      </c>
      <c r="AA500" t="s">
        <v>4664</v>
      </c>
      <c r="AB500" t="s">
        <v>4661</v>
      </c>
      <c r="AC500" t="s">
        <v>61</v>
      </c>
      <c r="AD500" t="s">
        <v>19</v>
      </c>
      <c r="AE500" t="s">
        <v>19</v>
      </c>
      <c r="AF500" t="s">
        <v>4650</v>
      </c>
      <c r="AG500" t="s">
        <v>387</v>
      </c>
      <c r="AH500" t="s">
        <v>22</v>
      </c>
      <c r="AI500" t="s">
        <v>22</v>
      </c>
      <c r="AJ500" t="s">
        <v>22</v>
      </c>
      <c r="AK500" t="s">
        <v>22</v>
      </c>
    </row>
    <row r="501" spans="1:37" ht="11.25" customHeight="1">
      <c r="A501" t="s">
        <v>22</v>
      </c>
      <c r="B501" t="s">
        <v>48</v>
      </c>
      <c r="C501" t="s">
        <v>50</v>
      </c>
      <c r="D501" t="s">
        <v>22</v>
      </c>
      <c r="E501" t="s">
        <v>5641</v>
      </c>
      <c r="F501" t="s">
        <v>1104</v>
      </c>
      <c r="G501" t="s">
        <v>99</v>
      </c>
      <c r="H501" t="s">
        <v>99</v>
      </c>
      <c r="I501" t="s">
        <v>100</v>
      </c>
      <c r="J501" t="s">
        <v>1059</v>
      </c>
      <c r="K501" t="s">
        <v>1060</v>
      </c>
      <c r="L501" t="s">
        <v>1105</v>
      </c>
      <c r="M501" t="s">
        <v>1106</v>
      </c>
      <c r="N501" t="s">
        <v>114</v>
      </c>
      <c r="O501" t="s">
        <v>4520</v>
      </c>
      <c r="P501" t="s">
        <v>4520</v>
      </c>
      <c r="Q501" t="s">
        <v>100</v>
      </c>
      <c r="R501" t="s">
        <v>1059</v>
      </c>
      <c r="S501" t="s">
        <v>1060</v>
      </c>
      <c r="T501" t="s">
        <v>4467</v>
      </c>
      <c r="U501" t="s">
        <v>4468</v>
      </c>
      <c r="V501" t="s">
        <v>4521</v>
      </c>
      <c r="W501" t="s">
        <v>4470</v>
      </c>
      <c r="X501" t="s">
        <v>4471</v>
      </c>
      <c r="Y501" t="s">
        <v>4468</v>
      </c>
      <c r="Z501" t="s">
        <v>1015</v>
      </c>
      <c r="AA501" t="s">
        <v>4522</v>
      </c>
      <c r="AB501" t="s">
        <v>4521</v>
      </c>
      <c r="AC501" t="s">
        <v>61</v>
      </c>
      <c r="AD501" t="s">
        <v>19</v>
      </c>
      <c r="AE501" t="s">
        <v>19</v>
      </c>
      <c r="AF501" t="s">
        <v>5643</v>
      </c>
      <c r="AG501" t="s">
        <v>5643</v>
      </c>
      <c r="AH501" t="s">
        <v>22</v>
      </c>
      <c r="AI501" t="s">
        <v>22</v>
      </c>
      <c r="AJ501" t="s">
        <v>22</v>
      </c>
      <c r="AK501" t="s">
        <v>22</v>
      </c>
    </row>
    <row r="502" spans="1:37" ht="11.25" customHeight="1">
      <c r="A502" t="s">
        <v>22</v>
      </c>
      <c r="B502" t="s">
        <v>48</v>
      </c>
      <c r="C502" t="s">
        <v>50</v>
      </c>
      <c r="D502" t="s">
        <v>22</v>
      </c>
      <c r="E502" t="s">
        <v>5644</v>
      </c>
      <c r="F502" t="s">
        <v>4972</v>
      </c>
      <c r="G502" t="s">
        <v>106</v>
      </c>
      <c r="H502" t="s">
        <v>106</v>
      </c>
      <c r="I502" t="s">
        <v>107</v>
      </c>
      <c r="J502" t="s">
        <v>4867</v>
      </c>
      <c r="K502" t="s">
        <v>4868</v>
      </c>
      <c r="L502" t="s">
        <v>5645</v>
      </c>
      <c r="M502" t="s">
        <v>1015</v>
      </c>
      <c r="N502" t="s">
        <v>114</v>
      </c>
      <c r="O502" t="s">
        <v>106</v>
      </c>
      <c r="P502" t="s">
        <v>106</v>
      </c>
      <c r="Q502" t="s">
        <v>107</v>
      </c>
      <c r="R502" t="s">
        <v>4867</v>
      </c>
      <c r="S502" t="s">
        <v>4868</v>
      </c>
      <c r="T502" t="s">
        <v>4467</v>
      </c>
      <c r="U502" t="s">
        <v>4468</v>
      </c>
      <c r="V502" t="s">
        <v>4469</v>
      </c>
      <c r="W502" t="s">
        <v>4487</v>
      </c>
      <c r="X502" t="s">
        <v>4471</v>
      </c>
      <c r="Y502" t="s">
        <v>4468</v>
      </c>
      <c r="Z502" t="s">
        <v>1015</v>
      </c>
      <c r="AA502" t="s">
        <v>4472</v>
      </c>
      <c r="AB502" t="s">
        <v>4469</v>
      </c>
      <c r="AC502" t="s">
        <v>19</v>
      </c>
      <c r="AD502" t="s">
        <v>19</v>
      </c>
      <c r="AE502" t="s">
        <v>61</v>
      </c>
      <c r="AF502" t="s">
        <v>22</v>
      </c>
      <c r="AG502" t="s">
        <v>22</v>
      </c>
      <c r="AH502" t="s">
        <v>22</v>
      </c>
      <c r="AI502" t="s">
        <v>22</v>
      </c>
      <c r="AJ502" t="s">
        <v>115</v>
      </c>
      <c r="AK502" t="s">
        <v>387</v>
      </c>
    </row>
    <row r="503" spans="1:37" ht="11.25" customHeight="1">
      <c r="A503" t="s">
        <v>22</v>
      </c>
      <c r="B503" t="s">
        <v>48</v>
      </c>
      <c r="C503" t="s">
        <v>50</v>
      </c>
      <c r="D503" t="s">
        <v>22</v>
      </c>
      <c r="E503" t="s">
        <v>5646</v>
      </c>
      <c r="F503" t="s">
        <v>1104</v>
      </c>
      <c r="G503" t="s">
        <v>99</v>
      </c>
      <c r="H503" t="s">
        <v>99</v>
      </c>
      <c r="I503" t="s">
        <v>100</v>
      </c>
      <c r="J503" t="s">
        <v>1059</v>
      </c>
      <c r="K503" t="s">
        <v>1060</v>
      </c>
      <c r="L503" t="s">
        <v>5642</v>
      </c>
      <c r="M503" t="s">
        <v>4635</v>
      </c>
      <c r="N503" t="s">
        <v>114</v>
      </c>
      <c r="O503" t="s">
        <v>4520</v>
      </c>
      <c r="P503" t="s">
        <v>4520</v>
      </c>
      <c r="Q503" t="s">
        <v>100</v>
      </c>
      <c r="R503" t="s">
        <v>1059</v>
      </c>
      <c r="S503" t="s">
        <v>1060</v>
      </c>
      <c r="T503" t="s">
        <v>4467</v>
      </c>
      <c r="U503" t="s">
        <v>4660</v>
      </c>
      <c r="V503" t="s">
        <v>4661</v>
      </c>
      <c r="W503" t="s">
        <v>4470</v>
      </c>
      <c r="X503" t="s">
        <v>4529</v>
      </c>
      <c r="Y503" t="s">
        <v>4662</v>
      </c>
      <c r="Z503" t="s">
        <v>4663</v>
      </c>
      <c r="AA503" t="s">
        <v>4664</v>
      </c>
      <c r="AB503" t="s">
        <v>4661</v>
      </c>
      <c r="AC503" t="s">
        <v>61</v>
      </c>
      <c r="AD503" t="s">
        <v>19</v>
      </c>
      <c r="AE503" t="s">
        <v>19</v>
      </c>
      <c r="AF503" t="s">
        <v>4650</v>
      </c>
      <c r="AG503" t="s">
        <v>387</v>
      </c>
      <c r="AH503" t="s">
        <v>22</v>
      </c>
      <c r="AI503" t="s">
        <v>22</v>
      </c>
      <c r="AJ503" t="s">
        <v>22</v>
      </c>
      <c r="AK503" t="s">
        <v>22</v>
      </c>
    </row>
    <row r="504" spans="1:37" ht="11.25" customHeight="1">
      <c r="A504" t="s">
        <v>22</v>
      </c>
      <c r="B504" t="s">
        <v>48</v>
      </c>
      <c r="C504" t="s">
        <v>50</v>
      </c>
      <c r="D504" t="s">
        <v>22</v>
      </c>
      <c r="E504" t="s">
        <v>1069</v>
      </c>
      <c r="F504" t="s">
        <v>1104</v>
      </c>
      <c r="G504" t="s">
        <v>99</v>
      </c>
      <c r="H504" t="s">
        <v>99</v>
      </c>
      <c r="I504" t="s">
        <v>100</v>
      </c>
      <c r="J504" t="s">
        <v>1059</v>
      </c>
      <c r="K504" t="s">
        <v>1060</v>
      </c>
      <c r="L504" t="s">
        <v>1070</v>
      </c>
      <c r="M504" t="s">
        <v>1071</v>
      </c>
      <c r="N504" t="s">
        <v>114</v>
      </c>
      <c r="O504" t="s">
        <v>4520</v>
      </c>
      <c r="P504" t="s">
        <v>4520</v>
      </c>
      <c r="Q504" t="s">
        <v>100</v>
      </c>
      <c r="R504" t="s">
        <v>1059</v>
      </c>
      <c r="S504" t="s">
        <v>1060</v>
      </c>
      <c r="T504" t="s">
        <v>4467</v>
      </c>
      <c r="U504" t="s">
        <v>4468</v>
      </c>
      <c r="V504" t="s">
        <v>4521</v>
      </c>
      <c r="W504" t="s">
        <v>4470</v>
      </c>
      <c r="X504" t="s">
        <v>4471</v>
      </c>
      <c r="Y504" t="s">
        <v>4468</v>
      </c>
      <c r="Z504" t="s">
        <v>1015</v>
      </c>
      <c r="AA504" t="s">
        <v>4522</v>
      </c>
      <c r="AB504" t="s">
        <v>4521</v>
      </c>
      <c r="AC504" t="s">
        <v>61</v>
      </c>
      <c r="AD504" t="s">
        <v>19</v>
      </c>
      <c r="AE504" t="s">
        <v>19</v>
      </c>
      <c r="AF504" t="s">
        <v>5647</v>
      </c>
      <c r="AG504" t="s">
        <v>5648</v>
      </c>
      <c r="AH504" t="s">
        <v>22</v>
      </c>
      <c r="AI504" t="s">
        <v>22</v>
      </c>
      <c r="AJ504" t="s">
        <v>22</v>
      </c>
      <c r="AK504" t="s">
        <v>22</v>
      </c>
    </row>
    <row r="505" spans="1:37" ht="11.25" customHeight="1">
      <c r="A505" t="s">
        <v>22</v>
      </c>
      <c r="B505" t="s">
        <v>48</v>
      </c>
      <c r="C505" t="s">
        <v>50</v>
      </c>
      <c r="D505" t="s">
        <v>22</v>
      </c>
      <c r="E505" t="s">
        <v>1069</v>
      </c>
      <c r="F505" t="s">
        <v>1058</v>
      </c>
      <c r="G505" t="s">
        <v>99</v>
      </c>
      <c r="H505" t="s">
        <v>99</v>
      </c>
      <c r="I505" t="s">
        <v>100</v>
      </c>
      <c r="J505" t="s">
        <v>1059</v>
      </c>
      <c r="K505" t="s">
        <v>1060</v>
      </c>
      <c r="L505" t="s">
        <v>1070</v>
      </c>
      <c r="M505" t="s">
        <v>1071</v>
      </c>
      <c r="N505" t="s">
        <v>114</v>
      </c>
      <c r="O505" t="s">
        <v>4520</v>
      </c>
      <c r="P505" t="s">
        <v>4520</v>
      </c>
      <c r="Q505" t="s">
        <v>100</v>
      </c>
      <c r="R505" t="s">
        <v>1059</v>
      </c>
      <c r="S505" t="s">
        <v>1060</v>
      </c>
      <c r="T505" t="s">
        <v>4467</v>
      </c>
      <c r="U505" t="s">
        <v>4468</v>
      </c>
      <c r="V505" t="s">
        <v>4521</v>
      </c>
      <c r="W505" t="s">
        <v>4470</v>
      </c>
      <c r="X505" t="s">
        <v>4471</v>
      </c>
      <c r="Y505" t="s">
        <v>4468</v>
      </c>
      <c r="Z505" t="s">
        <v>1015</v>
      </c>
      <c r="AA505" t="s">
        <v>4522</v>
      </c>
      <c r="AB505" t="s">
        <v>4521</v>
      </c>
      <c r="AC505" t="s">
        <v>19</v>
      </c>
      <c r="AD505" t="s">
        <v>61</v>
      </c>
      <c r="AE505" t="s">
        <v>19</v>
      </c>
      <c r="AF505" t="s">
        <v>22</v>
      </c>
      <c r="AG505" t="s">
        <v>22</v>
      </c>
      <c r="AH505" t="s">
        <v>5649</v>
      </c>
      <c r="AI505" t="s">
        <v>5650</v>
      </c>
      <c r="AJ505" t="s">
        <v>22</v>
      </c>
      <c r="AK505" t="s">
        <v>22</v>
      </c>
    </row>
    <row r="506" spans="1:37" ht="11.25" customHeight="1">
      <c r="A506" t="s">
        <v>22</v>
      </c>
      <c r="B506" t="s">
        <v>48</v>
      </c>
      <c r="C506" t="s">
        <v>50</v>
      </c>
      <c r="D506" t="s">
        <v>22</v>
      </c>
      <c r="E506" t="s">
        <v>5651</v>
      </c>
      <c r="F506" t="s">
        <v>4972</v>
      </c>
      <c r="G506" t="s">
        <v>106</v>
      </c>
      <c r="H506" t="s">
        <v>106</v>
      </c>
      <c r="I506" t="s">
        <v>107</v>
      </c>
      <c r="J506" t="s">
        <v>4867</v>
      </c>
      <c r="K506" t="s">
        <v>4868</v>
      </c>
      <c r="L506" t="s">
        <v>4869</v>
      </c>
      <c r="M506" t="s">
        <v>786</v>
      </c>
      <c r="N506" t="s">
        <v>114</v>
      </c>
      <c r="O506" t="s">
        <v>106</v>
      </c>
      <c r="P506" t="s">
        <v>106</v>
      </c>
      <c r="Q506" t="s">
        <v>107</v>
      </c>
      <c r="R506" t="s">
        <v>4867</v>
      </c>
      <c r="S506" t="s">
        <v>4868</v>
      </c>
      <c r="T506" t="s">
        <v>4467</v>
      </c>
      <c r="U506" t="s">
        <v>4468</v>
      </c>
      <c r="V506" t="s">
        <v>4469</v>
      </c>
      <c r="W506" t="s">
        <v>4470</v>
      </c>
      <c r="X506" t="s">
        <v>4471</v>
      </c>
      <c r="Y506" t="s">
        <v>4468</v>
      </c>
      <c r="Z506" t="s">
        <v>1015</v>
      </c>
      <c r="AA506" t="s">
        <v>4472</v>
      </c>
      <c r="AB506" t="s">
        <v>4469</v>
      </c>
      <c r="AC506" t="s">
        <v>19</v>
      </c>
      <c r="AD506" t="s">
        <v>19</v>
      </c>
      <c r="AE506" t="s">
        <v>61</v>
      </c>
      <c r="AF506" t="s">
        <v>22</v>
      </c>
      <c r="AG506" t="s">
        <v>22</v>
      </c>
      <c r="AH506" t="s">
        <v>22</v>
      </c>
      <c r="AI506" t="s">
        <v>22</v>
      </c>
      <c r="AJ506" t="s">
        <v>1166</v>
      </c>
      <c r="AK506" t="s">
        <v>90</v>
      </c>
    </row>
    <row r="507" spans="1:37" ht="11.25" customHeight="1">
      <c r="A507" t="s">
        <v>22</v>
      </c>
      <c r="B507" t="s">
        <v>48</v>
      </c>
      <c r="C507" t="s">
        <v>50</v>
      </c>
      <c r="D507" t="s">
        <v>22</v>
      </c>
      <c r="E507" t="s">
        <v>5652</v>
      </c>
      <c r="F507" t="s">
        <v>1104</v>
      </c>
      <c r="G507" t="s">
        <v>106</v>
      </c>
      <c r="H507" t="s">
        <v>106</v>
      </c>
      <c r="I507" t="s">
        <v>107</v>
      </c>
      <c r="J507" t="s">
        <v>4890</v>
      </c>
      <c r="K507" t="s">
        <v>4891</v>
      </c>
      <c r="L507" t="s">
        <v>5009</v>
      </c>
      <c r="M507" t="s">
        <v>786</v>
      </c>
      <c r="N507" t="s">
        <v>114</v>
      </c>
      <c r="O507" t="s">
        <v>106</v>
      </c>
      <c r="P507" t="s">
        <v>106</v>
      </c>
      <c r="Q507" t="s">
        <v>107</v>
      </c>
      <c r="R507" t="s">
        <v>4890</v>
      </c>
      <c r="S507" t="s">
        <v>4891</v>
      </c>
      <c r="T507" t="s">
        <v>4467</v>
      </c>
      <c r="U507" t="s">
        <v>4468</v>
      </c>
      <c r="V507" t="s">
        <v>4469</v>
      </c>
      <c r="W507" t="s">
        <v>4470</v>
      </c>
      <c r="X507" t="s">
        <v>4471</v>
      </c>
      <c r="Y507" t="s">
        <v>4468</v>
      </c>
      <c r="Z507" t="s">
        <v>1015</v>
      </c>
      <c r="AA507" t="s">
        <v>4472</v>
      </c>
      <c r="AB507" t="s">
        <v>4469</v>
      </c>
      <c r="AC507" t="s">
        <v>61</v>
      </c>
      <c r="AD507" t="s">
        <v>19</v>
      </c>
      <c r="AE507" t="s">
        <v>19</v>
      </c>
      <c r="AF507" t="s">
        <v>1766</v>
      </c>
      <c r="AG507" t="s">
        <v>4902</v>
      </c>
      <c r="AH507" t="s">
        <v>22</v>
      </c>
      <c r="AI507" t="s">
        <v>22</v>
      </c>
      <c r="AJ507" t="s">
        <v>22</v>
      </c>
      <c r="AK507" t="s">
        <v>22</v>
      </c>
    </row>
    <row r="508" spans="1:37" ht="11.25" customHeight="1">
      <c r="A508" t="s">
        <v>22</v>
      </c>
      <c r="B508" t="s">
        <v>48</v>
      </c>
      <c r="C508" t="s">
        <v>50</v>
      </c>
      <c r="D508" t="s">
        <v>22</v>
      </c>
      <c r="E508" t="s">
        <v>5653</v>
      </c>
      <c r="F508" t="s">
        <v>1104</v>
      </c>
      <c r="G508" t="s">
        <v>106</v>
      </c>
      <c r="H508" t="s">
        <v>106</v>
      </c>
      <c r="I508" t="s">
        <v>107</v>
      </c>
      <c r="J508" t="s">
        <v>4979</v>
      </c>
      <c r="K508" t="s">
        <v>4980</v>
      </c>
      <c r="L508" t="s">
        <v>4981</v>
      </c>
      <c r="M508" t="s">
        <v>786</v>
      </c>
      <c r="N508" t="s">
        <v>114</v>
      </c>
      <c r="O508" t="s">
        <v>106</v>
      </c>
      <c r="P508" t="s">
        <v>106</v>
      </c>
      <c r="Q508" t="s">
        <v>107</v>
      </c>
      <c r="R508" t="s">
        <v>4979</v>
      </c>
      <c r="S508" t="s">
        <v>4980</v>
      </c>
      <c r="T508" t="s">
        <v>4467</v>
      </c>
      <c r="U508" t="s">
        <v>4468</v>
      </c>
      <c r="V508" t="s">
        <v>4469</v>
      </c>
      <c r="W508" t="s">
        <v>4470</v>
      </c>
      <c r="X508" t="s">
        <v>4471</v>
      </c>
      <c r="Y508" t="s">
        <v>4468</v>
      </c>
      <c r="Z508" t="s">
        <v>1015</v>
      </c>
      <c r="AA508" t="s">
        <v>4472</v>
      </c>
      <c r="AB508" t="s">
        <v>4469</v>
      </c>
      <c r="AC508" t="s">
        <v>61</v>
      </c>
      <c r="AD508" t="s">
        <v>19</v>
      </c>
      <c r="AE508" t="s">
        <v>19</v>
      </c>
      <c r="AF508" t="s">
        <v>1823</v>
      </c>
      <c r="AG508" t="s">
        <v>5227</v>
      </c>
      <c r="AH508" t="s">
        <v>22</v>
      </c>
      <c r="AI508" t="s">
        <v>22</v>
      </c>
      <c r="AJ508" t="s">
        <v>22</v>
      </c>
      <c r="AK508" t="s">
        <v>22</v>
      </c>
    </row>
    <row r="509" spans="1:37" ht="11.25" customHeight="1">
      <c r="A509" t="s">
        <v>22</v>
      </c>
      <c r="B509" t="s">
        <v>48</v>
      </c>
      <c r="C509" t="s">
        <v>50</v>
      </c>
      <c r="D509" t="s">
        <v>22</v>
      </c>
      <c r="E509" t="s">
        <v>5654</v>
      </c>
      <c r="F509" t="s">
        <v>1104</v>
      </c>
      <c r="G509" t="s">
        <v>106</v>
      </c>
      <c r="H509" t="s">
        <v>106</v>
      </c>
      <c r="I509" t="s">
        <v>107</v>
      </c>
      <c r="J509" t="s">
        <v>4994</v>
      </c>
      <c r="K509" t="s">
        <v>4995</v>
      </c>
      <c r="L509" t="s">
        <v>4996</v>
      </c>
      <c r="M509" t="s">
        <v>786</v>
      </c>
      <c r="N509" t="s">
        <v>114</v>
      </c>
      <c r="O509" t="s">
        <v>106</v>
      </c>
      <c r="P509" t="s">
        <v>106</v>
      </c>
      <c r="Q509" t="s">
        <v>107</v>
      </c>
      <c r="R509" t="s">
        <v>4994</v>
      </c>
      <c r="S509" t="s">
        <v>4995</v>
      </c>
      <c r="T509" t="s">
        <v>4467</v>
      </c>
      <c r="U509" t="s">
        <v>4468</v>
      </c>
      <c r="V509" t="s">
        <v>4469</v>
      </c>
      <c r="W509" t="s">
        <v>4487</v>
      </c>
      <c r="X509" t="s">
        <v>4471</v>
      </c>
      <c r="Y509" t="s">
        <v>4468</v>
      </c>
      <c r="Z509" t="s">
        <v>1015</v>
      </c>
      <c r="AA509" t="s">
        <v>4472</v>
      </c>
      <c r="AB509" t="s">
        <v>4469</v>
      </c>
      <c r="AC509" t="s">
        <v>61</v>
      </c>
      <c r="AD509" t="s">
        <v>19</v>
      </c>
      <c r="AE509" t="s">
        <v>19</v>
      </c>
      <c r="AF509" t="s">
        <v>4481</v>
      </c>
      <c r="AG509" t="s">
        <v>4481</v>
      </c>
      <c r="AH509" t="s">
        <v>22</v>
      </c>
      <c r="AI509" t="s">
        <v>22</v>
      </c>
      <c r="AJ509" t="s">
        <v>22</v>
      </c>
      <c r="AK509" t="s">
        <v>22</v>
      </c>
    </row>
    <row r="510" spans="1:37" ht="11.25" customHeight="1">
      <c r="A510" t="s">
        <v>22</v>
      </c>
      <c r="B510" t="s">
        <v>48</v>
      </c>
      <c r="C510" t="s">
        <v>50</v>
      </c>
      <c r="D510" t="s">
        <v>22</v>
      </c>
      <c r="E510" t="s">
        <v>5655</v>
      </c>
      <c r="F510" t="s">
        <v>1104</v>
      </c>
      <c r="G510" t="s">
        <v>106</v>
      </c>
      <c r="H510" t="s">
        <v>106</v>
      </c>
      <c r="I510" t="s">
        <v>107</v>
      </c>
      <c r="J510" t="s">
        <v>4994</v>
      </c>
      <c r="K510" t="s">
        <v>4995</v>
      </c>
      <c r="L510" t="s">
        <v>4996</v>
      </c>
      <c r="M510" t="s">
        <v>786</v>
      </c>
      <c r="N510" t="s">
        <v>114</v>
      </c>
      <c r="O510" t="s">
        <v>106</v>
      </c>
      <c r="P510" t="s">
        <v>106</v>
      </c>
      <c r="Q510" t="s">
        <v>107</v>
      </c>
      <c r="R510" t="s">
        <v>4994</v>
      </c>
      <c r="S510" t="s">
        <v>4995</v>
      </c>
      <c r="T510" t="s">
        <v>4467</v>
      </c>
      <c r="U510" t="s">
        <v>4468</v>
      </c>
      <c r="V510" t="s">
        <v>4469</v>
      </c>
      <c r="W510" t="s">
        <v>4487</v>
      </c>
      <c r="X510" t="s">
        <v>4471</v>
      </c>
      <c r="Y510" t="s">
        <v>4468</v>
      </c>
      <c r="Z510" t="s">
        <v>1015</v>
      </c>
      <c r="AA510" t="s">
        <v>4472</v>
      </c>
      <c r="AB510" t="s">
        <v>4469</v>
      </c>
      <c r="AC510" t="s">
        <v>61</v>
      </c>
      <c r="AD510" t="s">
        <v>19</v>
      </c>
      <c r="AE510" t="s">
        <v>19</v>
      </c>
      <c r="AF510" t="s">
        <v>4481</v>
      </c>
      <c r="AG510" t="s">
        <v>4997</v>
      </c>
      <c r="AH510" t="s">
        <v>22</v>
      </c>
      <c r="AI510" t="s">
        <v>22</v>
      </c>
      <c r="AJ510" t="s">
        <v>22</v>
      </c>
      <c r="AK510" t="s">
        <v>22</v>
      </c>
    </row>
    <row r="511" spans="1:37" ht="11.25" customHeight="1">
      <c r="A511" t="s">
        <v>22</v>
      </c>
      <c r="B511" t="s">
        <v>48</v>
      </c>
      <c r="C511" t="s">
        <v>50</v>
      </c>
      <c r="D511" t="s">
        <v>22</v>
      </c>
      <c r="E511" t="s">
        <v>5656</v>
      </c>
      <c r="F511" t="s">
        <v>1104</v>
      </c>
      <c r="G511" t="s">
        <v>106</v>
      </c>
      <c r="H511" t="s">
        <v>106</v>
      </c>
      <c r="I511" t="s">
        <v>107</v>
      </c>
      <c r="J511" t="s">
        <v>5311</v>
      </c>
      <c r="K511" t="s">
        <v>5312</v>
      </c>
      <c r="L511" t="s">
        <v>5657</v>
      </c>
      <c r="M511" t="s">
        <v>786</v>
      </c>
      <c r="N511" t="s">
        <v>114</v>
      </c>
      <c r="O511" t="s">
        <v>106</v>
      </c>
      <c r="P511" t="s">
        <v>106</v>
      </c>
      <c r="Q511" t="s">
        <v>107</v>
      </c>
      <c r="R511" t="s">
        <v>5311</v>
      </c>
      <c r="S511" t="s">
        <v>5312</v>
      </c>
      <c r="T511" t="s">
        <v>4467</v>
      </c>
      <c r="U511" t="s">
        <v>4468</v>
      </c>
      <c r="V511" t="s">
        <v>4469</v>
      </c>
      <c r="W511" t="s">
        <v>4470</v>
      </c>
      <c r="X511" t="s">
        <v>4471</v>
      </c>
      <c r="Y511" t="s">
        <v>4468</v>
      </c>
      <c r="Z511" t="s">
        <v>1015</v>
      </c>
      <c r="AA511" t="s">
        <v>4472</v>
      </c>
      <c r="AB511" t="s">
        <v>4469</v>
      </c>
      <c r="AC511" t="s">
        <v>61</v>
      </c>
      <c r="AD511" t="s">
        <v>19</v>
      </c>
      <c r="AE511" t="s">
        <v>19</v>
      </c>
      <c r="AF511" t="s">
        <v>5278</v>
      </c>
      <c r="AG511" t="s">
        <v>5315</v>
      </c>
      <c r="AH511" t="s">
        <v>22</v>
      </c>
      <c r="AI511" t="s">
        <v>22</v>
      </c>
      <c r="AJ511" t="s">
        <v>22</v>
      </c>
      <c r="AK511" t="s">
        <v>22</v>
      </c>
    </row>
    <row r="512" spans="1:37" ht="11.25" customHeight="1">
      <c r="A512" t="s">
        <v>22</v>
      </c>
      <c r="B512" t="s">
        <v>48</v>
      </c>
      <c r="C512" t="s">
        <v>50</v>
      </c>
      <c r="D512" t="s">
        <v>22</v>
      </c>
      <c r="E512" t="s">
        <v>5658</v>
      </c>
      <c r="F512" t="s">
        <v>1104</v>
      </c>
      <c r="G512" t="s">
        <v>106</v>
      </c>
      <c r="H512" t="s">
        <v>106</v>
      </c>
      <c r="I512" t="s">
        <v>107</v>
      </c>
      <c r="J512" t="s">
        <v>5576</v>
      </c>
      <c r="K512" t="s">
        <v>5577</v>
      </c>
      <c r="L512" t="s">
        <v>5578</v>
      </c>
      <c r="M512" t="s">
        <v>786</v>
      </c>
      <c r="N512" t="s">
        <v>114</v>
      </c>
      <c r="O512" t="s">
        <v>106</v>
      </c>
      <c r="P512" t="s">
        <v>106</v>
      </c>
      <c r="Q512" t="s">
        <v>107</v>
      </c>
      <c r="R512" t="s">
        <v>5576</v>
      </c>
      <c r="S512" t="s">
        <v>5577</v>
      </c>
      <c r="T512" t="s">
        <v>4467</v>
      </c>
      <c r="U512" t="s">
        <v>4468</v>
      </c>
      <c r="V512" t="s">
        <v>4469</v>
      </c>
      <c r="W512" t="s">
        <v>4470</v>
      </c>
      <c r="X512" t="s">
        <v>4471</v>
      </c>
      <c r="Y512" t="s">
        <v>4468</v>
      </c>
      <c r="Z512" t="s">
        <v>1015</v>
      </c>
      <c r="AA512" t="s">
        <v>4472</v>
      </c>
      <c r="AB512" t="s">
        <v>4469</v>
      </c>
      <c r="AC512" t="s">
        <v>61</v>
      </c>
      <c r="AD512" t="s">
        <v>19</v>
      </c>
      <c r="AE512" t="s">
        <v>19</v>
      </c>
      <c r="AF512" t="s">
        <v>1823</v>
      </c>
      <c r="AG512" t="s">
        <v>5005</v>
      </c>
      <c r="AH512" t="s">
        <v>22</v>
      </c>
      <c r="AI512" t="s">
        <v>22</v>
      </c>
      <c r="AJ512" t="s">
        <v>22</v>
      </c>
      <c r="AK512" t="s">
        <v>22</v>
      </c>
    </row>
    <row r="513" spans="1:37" ht="11.25" customHeight="1">
      <c r="A513" t="s">
        <v>22</v>
      </c>
      <c r="B513" t="s">
        <v>48</v>
      </c>
      <c r="C513" t="s">
        <v>50</v>
      </c>
      <c r="D513" t="s">
        <v>22</v>
      </c>
      <c r="E513" t="s">
        <v>5659</v>
      </c>
      <c r="F513" t="s">
        <v>1104</v>
      </c>
      <c r="G513" t="s">
        <v>106</v>
      </c>
      <c r="H513" t="s">
        <v>106</v>
      </c>
      <c r="I513" t="s">
        <v>107</v>
      </c>
      <c r="J513" t="s">
        <v>4890</v>
      </c>
      <c r="K513" t="s">
        <v>4891</v>
      </c>
      <c r="L513" t="s">
        <v>5009</v>
      </c>
      <c r="M513" t="s">
        <v>786</v>
      </c>
      <c r="N513" t="s">
        <v>114</v>
      </c>
      <c r="O513" t="s">
        <v>106</v>
      </c>
      <c r="P513" t="s">
        <v>106</v>
      </c>
      <c r="Q513" t="s">
        <v>107</v>
      </c>
      <c r="R513" t="s">
        <v>4890</v>
      </c>
      <c r="S513" t="s">
        <v>4891</v>
      </c>
      <c r="T513" t="s">
        <v>4467</v>
      </c>
      <c r="U513" t="s">
        <v>4468</v>
      </c>
      <c r="V513" t="s">
        <v>4469</v>
      </c>
      <c r="W513" t="s">
        <v>4470</v>
      </c>
      <c r="X513" t="s">
        <v>4471</v>
      </c>
      <c r="Y513" t="s">
        <v>4468</v>
      </c>
      <c r="Z513" t="s">
        <v>1015</v>
      </c>
      <c r="AA513" t="s">
        <v>4472</v>
      </c>
      <c r="AB513" t="s">
        <v>4469</v>
      </c>
      <c r="AC513" t="s">
        <v>61</v>
      </c>
      <c r="AD513" t="s">
        <v>19</v>
      </c>
      <c r="AE513" t="s">
        <v>19</v>
      </c>
      <c r="AF513" t="s">
        <v>1766</v>
      </c>
      <c r="AG513" t="s">
        <v>4893</v>
      </c>
      <c r="AH513" t="s">
        <v>22</v>
      </c>
      <c r="AI513" t="s">
        <v>22</v>
      </c>
      <c r="AJ513" t="s">
        <v>22</v>
      </c>
      <c r="AK513" t="s">
        <v>22</v>
      </c>
    </row>
    <row r="514" spans="1:37" ht="11.25" customHeight="1">
      <c r="A514" t="s">
        <v>22</v>
      </c>
      <c r="B514" t="s">
        <v>48</v>
      </c>
      <c r="C514" t="s">
        <v>50</v>
      </c>
      <c r="D514" t="s">
        <v>22</v>
      </c>
      <c r="E514" t="s">
        <v>5660</v>
      </c>
      <c r="F514" t="s">
        <v>1104</v>
      </c>
      <c r="G514" t="s">
        <v>106</v>
      </c>
      <c r="H514" t="s">
        <v>106</v>
      </c>
      <c r="I514" t="s">
        <v>107</v>
      </c>
      <c r="J514" t="s">
        <v>5576</v>
      </c>
      <c r="K514" t="s">
        <v>5577</v>
      </c>
      <c r="L514" t="s">
        <v>5578</v>
      </c>
      <c r="M514" t="s">
        <v>786</v>
      </c>
      <c r="N514" t="s">
        <v>114</v>
      </c>
      <c r="O514" t="s">
        <v>106</v>
      </c>
      <c r="P514" t="s">
        <v>106</v>
      </c>
      <c r="Q514" t="s">
        <v>107</v>
      </c>
      <c r="R514" t="s">
        <v>5576</v>
      </c>
      <c r="S514" t="s">
        <v>5577</v>
      </c>
      <c r="T514" t="s">
        <v>4467</v>
      </c>
      <c r="U514" t="s">
        <v>4468</v>
      </c>
      <c r="V514" t="s">
        <v>4469</v>
      </c>
      <c r="W514" t="s">
        <v>4470</v>
      </c>
      <c r="X514" t="s">
        <v>4471</v>
      </c>
      <c r="Y514" t="s">
        <v>4468</v>
      </c>
      <c r="Z514" t="s">
        <v>1015</v>
      </c>
      <c r="AA514" t="s">
        <v>4472</v>
      </c>
      <c r="AB514" t="s">
        <v>4469</v>
      </c>
      <c r="AC514" t="s">
        <v>61</v>
      </c>
      <c r="AD514" t="s">
        <v>19</v>
      </c>
      <c r="AE514" t="s">
        <v>19</v>
      </c>
      <c r="AF514" t="s">
        <v>1823</v>
      </c>
      <c r="AG514" t="s">
        <v>5005</v>
      </c>
      <c r="AH514" t="s">
        <v>22</v>
      </c>
      <c r="AI514" t="s">
        <v>22</v>
      </c>
      <c r="AJ514" t="s">
        <v>22</v>
      </c>
      <c r="AK514" t="s">
        <v>22</v>
      </c>
    </row>
    <row r="515" spans="1:37" ht="11.25" customHeight="1">
      <c r="A515" t="s">
        <v>22</v>
      </c>
      <c r="B515" t="s">
        <v>48</v>
      </c>
      <c r="C515" t="s">
        <v>50</v>
      </c>
      <c r="D515" t="s">
        <v>22</v>
      </c>
      <c r="E515" t="s">
        <v>5661</v>
      </c>
      <c r="F515" t="s">
        <v>1104</v>
      </c>
      <c r="G515" t="s">
        <v>106</v>
      </c>
      <c r="H515" t="s">
        <v>106</v>
      </c>
      <c r="I515" t="s">
        <v>107</v>
      </c>
      <c r="J515" t="s">
        <v>5576</v>
      </c>
      <c r="K515" t="s">
        <v>5577</v>
      </c>
      <c r="L515" t="s">
        <v>5578</v>
      </c>
      <c r="M515" t="s">
        <v>786</v>
      </c>
      <c r="N515" t="s">
        <v>114</v>
      </c>
      <c r="O515" t="s">
        <v>106</v>
      </c>
      <c r="P515" t="s">
        <v>106</v>
      </c>
      <c r="Q515" t="s">
        <v>107</v>
      </c>
      <c r="R515" t="s">
        <v>5576</v>
      </c>
      <c r="S515" t="s">
        <v>5577</v>
      </c>
      <c r="T515" t="s">
        <v>4467</v>
      </c>
      <c r="U515" t="s">
        <v>4468</v>
      </c>
      <c r="V515" t="s">
        <v>4469</v>
      </c>
      <c r="W515" t="s">
        <v>4470</v>
      </c>
      <c r="X515" t="s">
        <v>4471</v>
      </c>
      <c r="Y515" t="s">
        <v>4468</v>
      </c>
      <c r="Z515" t="s">
        <v>1015</v>
      </c>
      <c r="AA515" t="s">
        <v>4472</v>
      </c>
      <c r="AB515" t="s">
        <v>4469</v>
      </c>
      <c r="AC515" t="s">
        <v>61</v>
      </c>
      <c r="AD515" t="s">
        <v>19</v>
      </c>
      <c r="AE515" t="s">
        <v>19</v>
      </c>
      <c r="AF515" t="s">
        <v>1823</v>
      </c>
      <c r="AG515" t="s">
        <v>5005</v>
      </c>
      <c r="AH515" t="s">
        <v>22</v>
      </c>
      <c r="AI515" t="s">
        <v>22</v>
      </c>
      <c r="AJ515" t="s">
        <v>22</v>
      </c>
      <c r="AK515" t="s">
        <v>22</v>
      </c>
    </row>
    <row r="516" spans="1:37" ht="11.25" customHeight="1">
      <c r="A516" t="s">
        <v>22</v>
      </c>
      <c r="B516" t="s">
        <v>48</v>
      </c>
      <c r="C516" t="s">
        <v>50</v>
      </c>
      <c r="D516" t="s">
        <v>22</v>
      </c>
      <c r="E516" t="s">
        <v>5662</v>
      </c>
      <c r="F516" t="s">
        <v>1104</v>
      </c>
      <c r="G516" t="s">
        <v>106</v>
      </c>
      <c r="H516" t="s">
        <v>106</v>
      </c>
      <c r="I516" t="s">
        <v>107</v>
      </c>
      <c r="J516" t="s">
        <v>4994</v>
      </c>
      <c r="K516" t="s">
        <v>4995</v>
      </c>
      <c r="L516" t="s">
        <v>4996</v>
      </c>
      <c r="M516" t="s">
        <v>786</v>
      </c>
      <c r="N516" t="s">
        <v>114</v>
      </c>
      <c r="O516" t="s">
        <v>106</v>
      </c>
      <c r="P516" t="s">
        <v>106</v>
      </c>
      <c r="Q516" t="s">
        <v>107</v>
      </c>
      <c r="R516" t="s">
        <v>4994</v>
      </c>
      <c r="S516" t="s">
        <v>4995</v>
      </c>
      <c r="T516" t="s">
        <v>4467</v>
      </c>
      <c r="U516" t="s">
        <v>4468</v>
      </c>
      <c r="V516" t="s">
        <v>4469</v>
      </c>
      <c r="W516" t="s">
        <v>4487</v>
      </c>
      <c r="X516" t="s">
        <v>4471</v>
      </c>
      <c r="Y516" t="s">
        <v>4468</v>
      </c>
      <c r="Z516" t="s">
        <v>1015</v>
      </c>
      <c r="AA516" t="s">
        <v>4472</v>
      </c>
      <c r="AB516" t="s">
        <v>4469</v>
      </c>
      <c r="AC516" t="s">
        <v>61</v>
      </c>
      <c r="AD516" t="s">
        <v>19</v>
      </c>
      <c r="AE516" t="s">
        <v>19</v>
      </c>
      <c r="AF516" t="s">
        <v>4481</v>
      </c>
      <c r="AG516" t="s">
        <v>4997</v>
      </c>
      <c r="AH516" t="s">
        <v>22</v>
      </c>
      <c r="AI516" t="s">
        <v>22</v>
      </c>
      <c r="AJ516" t="s">
        <v>22</v>
      </c>
      <c r="AK516" t="s">
        <v>22</v>
      </c>
    </row>
    <row r="517" spans="1:37" ht="11.25" customHeight="1">
      <c r="A517" t="s">
        <v>22</v>
      </c>
      <c r="B517" t="s">
        <v>48</v>
      </c>
      <c r="C517" t="s">
        <v>50</v>
      </c>
      <c r="D517" t="s">
        <v>22</v>
      </c>
      <c r="E517" t="s">
        <v>5663</v>
      </c>
      <c r="F517" t="s">
        <v>1104</v>
      </c>
      <c r="G517" t="s">
        <v>106</v>
      </c>
      <c r="H517" t="s">
        <v>106</v>
      </c>
      <c r="I517" t="s">
        <v>107</v>
      </c>
      <c r="J517" t="s">
        <v>4492</v>
      </c>
      <c r="K517" t="s">
        <v>4493</v>
      </c>
      <c r="L517" t="s">
        <v>4494</v>
      </c>
      <c r="M517" t="s">
        <v>786</v>
      </c>
      <c r="N517" t="s">
        <v>114</v>
      </c>
      <c r="O517" t="s">
        <v>106</v>
      </c>
      <c r="P517" t="s">
        <v>106</v>
      </c>
      <c r="Q517" t="s">
        <v>107</v>
      </c>
      <c r="R517" t="s">
        <v>4492</v>
      </c>
      <c r="S517" t="s">
        <v>4493</v>
      </c>
      <c r="T517" t="s">
        <v>4467</v>
      </c>
      <c r="U517" t="s">
        <v>4468</v>
      </c>
      <c r="V517" t="s">
        <v>4469</v>
      </c>
      <c r="W517" t="s">
        <v>4470</v>
      </c>
      <c r="X517" t="s">
        <v>4471</v>
      </c>
      <c r="Y517" t="s">
        <v>4468</v>
      </c>
      <c r="Z517" t="s">
        <v>1015</v>
      </c>
      <c r="AA517" t="s">
        <v>4472</v>
      </c>
      <c r="AB517" t="s">
        <v>4469</v>
      </c>
      <c r="AC517" t="s">
        <v>61</v>
      </c>
      <c r="AD517" t="s">
        <v>19</v>
      </c>
      <c r="AE517" t="s">
        <v>19</v>
      </c>
      <c r="AF517" t="s">
        <v>162</v>
      </c>
      <c r="AG517" t="s">
        <v>102</v>
      </c>
      <c r="AH517" t="s">
        <v>22</v>
      </c>
      <c r="AI517" t="s">
        <v>22</v>
      </c>
      <c r="AJ517" t="s">
        <v>22</v>
      </c>
      <c r="AK517" t="s">
        <v>22</v>
      </c>
    </row>
    <row r="518" spans="1:37" ht="11.25" customHeight="1">
      <c r="A518" t="s">
        <v>22</v>
      </c>
      <c r="B518" t="s">
        <v>48</v>
      </c>
      <c r="C518" t="s">
        <v>50</v>
      </c>
      <c r="D518" t="s">
        <v>22</v>
      </c>
      <c r="E518" t="s">
        <v>5664</v>
      </c>
      <c r="F518" t="s">
        <v>1104</v>
      </c>
      <c r="G518" t="s">
        <v>106</v>
      </c>
      <c r="H518" t="s">
        <v>106</v>
      </c>
      <c r="I518" t="s">
        <v>107</v>
      </c>
      <c r="J518" t="s">
        <v>4979</v>
      </c>
      <c r="K518" t="s">
        <v>4980</v>
      </c>
      <c r="L518" t="s">
        <v>4981</v>
      </c>
      <c r="M518" t="s">
        <v>786</v>
      </c>
      <c r="N518" t="s">
        <v>114</v>
      </c>
      <c r="O518" t="s">
        <v>106</v>
      </c>
      <c r="P518" t="s">
        <v>106</v>
      </c>
      <c r="Q518" t="s">
        <v>107</v>
      </c>
      <c r="R518" t="s">
        <v>4979</v>
      </c>
      <c r="S518" t="s">
        <v>4980</v>
      </c>
      <c r="T518" t="s">
        <v>4467</v>
      </c>
      <c r="U518" t="s">
        <v>4468</v>
      </c>
      <c r="V518" t="s">
        <v>4469</v>
      </c>
      <c r="W518" t="s">
        <v>4470</v>
      </c>
      <c r="X518" t="s">
        <v>4471</v>
      </c>
      <c r="Y518" t="s">
        <v>4468</v>
      </c>
      <c r="Z518" t="s">
        <v>1015</v>
      </c>
      <c r="AA518" t="s">
        <v>4472</v>
      </c>
      <c r="AB518" t="s">
        <v>4469</v>
      </c>
      <c r="AC518" t="s">
        <v>61</v>
      </c>
      <c r="AD518" t="s">
        <v>19</v>
      </c>
      <c r="AE518" t="s">
        <v>19</v>
      </c>
      <c r="AF518" t="s">
        <v>1166</v>
      </c>
      <c r="AG518" t="s">
        <v>5213</v>
      </c>
      <c r="AH518" t="s">
        <v>22</v>
      </c>
      <c r="AI518" t="s">
        <v>22</v>
      </c>
      <c r="AJ518" t="s">
        <v>22</v>
      </c>
      <c r="AK518" t="s">
        <v>22</v>
      </c>
    </row>
    <row r="519" spans="1:37" ht="11.25" customHeight="1">
      <c r="A519" t="s">
        <v>22</v>
      </c>
      <c r="B519" t="s">
        <v>48</v>
      </c>
      <c r="C519" t="s">
        <v>50</v>
      </c>
      <c r="D519" t="s">
        <v>22</v>
      </c>
      <c r="E519" t="s">
        <v>5665</v>
      </c>
      <c r="F519" t="s">
        <v>4972</v>
      </c>
      <c r="G519" t="s">
        <v>106</v>
      </c>
      <c r="H519" t="s">
        <v>106</v>
      </c>
      <c r="I519" t="s">
        <v>107</v>
      </c>
      <c r="J519" t="s">
        <v>5344</v>
      </c>
      <c r="K519" t="s">
        <v>5345</v>
      </c>
      <c r="L519" t="s">
        <v>5346</v>
      </c>
      <c r="M519" t="s">
        <v>786</v>
      </c>
      <c r="N519" t="s">
        <v>114</v>
      </c>
      <c r="O519" t="s">
        <v>106</v>
      </c>
      <c r="P519" t="s">
        <v>106</v>
      </c>
      <c r="Q519" t="s">
        <v>107</v>
      </c>
      <c r="R519" t="s">
        <v>5344</v>
      </c>
      <c r="S519" t="s">
        <v>5345</v>
      </c>
      <c r="T519" t="s">
        <v>4467</v>
      </c>
      <c r="U519" t="s">
        <v>4468</v>
      </c>
      <c r="V519" t="s">
        <v>4469</v>
      </c>
      <c r="W519" t="s">
        <v>4470</v>
      </c>
      <c r="X519" t="s">
        <v>4471</v>
      </c>
      <c r="Y519" t="s">
        <v>4468</v>
      </c>
      <c r="Z519" t="s">
        <v>1015</v>
      </c>
      <c r="AA519" t="s">
        <v>4472</v>
      </c>
      <c r="AB519" t="s">
        <v>4469</v>
      </c>
      <c r="AC519" t="s">
        <v>19</v>
      </c>
      <c r="AD519" t="s">
        <v>19</v>
      </c>
      <c r="AE519" t="s">
        <v>61</v>
      </c>
      <c r="AF519" t="s">
        <v>22</v>
      </c>
      <c r="AG519" t="s">
        <v>22</v>
      </c>
      <c r="AH519" t="s">
        <v>22</v>
      </c>
      <c r="AI519" t="s">
        <v>22</v>
      </c>
      <c r="AJ519" t="s">
        <v>5347</v>
      </c>
      <c r="AK519" t="s">
        <v>1173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2" width="9.140625" style="1029" hidden="1" customWidth="1"/>
    <col min="3" max="3" width="3" style="1029" customWidth="1"/>
    <col min="4" max="4" width="5" style="1029" customWidth="1"/>
    <col min="5" max="5" width="48" style="1029" customWidth="1"/>
    <col min="6" max="6" width="38" style="1029" customWidth="1"/>
    <col min="7" max="7" width="1.7109375" style="1029" hidden="1" customWidth="1"/>
    <col min="8" max="11" width="19.85546875" style="1029" hidden="1" customWidth="1"/>
    <col min="12" max="12" width="9.7109375" style="1029" hidden="1" customWidth="1"/>
    <col min="13" max="18" width="19.85546875" style="1029" hidden="1" customWidth="1"/>
    <col min="19" max="19" width="1.7109375" style="1029" hidden="1" customWidth="1"/>
    <col min="20" max="22" width="19.85546875" style="1029" hidden="1" customWidth="1"/>
    <col min="23" max="23" width="1.7109375" style="1029" hidden="1" customWidth="1"/>
    <col min="24" max="26" width="19.85546875" style="1029" customWidth="1"/>
    <col min="27" max="27" width="1.7109375" style="1029" hidden="1" customWidth="1"/>
    <col min="28" max="29" width="19.85546875" style="1029" hidden="1" customWidth="1"/>
    <col min="30" max="30" width="1.7109375" style="1029" hidden="1" customWidth="1"/>
    <col min="31" max="32" width="103.7109375" style="1029" hidden="1" customWidth="1"/>
    <col min="33" max="33" width="103.7109375" style="1029" customWidth="1"/>
    <col min="34" max="34" width="103.7109375" style="1029" hidden="1" customWidth="1"/>
    <col min="35" max="35" width="3" style="1029" customWidth="1"/>
    <col min="36" max="38" width="10" style="1029" customWidth="1"/>
    <col min="39" max="39" width="13.7109375" style="1029" hidden="1" customWidth="1"/>
    <col min="40" max="40" width="15" style="1029" customWidth="1"/>
    <col min="41" max="41" width="16" style="1029" customWidth="1"/>
    <col min="42" max="45" width="10" style="1029" customWidth="1"/>
    <col min="46" max="46" width="10.5703125" style="1029" hidden="1"/>
  </cols>
  <sheetData>
    <row r="1" spans="3:46" ht="22.5" hidden="1" customHeight="1">
      <c r="H1" s="1055" t="s">
        <v>363</v>
      </c>
      <c r="I1" s="1031"/>
      <c r="J1" s="1031"/>
      <c r="K1" s="1031"/>
      <c r="L1" s="1031"/>
      <c r="M1" s="1031"/>
      <c r="N1" s="1031"/>
      <c r="O1" s="1031"/>
      <c r="P1" s="1031"/>
      <c r="Q1" s="1031"/>
      <c r="R1" s="1031"/>
      <c r="T1" s="1055" t="s">
        <v>364</v>
      </c>
      <c r="U1" s="1031"/>
      <c r="V1" s="1031"/>
      <c r="X1" s="1055" t="s">
        <v>365</v>
      </c>
      <c r="Y1" s="1031"/>
      <c r="Z1" s="1031"/>
      <c r="AB1" s="1055" t="s">
        <v>366</v>
      </c>
      <c r="AC1" s="1031"/>
      <c r="AT1" s="538" t="s">
        <v>14</v>
      </c>
    </row>
    <row r="2" spans="3:46" ht="14.25" hidden="1" customHeight="1">
      <c r="AT2" s="538">
        <v>0</v>
      </c>
    </row>
    <row r="3" spans="3:46" ht="5.25" customHeight="1">
      <c r="C3" s="668"/>
      <c r="D3" s="669"/>
      <c r="E3" s="669"/>
      <c r="F3" s="669"/>
      <c r="G3" s="669"/>
      <c r="H3" s="669" t="s">
        <v>367</v>
      </c>
      <c r="I3" s="669"/>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T3" s="670">
        <v>5</v>
      </c>
    </row>
    <row r="4" spans="3:46" ht="39.75" customHeight="1">
      <c r="C4" s="653"/>
      <c r="D4" s="1109" t="str">
        <f>ORG_VD_NAME_FORM</f>
        <v>Форма 1. Информация об организации, осуществляющей холодное водоснабжение (общая информация)</v>
      </c>
      <c r="E4" s="1110"/>
      <c r="F4" s="1110"/>
      <c r="G4" s="1110"/>
      <c r="H4" s="1110"/>
      <c r="I4" s="1110"/>
      <c r="J4" s="1110"/>
      <c r="K4" s="1110"/>
      <c r="L4" s="1110"/>
      <c r="M4" s="1110"/>
      <c r="N4" s="1110"/>
      <c r="O4" s="1110"/>
      <c r="P4" s="1110"/>
      <c r="Q4" s="1110"/>
      <c r="R4" s="1111"/>
      <c r="AT4" s="538">
        <v>38</v>
      </c>
    </row>
    <row r="5" spans="3:46" ht="18" customHeight="1">
      <c r="C5" s="653"/>
      <c r="D5" s="1159" t="str">
        <f>IF(org=0,"Не определено",org)</f>
        <v>АО "НИЖЕГОРОДСКИЙ ВОДОКАНАЛ"</v>
      </c>
      <c r="E5" s="1160"/>
      <c r="F5" s="1160"/>
      <c r="G5" s="1160"/>
      <c r="H5" s="1160"/>
      <c r="I5" s="1160"/>
      <c r="J5" s="1160"/>
      <c r="K5" s="1160"/>
      <c r="L5" s="1160"/>
      <c r="M5" s="1160"/>
      <c r="N5" s="1160"/>
      <c r="O5" s="1160"/>
      <c r="P5" s="1160"/>
      <c r="Q5" s="1160"/>
      <c r="R5" s="1161"/>
      <c r="AT5" s="538">
        <v>17</v>
      </c>
    </row>
    <row r="6" spans="3:46" ht="11.45" customHeight="1">
      <c r="C6" s="672"/>
      <c r="R6" s="629"/>
      <c r="S6" s="629"/>
      <c r="AT6" s="540">
        <v>11</v>
      </c>
    </row>
    <row r="7" spans="3:46" ht="14.65" customHeight="1">
      <c r="C7" s="653"/>
      <c r="D7" s="1162" t="s">
        <v>311</v>
      </c>
      <c r="E7" s="1163"/>
      <c r="F7" s="1163"/>
      <c r="G7" s="1163"/>
      <c r="H7" s="1163"/>
      <c r="I7" s="1163"/>
      <c r="J7" s="1163"/>
      <c r="K7" s="1163"/>
      <c r="L7" s="1163"/>
      <c r="M7" s="1163"/>
      <c r="N7" s="1163"/>
      <c r="O7" s="1163"/>
      <c r="P7" s="1163"/>
      <c r="Q7" s="1163"/>
      <c r="R7" s="1163"/>
      <c r="S7" s="1163"/>
      <c r="T7" s="1163"/>
      <c r="U7" s="1163"/>
      <c r="V7" s="1163"/>
      <c r="W7" s="1163"/>
      <c r="X7" s="1163"/>
      <c r="Y7" s="1163"/>
      <c r="Z7" s="1163"/>
      <c r="AA7" s="1163"/>
      <c r="AB7" s="1163"/>
      <c r="AC7" s="1163"/>
      <c r="AD7" s="1164"/>
      <c r="AE7" s="1107" t="s">
        <v>312</v>
      </c>
      <c r="AF7" s="1107" t="s">
        <v>312</v>
      </c>
      <c r="AG7" s="1107" t="s">
        <v>312</v>
      </c>
      <c r="AH7" s="1107" t="s">
        <v>312</v>
      </c>
      <c r="AT7" s="538">
        <v>14</v>
      </c>
    </row>
    <row r="8" spans="3:46" ht="27.4" customHeight="1">
      <c r="C8" s="653"/>
      <c r="D8" s="1066" t="s">
        <v>87</v>
      </c>
      <c r="E8" s="1107" t="str">
        <f>"Наименование "&amp;IF(TEMPLATE_SPHERE&lt;&gt;"HEAT","централизованной ","")&amp;"системы "&amp;TEMPLATE_SPHERE_RUS</f>
        <v>Наименование централизованной системы холодного водоснабжения</v>
      </c>
      <c r="F8" s="1107" t="str">
        <f>IF(TEMPLATE_SPHERE&lt;&gt;"HEAT","Регулируемый вид деятельности","Вид регулируемой деятельности")</f>
        <v>Регулируемый вид деятельности</v>
      </c>
      <c r="G8" s="675"/>
      <c r="H8" s="1167" t="s">
        <v>368</v>
      </c>
      <c r="I8" s="1169" t="s">
        <v>369</v>
      </c>
      <c r="J8" s="1107" t="s">
        <v>370</v>
      </c>
      <c r="K8" s="1107"/>
      <c r="L8" s="1107"/>
      <c r="M8" s="1162"/>
      <c r="N8" s="1107" t="s">
        <v>371</v>
      </c>
      <c r="O8" s="1107"/>
      <c r="P8" s="1107" t="s">
        <v>372</v>
      </c>
      <c r="Q8" s="1107"/>
      <c r="R8" s="1171" t="s">
        <v>373</v>
      </c>
      <c r="S8" s="676"/>
      <c r="T8" s="1167" t="s">
        <v>374</v>
      </c>
      <c r="U8" s="1167" t="s">
        <v>375</v>
      </c>
      <c r="V8" s="1167" t="s">
        <v>376</v>
      </c>
      <c r="W8" s="675"/>
      <c r="X8" s="1167" t="s">
        <v>377</v>
      </c>
      <c r="Y8" s="1167" t="s">
        <v>378</v>
      </c>
      <c r="Z8" s="1167" t="s">
        <v>379</v>
      </c>
      <c r="AA8" s="675"/>
      <c r="AB8" s="1167" t="s">
        <v>380</v>
      </c>
      <c r="AC8" s="1167" t="s">
        <v>373</v>
      </c>
      <c r="AD8" s="675"/>
      <c r="AE8" s="1107"/>
      <c r="AF8" s="1107"/>
      <c r="AG8" s="1107"/>
      <c r="AH8" s="1107"/>
      <c r="AT8" s="538">
        <v>26</v>
      </c>
    </row>
    <row r="9" spans="3:46" ht="46.15" customHeight="1">
      <c r="C9" s="653"/>
      <c r="D9" s="1066"/>
      <c r="E9" s="1107"/>
      <c r="F9" s="1107"/>
      <c r="G9" s="677"/>
      <c r="H9" s="1168"/>
      <c r="I9" s="1170"/>
      <c r="J9" s="602" t="s">
        <v>381</v>
      </c>
      <c r="K9" s="602" t="s">
        <v>382</v>
      </c>
      <c r="L9" s="602" t="s">
        <v>383</v>
      </c>
      <c r="M9" s="673" t="s">
        <v>384</v>
      </c>
      <c r="N9" s="602" t="s">
        <v>385</v>
      </c>
      <c r="O9" s="602" t="s">
        <v>384</v>
      </c>
      <c r="P9" s="602" t="s">
        <v>386</v>
      </c>
      <c r="Q9" s="602" t="s">
        <v>384</v>
      </c>
      <c r="R9" s="1172"/>
      <c r="S9" s="678"/>
      <c r="T9" s="1168"/>
      <c r="U9" s="1168"/>
      <c r="V9" s="1168"/>
      <c r="W9" s="677"/>
      <c r="X9" s="1168"/>
      <c r="Y9" s="1168"/>
      <c r="Z9" s="1168"/>
      <c r="AA9" s="677"/>
      <c r="AB9" s="1168"/>
      <c r="AC9" s="1168"/>
      <c r="AD9" s="677"/>
      <c r="AE9" s="1107"/>
      <c r="AF9" s="1107"/>
      <c r="AG9" s="1107"/>
      <c r="AH9" s="1107"/>
      <c r="AT9" s="538">
        <v>44</v>
      </c>
    </row>
    <row r="10" spans="3:46" ht="12" hidden="1" customHeight="1">
      <c r="C10" s="679"/>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T10" s="538">
        <v>0</v>
      </c>
    </row>
    <row r="11" spans="3:46" ht="11.25" hidden="1" customHeight="1">
      <c r="C11" s="680"/>
      <c r="D11" s="110" t="s">
        <v>387</v>
      </c>
      <c r="E11" s="110"/>
      <c r="F11" s="110"/>
      <c r="G11" s="110"/>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2"/>
      <c r="AF11" s="112"/>
      <c r="AG11" s="112"/>
      <c r="AH11" s="112"/>
      <c r="AT11" s="681">
        <v>0</v>
      </c>
    </row>
    <row r="12" spans="3:46" ht="14.65" customHeight="1">
      <c r="C12" s="653"/>
      <c r="D12" s="113" t="s">
        <v>114</v>
      </c>
      <c r="E12" s="101" t="s">
        <v>22</v>
      </c>
      <c r="F12" s="682"/>
      <c r="G12" s="114"/>
      <c r="H12" s="115"/>
      <c r="I12" s="115"/>
      <c r="J12" s="116"/>
      <c r="K12" s="117"/>
      <c r="L12" s="683"/>
      <c r="M12" s="117"/>
      <c r="N12" s="116"/>
      <c r="O12" s="117"/>
      <c r="P12" s="116"/>
      <c r="Q12" s="117"/>
      <c r="R12" s="116"/>
      <c r="S12" s="118"/>
      <c r="T12" s="115"/>
      <c r="U12" s="116"/>
      <c r="V12" s="116"/>
      <c r="W12" s="677"/>
      <c r="X12" s="115"/>
      <c r="Y12" s="116"/>
      <c r="Z12" s="116"/>
      <c r="AA12" s="677"/>
      <c r="AB12" s="115"/>
      <c r="AC12" s="116"/>
      <c r="AD12" s="677"/>
      <c r="AE12" s="1165" t="s">
        <v>388</v>
      </c>
      <c r="AF12" s="1165" t="s">
        <v>389</v>
      </c>
      <c r="AG12" s="1165" t="s">
        <v>390</v>
      </c>
      <c r="AH12" s="1165" t="s">
        <v>391</v>
      </c>
      <c r="AP12" s="582" t="s">
        <v>392</v>
      </c>
      <c r="AQ12" s="582" t="s">
        <v>392</v>
      </c>
      <c r="AT12" s="538">
        <v>14</v>
      </c>
    </row>
    <row r="13" spans="3:46" ht="18" customHeight="1">
      <c r="C13" s="653"/>
      <c r="D13" s="119"/>
      <c r="E13" s="684" t="str">
        <f>IF(TITLE_DIFFERENTIATION_TYPE="нет","","Добавить систему")</f>
        <v/>
      </c>
      <c r="F13" s="684" t="str">
        <f>IF(TITLE_DIFFERENTIATION_TYPE="нет","Добавить вид деятельности","")</f>
        <v>Добавить вид деятельности</v>
      </c>
      <c r="G13" s="120"/>
      <c r="H13" s="121"/>
      <c r="I13" s="121"/>
      <c r="J13" s="121"/>
      <c r="K13" s="121"/>
      <c r="L13" s="121"/>
      <c r="M13" s="121"/>
      <c r="N13" s="121"/>
      <c r="O13" s="121"/>
      <c r="P13" s="121"/>
      <c r="Q13" s="121"/>
      <c r="R13" s="121"/>
      <c r="S13" s="121"/>
      <c r="T13" s="121"/>
      <c r="U13" s="121"/>
      <c r="V13" s="121"/>
      <c r="W13" s="121"/>
      <c r="X13" s="121"/>
      <c r="Y13" s="121"/>
      <c r="Z13" s="121"/>
      <c r="AA13" s="121"/>
      <c r="AB13" s="121"/>
      <c r="AC13" s="121"/>
      <c r="AD13" s="122"/>
      <c r="AE13" s="1166"/>
      <c r="AF13" s="1166"/>
      <c r="AG13" s="1166"/>
      <c r="AH13" s="1166"/>
      <c r="AT13" s="538">
        <v>17</v>
      </c>
    </row>
    <row r="14" spans="3:46" ht="14.65" customHeight="1">
      <c r="AT14" s="538">
        <v>14</v>
      </c>
    </row>
    <row r="15" spans="3:46" ht="14.65" customHeight="1">
      <c r="AT15" s="538">
        <v>14</v>
      </c>
    </row>
    <row r="16" spans="3:46" ht="14.65" customHeight="1">
      <c r="AT16" s="538">
        <v>14</v>
      </c>
    </row>
    <row r="17" spans="1:46" ht="14.65" customHeight="1">
      <c r="AT17" s="538">
        <v>14</v>
      </c>
    </row>
    <row r="18" spans="1:46" ht="22.5" hidden="1" customHeight="1">
      <c r="A18" s="536" t="s">
        <v>81</v>
      </c>
      <c r="B18" s="538">
        <v>0</v>
      </c>
      <c r="C18" s="590">
        <v>3</v>
      </c>
      <c r="D18" s="538">
        <v>5</v>
      </c>
      <c r="E18" s="538">
        <v>48</v>
      </c>
      <c r="F18" s="538">
        <v>38</v>
      </c>
      <c r="G18" s="538">
        <v>0</v>
      </c>
      <c r="H18" s="538">
        <v>0</v>
      </c>
      <c r="I18" s="538">
        <v>0</v>
      </c>
      <c r="J18" s="538">
        <v>0</v>
      </c>
      <c r="K18" s="538">
        <v>0</v>
      </c>
      <c r="L18" s="538">
        <v>0</v>
      </c>
      <c r="M18" s="538">
        <v>0</v>
      </c>
      <c r="N18" s="538">
        <v>0</v>
      </c>
      <c r="O18" s="538">
        <v>0</v>
      </c>
      <c r="P18" s="538">
        <v>0</v>
      </c>
      <c r="Q18" s="538">
        <v>0</v>
      </c>
      <c r="R18" s="538">
        <v>0</v>
      </c>
      <c r="S18" s="538">
        <v>0</v>
      </c>
      <c r="T18" s="538">
        <v>0</v>
      </c>
      <c r="U18" s="538">
        <v>0</v>
      </c>
      <c r="V18" s="538">
        <v>0</v>
      </c>
      <c r="W18" s="538">
        <v>0</v>
      </c>
      <c r="X18" s="538">
        <v>0</v>
      </c>
      <c r="Y18" s="538">
        <v>0</v>
      </c>
      <c r="Z18" s="538">
        <v>0</v>
      </c>
      <c r="AA18" s="538">
        <v>0</v>
      </c>
      <c r="AB18" s="538">
        <v>0</v>
      </c>
      <c r="AC18" s="538">
        <v>0</v>
      </c>
      <c r="AD18" s="538">
        <v>0</v>
      </c>
      <c r="AE18" s="538">
        <v>0</v>
      </c>
      <c r="AF18" s="538">
        <v>0</v>
      </c>
      <c r="AG18" s="538">
        <v>0</v>
      </c>
      <c r="AH18" s="538">
        <v>0</v>
      </c>
      <c r="AI18" s="579">
        <v>3</v>
      </c>
      <c r="AJ18" s="577">
        <v>10</v>
      </c>
      <c r="AK18" s="577">
        <v>10</v>
      </c>
      <c r="AL18" s="577">
        <v>10</v>
      </c>
      <c r="AM18" s="577">
        <v>0</v>
      </c>
      <c r="AN18" s="577">
        <v>15</v>
      </c>
      <c r="AO18" s="577">
        <v>16</v>
      </c>
      <c r="AP18" s="577">
        <v>10</v>
      </c>
      <c r="AQ18" s="577">
        <v>10</v>
      </c>
      <c r="AR18" s="577">
        <v>10</v>
      </c>
      <c r="AS18" s="577">
        <v>10</v>
      </c>
      <c r="AT18" s="538">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sheetData>
    <row r="1" spans="1:2" ht="11.25" customHeight="1">
      <c r="A1" s="518" t="s">
        <v>143</v>
      </c>
      <c r="B1" s="518" t="s">
        <v>5666</v>
      </c>
    </row>
    <row r="2" spans="1:2" ht="11.25" customHeight="1">
      <c r="A2" t="s">
        <v>97</v>
      </c>
      <c r="B2" t="s">
        <v>5667</v>
      </c>
    </row>
    <row r="3" spans="1:2" ht="11.25" customHeight="1">
      <c r="A3" t="s">
        <v>104</v>
      </c>
      <c r="B3" t="s">
        <v>5668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2" max="2" width="65.28515625" style="1029" customWidth="1"/>
  </cols>
  <sheetData>
    <row r="1" spans="1:2" ht="11.25" customHeight="1">
      <c r="A1" s="719" t="s">
        <v>5669</v>
      </c>
      <c r="B1" s="719" t="s">
        <v>5670</v>
      </c>
    </row>
    <row r="2" spans="1:2" ht="11.25" customHeight="1">
      <c r="A2" s="719">
        <v>4213775</v>
      </c>
      <c r="B2" s="719" t="s">
        <v>1396</v>
      </c>
    </row>
    <row r="3" spans="1:2" ht="11.25" customHeight="1">
      <c r="A3" s="719">
        <v>4213784</v>
      </c>
      <c r="B3" s="719" t="s">
        <v>1431</v>
      </c>
    </row>
    <row r="4" spans="1:2" ht="11.25" customHeight="1">
      <c r="A4" s="719">
        <v>4213781</v>
      </c>
      <c r="B4" s="719" t="s">
        <v>1424</v>
      </c>
    </row>
    <row r="5" spans="1:2" ht="11.25" customHeight="1">
      <c r="A5" s="719">
        <v>4213776</v>
      </c>
      <c r="B5" s="719" t="s">
        <v>179</v>
      </c>
    </row>
    <row r="6" spans="1:2" ht="11.25" customHeight="1">
      <c r="A6" s="719">
        <v>4213777</v>
      </c>
      <c r="B6" s="719" t="s">
        <v>185</v>
      </c>
    </row>
    <row r="7" spans="1:2" ht="11.25" customHeight="1">
      <c r="A7" s="719">
        <v>4213778</v>
      </c>
      <c r="B7" s="719" t="s">
        <v>191</v>
      </c>
    </row>
    <row r="8" spans="1:2" ht="11.25" customHeight="1">
      <c r="A8" s="719">
        <v>4213780</v>
      </c>
      <c r="B8" s="719" t="s">
        <v>197</v>
      </c>
    </row>
    <row r="9" spans="1:2" ht="11.25" customHeight="1">
      <c r="A9" s="719">
        <v>4213779</v>
      </c>
      <c r="B9" s="719" t="s">
        <v>1563</v>
      </c>
    </row>
    <row r="10" spans="1:2" ht="11.25" customHeight="1">
      <c r="A10" s="719">
        <v>4213783</v>
      </c>
      <c r="B10" s="719" t="s">
        <v>1577</v>
      </c>
    </row>
    <row r="11" spans="1:2" ht="11.25" customHeight="1">
      <c r="A11" s="719">
        <v>4213782</v>
      </c>
      <c r="B11" s="719" t="s">
        <v>203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2" max="2" width="65.28515625" style="1029" customWidth="1"/>
  </cols>
  <sheetData>
    <row r="1" spans="1:2" ht="11.25" customHeight="1">
      <c r="A1" s="719" t="s">
        <v>5669</v>
      </c>
      <c r="B1" s="719" t="s">
        <v>5671</v>
      </c>
    </row>
    <row r="2" spans="1:2" ht="11.25" customHeight="1">
      <c r="A2" s="719" t="s">
        <v>123</v>
      </c>
      <c r="B2" s="719" t="s">
        <v>1665</v>
      </c>
    </row>
    <row r="3" spans="1:2" ht="11.25" customHeight="1">
      <c r="A3" s="719" t="s">
        <v>131</v>
      </c>
      <c r="B3" s="719" t="s">
        <v>1674</v>
      </c>
    </row>
    <row r="4" spans="1:2" ht="11.25" customHeight="1">
      <c r="A4" s="719" t="s">
        <v>5672</v>
      </c>
      <c r="B4" s="719" t="s">
        <v>1682</v>
      </c>
    </row>
    <row r="5" spans="1:2" ht="11.25" customHeight="1">
      <c r="A5" s="719" t="s">
        <v>5673</v>
      </c>
      <c r="B5" s="719" t="s">
        <v>1691</v>
      </c>
    </row>
    <row r="6" spans="1:2" ht="11.25" customHeight="1">
      <c r="A6" s="719" t="s">
        <v>5674</v>
      </c>
      <c r="B6" s="719" t="s">
        <v>1696</v>
      </c>
    </row>
    <row r="7" spans="1:2" ht="11.25" customHeight="1">
      <c r="A7" s="719" t="s">
        <v>5675</v>
      </c>
      <c r="B7" s="719" t="s">
        <v>1703</v>
      </c>
    </row>
    <row r="8" spans="1:2" ht="11.25" customHeight="1">
      <c r="A8" s="719" t="s">
        <v>133</v>
      </c>
      <c r="B8" s="719" t="s">
        <v>1709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41" t="s">
        <v>4314</v>
      </c>
      <c r="B1" s="41" t="s">
        <v>4315</v>
      </c>
      <c r="C1" s="41" t="s">
        <v>4316</v>
      </c>
      <c r="D1" s="41" t="s">
        <v>4317</v>
      </c>
      <c r="E1" t="s">
        <v>4318</v>
      </c>
      <c r="F1" t="s">
        <v>4319</v>
      </c>
      <c r="G1" t="s">
        <v>4320</v>
      </c>
    </row>
    <row r="2" spans="1:7" ht="11.25" customHeight="1">
      <c r="A2" t="s">
        <v>16</v>
      </c>
      <c r="B2" t="s">
        <v>4321</v>
      </c>
      <c r="C2" t="s">
        <v>4322</v>
      </c>
      <c r="D2" t="s">
        <v>4321</v>
      </c>
      <c r="E2" t="s">
        <v>4322</v>
      </c>
      <c r="F2" t="s">
        <v>4323</v>
      </c>
      <c r="G2" t="s">
        <v>114</v>
      </c>
    </row>
    <row r="3" spans="1:7" ht="11.25" customHeight="1">
      <c r="A3" t="s">
        <v>16</v>
      </c>
      <c r="B3" t="s">
        <v>4324</v>
      </c>
      <c r="C3" t="s">
        <v>4325</v>
      </c>
      <c r="D3" t="s">
        <v>4324</v>
      </c>
      <c r="E3" t="s">
        <v>4325</v>
      </c>
      <c r="F3" t="s">
        <v>4323</v>
      </c>
      <c r="G3" t="s">
        <v>102</v>
      </c>
    </row>
    <row r="4" spans="1:7" ht="11.25" customHeight="1">
      <c r="A4" t="s">
        <v>16</v>
      </c>
      <c r="B4" t="s">
        <v>4326</v>
      </c>
      <c r="C4" t="s">
        <v>4327</v>
      </c>
      <c r="D4" t="s">
        <v>4326</v>
      </c>
      <c r="E4" t="s">
        <v>4327</v>
      </c>
      <c r="F4" t="s">
        <v>4323</v>
      </c>
      <c r="G4" t="s">
        <v>89</v>
      </c>
    </row>
    <row r="5" spans="1:7" ht="11.25" customHeight="1">
      <c r="A5" t="s">
        <v>16</v>
      </c>
      <c r="B5" t="s">
        <v>4328</v>
      </c>
      <c r="C5" t="s">
        <v>4329</v>
      </c>
      <c r="D5" t="s">
        <v>4328</v>
      </c>
      <c r="E5" t="s">
        <v>4329</v>
      </c>
      <c r="F5" t="s">
        <v>4323</v>
      </c>
      <c r="G5" t="s">
        <v>90</v>
      </c>
    </row>
    <row r="6" spans="1:7" ht="11.25" customHeight="1">
      <c r="A6" t="s">
        <v>16</v>
      </c>
      <c r="B6" t="s">
        <v>4330</v>
      </c>
      <c r="C6" t="s">
        <v>4331</v>
      </c>
      <c r="D6" t="s">
        <v>4330</v>
      </c>
      <c r="E6" t="s">
        <v>4331</v>
      </c>
      <c r="F6" t="s">
        <v>4323</v>
      </c>
      <c r="G6" t="s">
        <v>115</v>
      </c>
    </row>
    <row r="7" spans="1:7" ht="11.25" customHeight="1">
      <c r="A7" t="s">
        <v>16</v>
      </c>
      <c r="B7" t="s">
        <v>4332</v>
      </c>
      <c r="C7" t="s">
        <v>4333</v>
      </c>
      <c r="D7" t="s">
        <v>4332</v>
      </c>
      <c r="E7" t="s">
        <v>4333</v>
      </c>
      <c r="F7" t="s">
        <v>4323</v>
      </c>
      <c r="G7" t="s">
        <v>91</v>
      </c>
    </row>
    <row r="8" spans="1:7" ht="11.25" customHeight="1">
      <c r="A8" t="s">
        <v>16</v>
      </c>
      <c r="B8" t="s">
        <v>4334</v>
      </c>
      <c r="C8" t="s">
        <v>4335</v>
      </c>
      <c r="D8" t="s">
        <v>4334</v>
      </c>
      <c r="E8" t="s">
        <v>4335</v>
      </c>
      <c r="F8" t="s">
        <v>4323</v>
      </c>
      <c r="G8" t="s">
        <v>92</v>
      </c>
    </row>
    <row r="9" spans="1:7" ht="11.25" customHeight="1">
      <c r="A9" t="s">
        <v>16</v>
      </c>
      <c r="B9" t="s">
        <v>4336</v>
      </c>
      <c r="C9" t="s">
        <v>4337</v>
      </c>
      <c r="D9" t="s">
        <v>4336</v>
      </c>
      <c r="E9" t="s">
        <v>4337</v>
      </c>
      <c r="F9" t="s">
        <v>4323</v>
      </c>
      <c r="G9" t="s">
        <v>116</v>
      </c>
    </row>
    <row r="10" spans="1:7" ht="11.25" customHeight="1">
      <c r="A10" t="s">
        <v>16</v>
      </c>
      <c r="B10" t="s">
        <v>4338</v>
      </c>
      <c r="C10" t="s">
        <v>4339</v>
      </c>
      <c r="D10" t="s">
        <v>4338</v>
      </c>
      <c r="E10" t="s">
        <v>4339</v>
      </c>
      <c r="F10" t="s">
        <v>4323</v>
      </c>
      <c r="G10" t="s">
        <v>161</v>
      </c>
    </row>
    <row r="11" spans="1:7" ht="11.25" customHeight="1">
      <c r="A11" t="s">
        <v>16</v>
      </c>
      <c r="B11" t="s">
        <v>4340</v>
      </c>
      <c r="C11" t="s">
        <v>4341</v>
      </c>
      <c r="D11" t="s">
        <v>4340</v>
      </c>
      <c r="E11" t="s">
        <v>4341</v>
      </c>
      <c r="F11" t="s">
        <v>4323</v>
      </c>
      <c r="G11" t="s">
        <v>162</v>
      </c>
    </row>
    <row r="12" spans="1:7" ht="11.25" customHeight="1">
      <c r="A12" t="s">
        <v>16</v>
      </c>
      <c r="B12" t="s">
        <v>4342</v>
      </c>
      <c r="C12" t="s">
        <v>4343</v>
      </c>
      <c r="D12" t="s">
        <v>4342</v>
      </c>
      <c r="E12" t="s">
        <v>4343</v>
      </c>
      <c r="F12" t="s">
        <v>4323</v>
      </c>
      <c r="G12" t="s">
        <v>163</v>
      </c>
    </row>
    <row r="13" spans="1:7" ht="11.25" customHeight="1">
      <c r="A13" t="s">
        <v>16</v>
      </c>
      <c r="B13" t="s">
        <v>4344</v>
      </c>
      <c r="C13" t="s">
        <v>4345</v>
      </c>
      <c r="D13" t="s">
        <v>4344</v>
      </c>
      <c r="E13" t="s">
        <v>4345</v>
      </c>
      <c r="F13" t="s">
        <v>4323</v>
      </c>
      <c r="G13" t="s">
        <v>164</v>
      </c>
    </row>
    <row r="14" spans="1:7" ht="11.25" customHeight="1">
      <c r="A14" t="s">
        <v>16</v>
      </c>
      <c r="B14" t="s">
        <v>4346</v>
      </c>
      <c r="C14" t="s">
        <v>4347</v>
      </c>
      <c r="D14" t="s">
        <v>4346</v>
      </c>
      <c r="E14" t="s">
        <v>4347</v>
      </c>
      <c r="F14" t="s">
        <v>4348</v>
      </c>
      <c r="G14" t="s">
        <v>165</v>
      </c>
    </row>
    <row r="15" spans="1:7" ht="11.25" customHeight="1">
      <c r="A15" t="s">
        <v>16</v>
      </c>
      <c r="B15" t="s">
        <v>4349</v>
      </c>
      <c r="C15" t="s">
        <v>4350</v>
      </c>
      <c r="D15" t="s">
        <v>4349</v>
      </c>
      <c r="E15" t="s">
        <v>4350</v>
      </c>
      <c r="F15" t="s">
        <v>4323</v>
      </c>
      <c r="G15" t="s">
        <v>166</v>
      </c>
    </row>
    <row r="16" spans="1:7" ht="11.25" customHeight="1">
      <c r="A16" t="s">
        <v>16</v>
      </c>
      <c r="B16" t="s">
        <v>4351</v>
      </c>
      <c r="C16" t="s">
        <v>4352</v>
      </c>
      <c r="D16" t="s">
        <v>4351</v>
      </c>
      <c r="E16" t="s">
        <v>4352</v>
      </c>
      <c r="F16" t="s">
        <v>4323</v>
      </c>
      <c r="G16" t="s">
        <v>1112</v>
      </c>
    </row>
    <row r="17" spans="1:7" ht="11.25" customHeight="1">
      <c r="A17" t="s">
        <v>16</v>
      </c>
      <c r="B17" t="s">
        <v>4353</v>
      </c>
      <c r="C17" t="s">
        <v>4354</v>
      </c>
      <c r="D17" t="s">
        <v>4353</v>
      </c>
      <c r="E17" t="s">
        <v>4354</v>
      </c>
      <c r="F17" t="s">
        <v>4323</v>
      </c>
      <c r="G17" t="s">
        <v>1118</v>
      </c>
    </row>
    <row r="18" spans="1:7" ht="11.25" customHeight="1">
      <c r="A18" t="s">
        <v>16</v>
      </c>
      <c r="B18" t="s">
        <v>4355</v>
      </c>
      <c r="C18" t="s">
        <v>4356</v>
      </c>
      <c r="D18" t="s">
        <v>4355</v>
      </c>
      <c r="E18" t="s">
        <v>4356</v>
      </c>
      <c r="F18" t="s">
        <v>4323</v>
      </c>
      <c r="G18" t="s">
        <v>1120</v>
      </c>
    </row>
    <row r="19" spans="1:7" ht="11.25" customHeight="1">
      <c r="A19" t="s">
        <v>16</v>
      </c>
      <c r="B19" t="s">
        <v>4357</v>
      </c>
      <c r="C19" t="s">
        <v>4358</v>
      </c>
      <c r="D19" t="s">
        <v>4357</v>
      </c>
      <c r="E19" t="s">
        <v>4358</v>
      </c>
      <c r="F19" t="s">
        <v>4323</v>
      </c>
      <c r="G19" t="s">
        <v>1153</v>
      </c>
    </row>
    <row r="20" spans="1:7" ht="11.25" customHeight="1">
      <c r="A20" t="s">
        <v>16</v>
      </c>
      <c r="B20" t="s">
        <v>4359</v>
      </c>
      <c r="C20" t="s">
        <v>4360</v>
      </c>
      <c r="D20" t="s">
        <v>4359</v>
      </c>
      <c r="E20" t="s">
        <v>4360</v>
      </c>
      <c r="F20" t="s">
        <v>4348</v>
      </c>
      <c r="G20" t="s">
        <v>1155</v>
      </c>
    </row>
    <row r="21" spans="1:7" ht="11.25" customHeight="1">
      <c r="A21" t="s">
        <v>16</v>
      </c>
      <c r="B21" t="s">
        <v>4361</v>
      </c>
      <c r="C21" t="s">
        <v>4362</v>
      </c>
      <c r="D21" t="s">
        <v>4361</v>
      </c>
      <c r="E21" t="s">
        <v>4362</v>
      </c>
      <c r="F21" t="s">
        <v>4323</v>
      </c>
      <c r="G21" t="s">
        <v>1157</v>
      </c>
    </row>
    <row r="22" spans="1:7" ht="11.25" customHeight="1">
      <c r="A22" t="s">
        <v>16</v>
      </c>
      <c r="B22" t="s">
        <v>4363</v>
      </c>
      <c r="C22" t="s">
        <v>4364</v>
      </c>
      <c r="D22" t="s">
        <v>4363</v>
      </c>
      <c r="E22" t="s">
        <v>4364</v>
      </c>
      <c r="F22" t="s">
        <v>4323</v>
      </c>
      <c r="G22" t="s">
        <v>1159</v>
      </c>
    </row>
    <row r="23" spans="1:7" ht="11.25" customHeight="1">
      <c r="A23" t="s">
        <v>16</v>
      </c>
      <c r="B23" t="s">
        <v>4365</v>
      </c>
      <c r="C23" t="s">
        <v>4366</v>
      </c>
      <c r="D23" t="s">
        <v>4365</v>
      </c>
      <c r="E23" t="s">
        <v>4366</v>
      </c>
      <c r="F23" t="s">
        <v>4323</v>
      </c>
      <c r="G23" t="s">
        <v>1161</v>
      </c>
    </row>
    <row r="24" spans="1:7" ht="11.25" customHeight="1">
      <c r="A24" t="s">
        <v>16</v>
      </c>
      <c r="B24" t="s">
        <v>4367</v>
      </c>
      <c r="C24" t="s">
        <v>4368</v>
      </c>
      <c r="D24" t="s">
        <v>4367</v>
      </c>
      <c r="E24" t="s">
        <v>4368</v>
      </c>
      <c r="F24" t="s">
        <v>4323</v>
      </c>
      <c r="G24" t="s">
        <v>1163</v>
      </c>
    </row>
    <row r="25" spans="1:7" ht="11.25" customHeight="1">
      <c r="A25" t="s">
        <v>16</v>
      </c>
      <c r="B25" t="s">
        <v>106</v>
      </c>
      <c r="C25" t="s">
        <v>107</v>
      </c>
      <c r="D25" t="s">
        <v>106</v>
      </c>
      <c r="E25" t="s">
        <v>107</v>
      </c>
      <c r="F25" t="s">
        <v>4323</v>
      </c>
      <c r="G25" t="s">
        <v>105</v>
      </c>
    </row>
    <row r="26" spans="1:7" ht="11.25" customHeight="1">
      <c r="A26" t="s">
        <v>16</v>
      </c>
      <c r="B26" t="s">
        <v>4369</v>
      </c>
      <c r="C26" t="s">
        <v>4370</v>
      </c>
      <c r="D26" t="s">
        <v>4369</v>
      </c>
      <c r="E26" t="s">
        <v>4370</v>
      </c>
      <c r="F26" t="s">
        <v>4323</v>
      </c>
      <c r="G26" t="s">
        <v>1166</v>
      </c>
    </row>
    <row r="27" spans="1:7" ht="11.25" customHeight="1">
      <c r="A27" t="s">
        <v>16</v>
      </c>
      <c r="B27" t="s">
        <v>4371</v>
      </c>
      <c r="C27" t="s">
        <v>4372</v>
      </c>
      <c r="D27" t="s">
        <v>4371</v>
      </c>
      <c r="E27" t="s">
        <v>4372</v>
      </c>
      <c r="F27" t="s">
        <v>4323</v>
      </c>
      <c r="G27" t="s">
        <v>1168</v>
      </c>
    </row>
    <row r="28" spans="1:7" ht="11.25" customHeight="1">
      <c r="A28" t="s">
        <v>16</v>
      </c>
      <c r="B28" t="s">
        <v>4373</v>
      </c>
      <c r="C28" t="s">
        <v>4374</v>
      </c>
      <c r="D28" t="s">
        <v>4373</v>
      </c>
      <c r="E28" t="s">
        <v>4374</v>
      </c>
      <c r="F28" t="s">
        <v>4348</v>
      </c>
      <c r="G28" t="s">
        <v>1169</v>
      </c>
    </row>
    <row r="29" spans="1:7" ht="11.25" customHeight="1">
      <c r="A29" t="s">
        <v>16</v>
      </c>
      <c r="B29" t="s">
        <v>4375</v>
      </c>
      <c r="C29" t="s">
        <v>4376</v>
      </c>
      <c r="D29" t="s">
        <v>4375</v>
      </c>
      <c r="E29" t="s">
        <v>4376</v>
      </c>
      <c r="F29" t="s">
        <v>4323</v>
      </c>
      <c r="G29" t="s">
        <v>1170</v>
      </c>
    </row>
    <row r="30" spans="1:7" ht="11.25" customHeight="1">
      <c r="A30" t="s">
        <v>16</v>
      </c>
      <c r="B30" t="s">
        <v>4377</v>
      </c>
      <c r="C30" t="s">
        <v>4378</v>
      </c>
      <c r="D30" t="s">
        <v>4377</v>
      </c>
      <c r="E30" t="s">
        <v>4378</v>
      </c>
      <c r="F30" t="s">
        <v>4348</v>
      </c>
      <c r="G30" t="s">
        <v>1171</v>
      </c>
    </row>
    <row r="31" spans="1:7" ht="11.25" customHeight="1">
      <c r="A31" t="s">
        <v>16</v>
      </c>
      <c r="B31" t="s">
        <v>4379</v>
      </c>
      <c r="C31" t="s">
        <v>4380</v>
      </c>
      <c r="D31" t="s">
        <v>4379</v>
      </c>
      <c r="E31" t="s">
        <v>4380</v>
      </c>
      <c r="F31" t="s">
        <v>4323</v>
      </c>
      <c r="G31" t="s">
        <v>1173</v>
      </c>
    </row>
    <row r="32" spans="1:7" ht="11.25" customHeight="1">
      <c r="A32" t="s">
        <v>16</v>
      </c>
      <c r="B32" t="s">
        <v>4381</v>
      </c>
      <c r="C32" t="s">
        <v>4382</v>
      </c>
      <c r="D32" t="s">
        <v>4381</v>
      </c>
      <c r="E32" t="s">
        <v>4382</v>
      </c>
      <c r="F32" t="s">
        <v>4323</v>
      </c>
      <c r="G32" t="s">
        <v>1075</v>
      </c>
    </row>
    <row r="33" spans="1:7" ht="11.25" customHeight="1">
      <c r="A33" t="s">
        <v>16</v>
      </c>
      <c r="B33" t="s">
        <v>4383</v>
      </c>
      <c r="C33" t="s">
        <v>4384</v>
      </c>
      <c r="D33" t="s">
        <v>4383</v>
      </c>
      <c r="E33" t="s">
        <v>4384</v>
      </c>
      <c r="F33" t="s">
        <v>4348</v>
      </c>
      <c r="G33" t="s">
        <v>1736</v>
      </c>
    </row>
    <row r="34" spans="1:7" ht="11.25" customHeight="1">
      <c r="A34" t="s">
        <v>16</v>
      </c>
      <c r="B34" t="s">
        <v>4385</v>
      </c>
      <c r="C34" t="s">
        <v>4386</v>
      </c>
      <c r="D34" t="s">
        <v>4385</v>
      </c>
      <c r="E34" t="s">
        <v>4386</v>
      </c>
      <c r="F34" t="s">
        <v>4323</v>
      </c>
      <c r="G34" t="s">
        <v>1738</v>
      </c>
    </row>
    <row r="35" spans="1:7" ht="11.25" customHeight="1">
      <c r="A35" t="s">
        <v>16</v>
      </c>
      <c r="B35" t="s">
        <v>4387</v>
      </c>
      <c r="C35" t="s">
        <v>4388</v>
      </c>
      <c r="D35" t="s">
        <v>4387</v>
      </c>
      <c r="E35" t="s">
        <v>4388</v>
      </c>
      <c r="F35" t="s">
        <v>4323</v>
      </c>
      <c r="G35" t="s">
        <v>1743</v>
      </c>
    </row>
    <row r="36" spans="1:7" ht="11.25" customHeight="1">
      <c r="A36" t="s">
        <v>16</v>
      </c>
      <c r="B36" t="s">
        <v>4389</v>
      </c>
      <c r="C36" t="s">
        <v>4390</v>
      </c>
      <c r="D36" t="s">
        <v>4389</v>
      </c>
      <c r="E36" t="s">
        <v>4390</v>
      </c>
      <c r="F36" t="s">
        <v>4348</v>
      </c>
      <c r="G36" t="s">
        <v>1748</v>
      </c>
    </row>
    <row r="37" spans="1:7" ht="11.25" customHeight="1">
      <c r="A37" t="s">
        <v>16</v>
      </c>
      <c r="B37" t="s">
        <v>4391</v>
      </c>
      <c r="C37" t="s">
        <v>4392</v>
      </c>
      <c r="D37" t="s">
        <v>4391</v>
      </c>
      <c r="E37" t="s">
        <v>4392</v>
      </c>
      <c r="F37" t="s">
        <v>4323</v>
      </c>
      <c r="G37" t="s">
        <v>1752</v>
      </c>
    </row>
    <row r="38" spans="1:7" ht="11.25" customHeight="1">
      <c r="A38" t="s">
        <v>16</v>
      </c>
      <c r="B38" t="s">
        <v>4393</v>
      </c>
      <c r="C38" t="s">
        <v>4394</v>
      </c>
      <c r="D38" t="s">
        <v>4393</v>
      </c>
      <c r="E38" t="s">
        <v>4394</v>
      </c>
      <c r="F38" t="s">
        <v>4323</v>
      </c>
      <c r="G38" t="s">
        <v>1760</v>
      </c>
    </row>
    <row r="39" spans="1:7" ht="11.25" customHeight="1">
      <c r="A39" t="s">
        <v>16</v>
      </c>
      <c r="B39" t="s">
        <v>4395</v>
      </c>
      <c r="C39" t="s">
        <v>4396</v>
      </c>
      <c r="D39" t="s">
        <v>4395</v>
      </c>
      <c r="E39" t="s">
        <v>4396</v>
      </c>
      <c r="F39" t="s">
        <v>4323</v>
      </c>
      <c r="G39" t="s">
        <v>1766</v>
      </c>
    </row>
    <row r="40" spans="1:7" ht="11.25" customHeight="1">
      <c r="A40" t="s">
        <v>16</v>
      </c>
      <c r="B40" t="s">
        <v>4397</v>
      </c>
      <c r="C40" t="s">
        <v>4398</v>
      </c>
      <c r="D40" t="s">
        <v>4397</v>
      </c>
      <c r="E40" t="s">
        <v>4398</v>
      </c>
      <c r="F40" t="s">
        <v>4323</v>
      </c>
      <c r="G40" t="s">
        <v>1770</v>
      </c>
    </row>
    <row r="41" spans="1:7" ht="11.25" customHeight="1">
      <c r="A41" t="s">
        <v>16</v>
      </c>
      <c r="B41" t="s">
        <v>4399</v>
      </c>
      <c r="C41" t="s">
        <v>4400</v>
      </c>
      <c r="D41" t="s">
        <v>4399</v>
      </c>
      <c r="E41" t="s">
        <v>4400</v>
      </c>
      <c r="F41" t="s">
        <v>4323</v>
      </c>
      <c r="G41" t="s">
        <v>1774</v>
      </c>
    </row>
    <row r="42" spans="1:7" ht="11.25" customHeight="1">
      <c r="A42" t="s">
        <v>16</v>
      </c>
      <c r="B42" t="s">
        <v>4401</v>
      </c>
      <c r="C42" t="s">
        <v>4402</v>
      </c>
      <c r="D42" t="s">
        <v>4401</v>
      </c>
      <c r="E42" t="s">
        <v>4402</v>
      </c>
      <c r="F42" t="s">
        <v>4323</v>
      </c>
      <c r="G42" t="s">
        <v>1777</v>
      </c>
    </row>
    <row r="43" spans="1:7" ht="11.25" customHeight="1">
      <c r="A43" t="s">
        <v>16</v>
      </c>
      <c r="B43" t="s">
        <v>4403</v>
      </c>
      <c r="C43" t="s">
        <v>4404</v>
      </c>
      <c r="D43" t="s">
        <v>4403</v>
      </c>
      <c r="E43" t="s">
        <v>4404</v>
      </c>
      <c r="F43" t="s">
        <v>4323</v>
      </c>
      <c r="G43" t="s">
        <v>1784</v>
      </c>
    </row>
    <row r="44" spans="1:7" ht="11.25" customHeight="1">
      <c r="A44" t="s">
        <v>16</v>
      </c>
      <c r="B44" t="s">
        <v>4405</v>
      </c>
      <c r="C44" t="s">
        <v>4406</v>
      </c>
      <c r="D44" t="s">
        <v>4405</v>
      </c>
      <c r="E44" t="s">
        <v>4406</v>
      </c>
      <c r="F44" t="s">
        <v>4348</v>
      </c>
      <c r="G44" t="s">
        <v>1793</v>
      </c>
    </row>
    <row r="45" spans="1:7" ht="11.25" customHeight="1">
      <c r="A45" t="s">
        <v>16</v>
      </c>
      <c r="B45" t="s">
        <v>4407</v>
      </c>
      <c r="C45" t="s">
        <v>4408</v>
      </c>
      <c r="D45" t="s">
        <v>4407</v>
      </c>
      <c r="E45" t="s">
        <v>4408</v>
      </c>
      <c r="F45" t="s">
        <v>4348</v>
      </c>
      <c r="G45" t="s">
        <v>1798</v>
      </c>
    </row>
    <row r="46" spans="1:7" ht="11.25" customHeight="1">
      <c r="A46" t="s">
        <v>16</v>
      </c>
      <c r="B46" t="s">
        <v>4409</v>
      </c>
      <c r="C46" t="s">
        <v>4410</v>
      </c>
      <c r="D46" t="s">
        <v>4409</v>
      </c>
      <c r="E46" t="s">
        <v>4410</v>
      </c>
      <c r="F46" t="s">
        <v>4348</v>
      </c>
      <c r="G46" t="s">
        <v>1802</v>
      </c>
    </row>
    <row r="47" spans="1:7" ht="11.25" customHeight="1">
      <c r="A47" t="s">
        <v>16</v>
      </c>
      <c r="B47" t="s">
        <v>4411</v>
      </c>
      <c r="C47" t="s">
        <v>4412</v>
      </c>
      <c r="D47" t="s">
        <v>4411</v>
      </c>
      <c r="E47" t="s">
        <v>4412</v>
      </c>
      <c r="F47" t="s">
        <v>4348</v>
      </c>
      <c r="G47" t="s">
        <v>1807</v>
      </c>
    </row>
    <row r="48" spans="1:7" ht="11.25" customHeight="1">
      <c r="A48" t="s">
        <v>16</v>
      </c>
      <c r="B48" t="s">
        <v>4413</v>
      </c>
      <c r="C48" t="s">
        <v>4414</v>
      </c>
      <c r="D48" t="s">
        <v>4413</v>
      </c>
      <c r="E48" t="s">
        <v>4414</v>
      </c>
      <c r="F48" t="s">
        <v>4348</v>
      </c>
      <c r="G48" t="s">
        <v>1812</v>
      </c>
    </row>
    <row r="49" spans="1:7" ht="11.25" customHeight="1">
      <c r="A49" t="s">
        <v>16</v>
      </c>
      <c r="B49" t="s">
        <v>99</v>
      </c>
      <c r="C49" t="s">
        <v>100</v>
      </c>
      <c r="D49" t="s">
        <v>99</v>
      </c>
      <c r="E49" t="s">
        <v>100</v>
      </c>
      <c r="F49" t="s">
        <v>4348</v>
      </c>
      <c r="G49" t="s">
        <v>98</v>
      </c>
    </row>
    <row r="50" spans="1:7" ht="11.25" customHeight="1">
      <c r="A50" t="s">
        <v>16</v>
      </c>
      <c r="B50" t="s">
        <v>4415</v>
      </c>
      <c r="C50" t="s">
        <v>4416</v>
      </c>
      <c r="D50" t="s">
        <v>4415</v>
      </c>
      <c r="E50" t="s">
        <v>4416</v>
      </c>
      <c r="F50" t="s">
        <v>4348</v>
      </c>
      <c r="G50" t="s">
        <v>1818</v>
      </c>
    </row>
    <row r="51" spans="1:7" ht="11.25" customHeight="1">
      <c r="A51" t="s">
        <v>16</v>
      </c>
      <c r="B51" t="s">
        <v>4417</v>
      </c>
      <c r="C51" t="s">
        <v>4418</v>
      </c>
      <c r="D51" t="s">
        <v>4417</v>
      </c>
      <c r="E51" t="s">
        <v>4418</v>
      </c>
      <c r="F51" t="s">
        <v>4348</v>
      </c>
      <c r="G51" t="s">
        <v>1823</v>
      </c>
    </row>
    <row r="52" spans="1:7" ht="11.25" customHeight="1">
      <c r="A52" t="s">
        <v>16</v>
      </c>
      <c r="B52" t="s">
        <v>4419</v>
      </c>
      <c r="C52" t="s">
        <v>4420</v>
      </c>
      <c r="D52" t="s">
        <v>4419</v>
      </c>
      <c r="E52" t="s">
        <v>4420</v>
      </c>
      <c r="F52" t="s">
        <v>4348</v>
      </c>
      <c r="G52" t="s">
        <v>1827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2" max="2" width="84.28515625" style="1029" customWidth="1"/>
  </cols>
  <sheetData>
    <row r="1" spans="1:3" ht="11.25" customHeight="1">
      <c r="A1" s="719" t="s">
        <v>5676</v>
      </c>
      <c r="B1" s="719" t="s">
        <v>5677</v>
      </c>
      <c r="C1" s="719" t="s">
        <v>1341</v>
      </c>
    </row>
    <row r="2" spans="1:3" ht="11.25" customHeight="1">
      <c r="A2" s="719">
        <v>4189678</v>
      </c>
      <c r="B2" s="719" t="s">
        <v>5678</v>
      </c>
      <c r="C2" s="719" t="s">
        <v>5679</v>
      </c>
    </row>
    <row r="3" spans="1:3" ht="11.25" customHeight="1">
      <c r="A3" s="719">
        <v>4190415</v>
      </c>
      <c r="B3" s="719" t="s">
        <v>5680</v>
      </c>
      <c r="C3" s="719" t="s">
        <v>5679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
  <sheetViews>
    <sheetView showGridLines="0" workbookViewId="0"/>
  </sheetViews>
  <sheetFormatPr defaultColWidth="9.140625" defaultRowHeight="15" customHeight="1"/>
  <cols>
    <col min="1" max="1" width="38.42578125" style="1029" customWidth="1"/>
  </cols>
  <sheetData>
    <row r="1" spans="1:2" ht="15" customHeight="1">
      <c r="A1" s="988" t="s">
        <v>5681</v>
      </c>
      <c r="B1" s="988" t="s">
        <v>5682</v>
      </c>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5683</v>
      </c>
      <c r="B1" t="b">
        <v>1</v>
      </c>
    </row>
    <row r="2" spans="1:2" ht="11.25" customHeight="1">
      <c r="A2" t="s">
        <v>5684</v>
      </c>
      <c r="B2" t="b">
        <v>0</v>
      </c>
    </row>
    <row r="3" spans="1:2" ht="11.25" customHeight="1">
      <c r="A3" t="s">
        <v>5685</v>
      </c>
      <c r="B3" t="b">
        <v>0</v>
      </c>
    </row>
    <row r="4" spans="1:2" ht="11.25" customHeight="1">
      <c r="A4" t="s">
        <v>5686</v>
      </c>
      <c r="B4" t="b">
        <v>1</v>
      </c>
    </row>
    <row r="5" spans="1:2" ht="11.25" customHeight="1">
      <c r="A5" t="s">
        <v>5687</v>
      </c>
      <c r="B5" t="b">
        <v>0</v>
      </c>
    </row>
    <row r="6" spans="1:2" ht="11.25" customHeight="1">
      <c r="A6" t="s">
        <v>5688</v>
      </c>
      <c r="B6" t="b">
        <v>0</v>
      </c>
    </row>
    <row r="7" spans="1:2" ht="11.25" customHeight="1">
      <c r="A7" t="s">
        <v>5689</v>
      </c>
      <c r="B7" t="b">
        <v>0</v>
      </c>
    </row>
    <row r="8" spans="1:2" ht="11.25" customHeight="1">
      <c r="A8" t="s">
        <v>5690</v>
      </c>
      <c r="B8" t="b">
        <v>0</v>
      </c>
    </row>
    <row r="9" spans="1:2" ht="11.25" customHeight="1">
      <c r="A9" t="s">
        <v>5691</v>
      </c>
      <c r="B9" t="b">
        <v>0</v>
      </c>
    </row>
    <row r="10" spans="1:2" ht="11.25" customHeight="1">
      <c r="A10" t="s">
        <v>5692</v>
      </c>
      <c r="B10" t="b">
        <v>1</v>
      </c>
    </row>
    <row r="11" spans="1:2" ht="11.25" customHeight="1">
      <c r="A11" t="s">
        <v>5693</v>
      </c>
      <c r="B11" t="b">
        <v>0</v>
      </c>
    </row>
    <row r="12" spans="1:2" ht="11.25" customHeight="1">
      <c r="A12" t="s">
        <v>5694</v>
      </c>
      <c r="B12" t="b">
        <v>0</v>
      </c>
    </row>
    <row r="13" spans="1:2" ht="11.25" customHeight="1">
      <c r="A13" t="s">
        <v>5695</v>
      </c>
      <c r="B13" t="b">
        <v>0</v>
      </c>
    </row>
    <row r="14" spans="1:2" ht="11.25" customHeight="1">
      <c r="A14" t="s">
        <v>5696</v>
      </c>
      <c r="B14" t="b">
        <v>0</v>
      </c>
    </row>
    <row r="15" spans="1:2" ht="11.25" customHeight="1">
      <c r="A15" t="s">
        <v>5697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70"/>
  <sheetViews>
    <sheetView showGridLines="0" workbookViewId="0"/>
  </sheetViews>
  <sheetFormatPr defaultColWidth="9.140625" defaultRowHeight="11.25" customHeight="1"/>
  <cols>
    <col min="1" max="1" width="36.28515625" style="1029" customWidth="1"/>
    <col min="2" max="2" width="21.140625" style="1029" customWidth="1"/>
  </cols>
  <sheetData>
    <row r="1" spans="1:2" ht="11.25" customHeight="1">
      <c r="A1" s="519" t="s">
        <v>5698</v>
      </c>
      <c r="B1" s="519" t="s">
        <v>5699</v>
      </c>
    </row>
    <row r="2" spans="1:2" ht="11.25" customHeight="1">
      <c r="A2" s="41" t="s">
        <v>5700</v>
      </c>
      <c r="B2" s="41" t="s">
        <v>5701</v>
      </c>
    </row>
    <row r="3" spans="1:2" ht="11.25" customHeight="1">
      <c r="A3" s="41" t="s">
        <v>5702</v>
      </c>
      <c r="B3" s="41" t="s">
        <v>5703</v>
      </c>
    </row>
    <row r="4" spans="1:2" ht="11.25" customHeight="1">
      <c r="A4" s="41" t="s">
        <v>5704</v>
      </c>
      <c r="B4" s="41" t="s">
        <v>5705</v>
      </c>
    </row>
    <row r="5" spans="1:2" ht="11.25" customHeight="1">
      <c r="A5" s="41" t="s">
        <v>5706</v>
      </c>
      <c r="B5" s="41" t="s">
        <v>5707</v>
      </c>
    </row>
    <row r="6" spans="1:2" ht="11.25" customHeight="1">
      <c r="A6" s="41" t="s">
        <v>5708</v>
      </c>
      <c r="B6" s="41" t="s">
        <v>5709</v>
      </c>
    </row>
    <row r="7" spans="1:2" ht="11.25" customHeight="1">
      <c r="A7" s="41" t="s">
        <v>5710</v>
      </c>
      <c r="B7" s="41" t="s">
        <v>5711</v>
      </c>
    </row>
    <row r="8" spans="1:2" ht="11.25" customHeight="1">
      <c r="A8" s="41" t="s">
        <v>5712</v>
      </c>
      <c r="B8" s="41" t="s">
        <v>5713</v>
      </c>
    </row>
    <row r="9" spans="1:2" ht="11.25" customHeight="1">
      <c r="A9" s="41" t="s">
        <v>5714</v>
      </c>
      <c r="B9" s="41" t="s">
        <v>5715</v>
      </c>
    </row>
    <row r="10" spans="1:2" ht="11.25" customHeight="1">
      <c r="A10" s="41" t="s">
        <v>5716</v>
      </c>
      <c r="B10" s="41" t="s">
        <v>5717</v>
      </c>
    </row>
    <row r="11" spans="1:2" ht="11.25" customHeight="1">
      <c r="A11" s="41" t="s">
        <v>5718</v>
      </c>
      <c r="B11" s="41" t="s">
        <v>5719</v>
      </c>
    </row>
    <row r="12" spans="1:2" ht="11.25" customHeight="1">
      <c r="A12" s="41" t="s">
        <v>5720</v>
      </c>
      <c r="B12" s="41" t="s">
        <v>5721</v>
      </c>
    </row>
    <row r="13" spans="1:2" ht="11.25" customHeight="1">
      <c r="A13" s="41" t="s">
        <v>5722</v>
      </c>
      <c r="B13" s="41" t="s">
        <v>5723</v>
      </c>
    </row>
    <row r="14" spans="1:2" ht="11.25" customHeight="1">
      <c r="A14" s="41" t="s">
        <v>5724</v>
      </c>
      <c r="B14" s="41" t="s">
        <v>5725</v>
      </c>
    </row>
    <row r="15" spans="1:2" ht="11.25" customHeight="1">
      <c r="A15" s="41" t="s">
        <v>5726</v>
      </c>
      <c r="B15" s="41" t="s">
        <v>5727</v>
      </c>
    </row>
    <row r="16" spans="1:2" ht="11.25" customHeight="1">
      <c r="A16" s="41" t="s">
        <v>5728</v>
      </c>
      <c r="B16" s="41" t="s">
        <v>5729</v>
      </c>
    </row>
    <row r="17" spans="1:2" ht="11.25" customHeight="1">
      <c r="A17" s="41" t="s">
        <v>5730</v>
      </c>
      <c r="B17" s="41" t="s">
        <v>5731</v>
      </c>
    </row>
    <row r="18" spans="1:2" ht="11.25" customHeight="1">
      <c r="A18" s="41" t="s">
        <v>5732</v>
      </c>
      <c r="B18" s="41" t="s">
        <v>5733</v>
      </c>
    </row>
    <row r="19" spans="1:2" ht="11.25" customHeight="1">
      <c r="A19" s="41" t="s">
        <v>5734</v>
      </c>
      <c r="B19" s="41" t="s">
        <v>5735</v>
      </c>
    </row>
    <row r="20" spans="1:2" ht="11.25" customHeight="1">
      <c r="A20" s="41" t="s">
        <v>5736</v>
      </c>
      <c r="B20" s="41" t="s">
        <v>5737</v>
      </c>
    </row>
    <row r="21" spans="1:2" ht="11.25" customHeight="1">
      <c r="A21" s="41" t="s">
        <v>5738</v>
      </c>
      <c r="B21" s="41" t="s">
        <v>5739</v>
      </c>
    </row>
    <row r="22" spans="1:2" ht="11.25" customHeight="1">
      <c r="A22" s="41" t="s">
        <v>5740</v>
      </c>
      <c r="B22" s="41" t="s">
        <v>5741</v>
      </c>
    </row>
    <row r="23" spans="1:2" ht="11.25" customHeight="1">
      <c r="A23" s="41" t="s">
        <v>5742</v>
      </c>
      <c r="B23" s="41" t="s">
        <v>5743</v>
      </c>
    </row>
    <row r="24" spans="1:2" ht="11.25" customHeight="1">
      <c r="A24" s="41" t="s">
        <v>5744</v>
      </c>
      <c r="B24" s="41" t="s">
        <v>5745</v>
      </c>
    </row>
    <row r="25" spans="1:2" ht="11.25" customHeight="1">
      <c r="A25" s="41" t="s">
        <v>5746</v>
      </c>
      <c r="B25" s="41" t="s">
        <v>5747</v>
      </c>
    </row>
    <row r="26" spans="1:2" ht="11.25" customHeight="1">
      <c r="A26" s="41" t="s">
        <v>5748</v>
      </c>
      <c r="B26" s="41" t="s">
        <v>5749</v>
      </c>
    </row>
    <row r="27" spans="1:2" ht="11.25" customHeight="1">
      <c r="A27" s="41" t="s">
        <v>5750</v>
      </c>
      <c r="B27" s="41" t="s">
        <v>5751</v>
      </c>
    </row>
    <row r="28" spans="1:2" ht="11.25" customHeight="1">
      <c r="A28" s="41" t="s">
        <v>5752</v>
      </c>
      <c r="B28" s="41" t="s">
        <v>5753</v>
      </c>
    </row>
    <row r="29" spans="1:2" ht="11.25" customHeight="1">
      <c r="A29" s="41" t="s">
        <v>5754</v>
      </c>
      <c r="B29" s="41" t="s">
        <v>5755</v>
      </c>
    </row>
    <row r="30" spans="1:2" ht="11.25" customHeight="1">
      <c r="A30" s="41" t="s">
        <v>5756</v>
      </c>
      <c r="B30" s="41" t="s">
        <v>5757</v>
      </c>
    </row>
    <row r="31" spans="1:2" ht="11.25" customHeight="1">
      <c r="A31" s="41" t="s">
        <v>5758</v>
      </c>
      <c r="B31" s="41" t="s">
        <v>5759</v>
      </c>
    </row>
    <row r="32" spans="1:2" ht="11.25" customHeight="1">
      <c r="A32" s="41" t="s">
        <v>5760</v>
      </c>
      <c r="B32" s="41" t="s">
        <v>5761</v>
      </c>
    </row>
    <row r="33" spans="1:2" ht="11.25" customHeight="1">
      <c r="A33" s="41" t="s">
        <v>5762</v>
      </c>
      <c r="B33" s="41" t="s">
        <v>5763</v>
      </c>
    </row>
    <row r="34" spans="1:2" ht="11.25" customHeight="1">
      <c r="A34" s="41" t="s">
        <v>5764</v>
      </c>
      <c r="B34" s="41" t="s">
        <v>5765</v>
      </c>
    </row>
    <row r="35" spans="1:2" ht="11.25" customHeight="1">
      <c r="A35" s="41" t="s">
        <v>5766</v>
      </c>
      <c r="B35" s="41" t="s">
        <v>5767</v>
      </c>
    </row>
    <row r="36" spans="1:2" ht="11.25" customHeight="1">
      <c r="A36" s="41" t="s">
        <v>5768</v>
      </c>
      <c r="B36" s="41" t="s">
        <v>5769</v>
      </c>
    </row>
    <row r="37" spans="1:2" ht="11.25" customHeight="1">
      <c r="A37" s="41" t="s">
        <v>5770</v>
      </c>
      <c r="B37" s="41" t="s">
        <v>5771</v>
      </c>
    </row>
    <row r="38" spans="1:2" ht="11.25" customHeight="1">
      <c r="A38" s="41" t="s">
        <v>5772</v>
      </c>
      <c r="B38" s="41" t="s">
        <v>5773</v>
      </c>
    </row>
    <row r="39" spans="1:2" ht="11.25" customHeight="1">
      <c r="A39" s="41" t="s">
        <v>5774</v>
      </c>
      <c r="B39" s="41" t="s">
        <v>5775</v>
      </c>
    </row>
    <row r="40" spans="1:2" ht="11.25" customHeight="1">
      <c r="A40" s="41" t="s">
        <v>5776</v>
      </c>
      <c r="B40" s="41" t="s">
        <v>5777</v>
      </c>
    </row>
    <row r="41" spans="1:2" ht="11.25" customHeight="1">
      <c r="A41" s="41" t="s">
        <v>5778</v>
      </c>
      <c r="B41" s="41" t="s">
        <v>5779</v>
      </c>
    </row>
    <row r="42" spans="1:2" ht="11.25" customHeight="1">
      <c r="A42" s="41" t="s">
        <v>5780</v>
      </c>
      <c r="B42" s="41" t="s">
        <v>5781</v>
      </c>
    </row>
    <row r="43" spans="1:2" ht="11.25" customHeight="1">
      <c r="A43" s="41" t="s">
        <v>5782</v>
      </c>
      <c r="B43" s="41" t="s">
        <v>5783</v>
      </c>
    </row>
    <row r="44" spans="1:2" ht="11.25" customHeight="1">
      <c r="A44" s="41" t="s">
        <v>5784</v>
      </c>
      <c r="B44" s="41" t="s">
        <v>5785</v>
      </c>
    </row>
    <row r="45" spans="1:2" ht="11.25" customHeight="1">
      <c r="A45" s="41" t="s">
        <v>5786</v>
      </c>
      <c r="B45" s="41" t="s">
        <v>5787</v>
      </c>
    </row>
    <row r="46" spans="1:2" ht="11.25" customHeight="1">
      <c r="A46" s="41" t="s">
        <v>5788</v>
      </c>
      <c r="B46" s="41" t="s">
        <v>5789</v>
      </c>
    </row>
    <row r="47" spans="1:2" ht="11.25" customHeight="1">
      <c r="A47" s="41" t="s">
        <v>5790</v>
      </c>
      <c r="B47" s="41" t="s">
        <v>5791</v>
      </c>
    </row>
    <row r="48" spans="1:2" ht="11.25" customHeight="1">
      <c r="A48" s="41" t="s">
        <v>5792</v>
      </c>
      <c r="B48" s="41" t="s">
        <v>5793</v>
      </c>
    </row>
    <row r="49" spans="1:2" ht="11.25" customHeight="1">
      <c r="A49" s="41" t="s">
        <v>5794</v>
      </c>
      <c r="B49" s="41" t="s">
        <v>5795</v>
      </c>
    </row>
    <row r="50" spans="1:2" ht="11.25" customHeight="1">
      <c r="A50" s="41" t="s">
        <v>5796</v>
      </c>
      <c r="B50" s="41" t="s">
        <v>5797</v>
      </c>
    </row>
    <row r="51" spans="1:2" ht="11.25" customHeight="1">
      <c r="A51" s="41" t="s">
        <v>5798</v>
      </c>
      <c r="B51" s="41" t="s">
        <v>5799</v>
      </c>
    </row>
    <row r="52" spans="1:2" ht="11.25" customHeight="1">
      <c r="A52" s="41" t="s">
        <v>5800</v>
      </c>
      <c r="B52" s="41" t="s">
        <v>5801</v>
      </c>
    </row>
    <row r="53" spans="1:2" ht="11.25" customHeight="1">
      <c r="A53" s="41" t="s">
        <v>5802</v>
      </c>
      <c r="B53" s="41" t="s">
        <v>5803</v>
      </c>
    </row>
    <row r="54" spans="1:2" ht="11.25" customHeight="1">
      <c r="A54" s="41" t="s">
        <v>5804</v>
      </c>
      <c r="B54" s="41" t="s">
        <v>5805</v>
      </c>
    </row>
    <row r="55" spans="1:2" ht="11.25" customHeight="1">
      <c r="A55" s="41" t="s">
        <v>5806</v>
      </c>
      <c r="B55" s="41" t="s">
        <v>5807</v>
      </c>
    </row>
    <row r="56" spans="1:2" ht="11.25" customHeight="1">
      <c r="A56" s="41" t="s">
        <v>5808</v>
      </c>
      <c r="B56" s="41" t="s">
        <v>5809</v>
      </c>
    </row>
    <row r="57" spans="1:2" ht="11.25" customHeight="1">
      <c r="A57" s="41" t="s">
        <v>5810</v>
      </c>
      <c r="B57" s="41" t="s">
        <v>5811</v>
      </c>
    </row>
    <row r="58" spans="1:2" ht="11.25" customHeight="1">
      <c r="A58" s="41" t="s">
        <v>5812</v>
      </c>
      <c r="B58" s="41" t="s">
        <v>5813</v>
      </c>
    </row>
    <row r="59" spans="1:2" ht="11.25" customHeight="1">
      <c r="A59" s="41" t="s">
        <v>5814</v>
      </c>
      <c r="B59" s="41" t="s">
        <v>5815</v>
      </c>
    </row>
    <row r="60" spans="1:2" ht="11.25" customHeight="1">
      <c r="A60" s="41" t="s">
        <v>5816</v>
      </c>
      <c r="B60" s="41" t="s">
        <v>5817</v>
      </c>
    </row>
    <row r="61" spans="1:2" ht="11.25" customHeight="1">
      <c r="B61" s="41" t="s">
        <v>5818</v>
      </c>
    </row>
    <row r="62" spans="1:2" ht="11.25" customHeight="1">
      <c r="B62" s="41" t="s">
        <v>5819</v>
      </c>
    </row>
    <row r="63" spans="1:2" ht="11.25" customHeight="1">
      <c r="B63" s="41" t="s">
        <v>5820</v>
      </c>
    </row>
    <row r="64" spans="1:2" ht="11.25" customHeight="1">
      <c r="B64" s="41" t="s">
        <v>5821</v>
      </c>
    </row>
    <row r="65" spans="2:2" ht="11.25" customHeight="1">
      <c r="B65" s="41" t="s">
        <v>5822</v>
      </c>
    </row>
    <row r="66" spans="2:2" ht="11.25" customHeight="1">
      <c r="B66" s="41" t="s">
        <v>5823</v>
      </c>
    </row>
    <row r="67" spans="2:2" ht="11.25" customHeight="1">
      <c r="B67" s="41" t="s">
        <v>5824</v>
      </c>
    </row>
    <row r="68" spans="2:2" ht="11.25" customHeight="1">
      <c r="B68" s="41" t="s">
        <v>5825</v>
      </c>
    </row>
    <row r="69" spans="2:2" ht="11.25" customHeight="1">
      <c r="B69" s="41" t="s">
        <v>5826</v>
      </c>
    </row>
    <row r="70" spans="2:2" ht="11.25" customHeight="1">
      <c r="B70" s="41" t="s">
        <v>5827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6"/>
  <sheetViews>
    <sheetView showGridLines="0" workbookViewId="0"/>
  </sheetViews>
  <sheetFormatPr defaultColWidth="9.140625" defaultRowHeight="11.25" customHeight="1"/>
  <cols>
    <col min="1" max="1" width="3.7109375" style="1029" customWidth="1"/>
    <col min="2" max="2" width="90.7109375" style="1029" customWidth="1"/>
  </cols>
  <sheetData>
    <row r="1" spans="2:2" ht="11.25" customHeight="1">
      <c r="B1" s="521" t="s">
        <v>5828</v>
      </c>
    </row>
    <row r="2" spans="2:2" ht="90" customHeight="1">
      <c r="B2" s="989" t="s">
        <v>5829</v>
      </c>
    </row>
    <row r="3" spans="2:2" ht="67.5" customHeight="1">
      <c r="B3" s="989" t="s">
        <v>5830</v>
      </c>
    </row>
    <row r="4" spans="2:2" ht="33.75" customHeight="1">
      <c r="B4" s="989" t="s">
        <v>5831</v>
      </c>
    </row>
    <row r="5" spans="2:2" ht="11.25" customHeight="1">
      <c r="B5" s="989" t="s">
        <v>5832</v>
      </c>
    </row>
    <row r="6" spans="2:2" ht="22.5" customHeight="1">
      <c r="B6" s="989" t="s">
        <v>5833</v>
      </c>
    </row>
    <row r="7" spans="2:2" ht="22.5" customHeight="1">
      <c r="B7" s="989" t="s">
        <v>5834</v>
      </c>
    </row>
    <row r="8" spans="2:2" ht="22.5" customHeight="1">
      <c r="B8" s="989" t="s">
        <v>5835</v>
      </c>
    </row>
    <row r="9" spans="2:2" ht="22.5" customHeight="1">
      <c r="B9" s="989" t="s">
        <v>5836</v>
      </c>
    </row>
    <row r="10" spans="2:2" ht="56.25" customHeight="1">
      <c r="B10" s="989" t="s">
        <v>5837</v>
      </c>
    </row>
    <row r="11" spans="2:2" ht="12.75" customHeight="1">
      <c r="B11" s="990" t="s">
        <v>5838</v>
      </c>
    </row>
    <row r="12" spans="2:2" ht="11.25" customHeight="1">
      <c r="B12" s="521" t="s">
        <v>5839</v>
      </c>
    </row>
    <row r="13" spans="2:2" ht="22.5" customHeight="1">
      <c r="B13" s="989" t="s">
        <v>5840</v>
      </c>
    </row>
    <row r="14" spans="2:2" ht="67.5" customHeight="1">
      <c r="B14" s="989" t="s">
        <v>5841</v>
      </c>
    </row>
    <row r="15" spans="2:2" ht="22.5" customHeight="1">
      <c r="B15" s="989" t="s">
        <v>5842</v>
      </c>
    </row>
    <row r="16" spans="2:2" ht="11.25" customHeight="1">
      <c r="B16" s="521" t="s">
        <v>5843</v>
      </c>
    </row>
    <row r="17" spans="2:2" ht="33.75" customHeight="1">
      <c r="B17" s="989" t="s">
        <v>5844</v>
      </c>
    </row>
    <row r="18" spans="2:2" ht="33.75" customHeight="1">
      <c r="B18" s="989" t="s">
        <v>5845</v>
      </c>
    </row>
    <row r="19" spans="2:2" ht="11.25" customHeight="1">
      <c r="B19" s="989" t="s">
        <v>5846</v>
      </c>
    </row>
    <row r="20" spans="2:2" ht="33.75" customHeight="1">
      <c r="B20" s="989" t="s">
        <v>5847</v>
      </c>
    </row>
    <row r="21" spans="2:2" ht="11.25" customHeight="1">
      <c r="B21" s="521" t="s">
        <v>5848</v>
      </c>
    </row>
    <row r="22" spans="2:2" ht="11.25" customHeight="1">
      <c r="B22" s="989" t="s">
        <v>5849</v>
      </c>
    </row>
    <row r="24" spans="2:2" ht="22.5" customHeight="1">
      <c r="B24" s="991" t="s">
        <v>5850</v>
      </c>
    </row>
    <row r="26" spans="2:2" ht="11.25" customHeight="1">
      <c r="B26" s="521" t="s">
        <v>5851</v>
      </c>
    </row>
    <row r="27" spans="2:2" ht="22.5" customHeight="1">
      <c r="B27" s="112" t="s">
        <v>407</v>
      </c>
    </row>
    <row r="28" spans="2:2" ht="56.25" customHeight="1">
      <c r="B28" s="112" t="s">
        <v>5852</v>
      </c>
    </row>
    <row r="29" spans="2:2" ht="11.25" customHeight="1">
      <c r="B29" s="522" t="s">
        <v>5853</v>
      </c>
    </row>
    <row r="30" spans="2:2" ht="22.5" customHeight="1">
      <c r="B30" s="112" t="s">
        <v>5854</v>
      </c>
    </row>
    <row r="32" spans="2:2" ht="11.25" customHeight="1">
      <c r="B32" s="992" t="s">
        <v>5855</v>
      </c>
    </row>
    <row r="33" spans="1:2" ht="14.25" customHeight="1">
      <c r="A33" s="993">
        <v>1</v>
      </c>
      <c r="B33" s="994" t="s">
        <v>5856</v>
      </c>
    </row>
    <row r="34" spans="1:2" ht="14.25" customHeight="1">
      <c r="A34" s="993">
        <v>2</v>
      </c>
      <c r="B34" s="994" t="s">
        <v>5857</v>
      </c>
    </row>
    <row r="35" spans="1:2" ht="11.25" customHeight="1">
      <c r="B35" s="992" t="s">
        <v>5858</v>
      </c>
    </row>
    <row r="36" spans="1:2" ht="11.25" customHeight="1">
      <c r="B36" s="994" t="s">
        <v>5859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2" width="9.140625" style="1029" hidden="1" customWidth="1"/>
    <col min="3" max="3" width="3" style="1029" customWidth="1"/>
    <col min="4" max="4" width="5" style="1029" customWidth="1"/>
    <col min="5" max="5" width="38" style="1029" customWidth="1"/>
    <col min="6" max="7" width="3" style="1029" customWidth="1"/>
    <col min="8" max="8" width="38" style="1029" customWidth="1"/>
    <col min="9" max="9" width="35" style="1029" customWidth="1"/>
    <col min="10" max="10" width="103" style="1029" customWidth="1"/>
    <col min="11" max="11" width="3" style="1029" customWidth="1"/>
    <col min="12" max="14" width="10" style="1029" customWidth="1"/>
    <col min="15" max="15" width="13" style="1029" customWidth="1"/>
    <col min="16" max="16" width="15" style="1029" customWidth="1"/>
    <col min="17" max="17" width="16" style="1029" customWidth="1"/>
    <col min="18" max="21" width="10" style="1029" customWidth="1"/>
    <col min="22" max="22" width="10.5703125" style="1029" hidden="1"/>
  </cols>
  <sheetData>
    <row r="1" spans="3:22" ht="22.5" hidden="1" customHeight="1">
      <c r="H1" s="1055" t="s">
        <v>363</v>
      </c>
      <c r="I1" s="1031"/>
      <c r="V1" s="538" t="s">
        <v>14</v>
      </c>
    </row>
    <row r="2" spans="3:22" ht="14.25" hidden="1" customHeight="1">
      <c r="C2" s="653"/>
      <c r="D2" s="1174" t="s">
        <v>114</v>
      </c>
      <c r="E2" s="1176"/>
      <c r="F2" s="685"/>
      <c r="G2" s="55" t="s">
        <v>114</v>
      </c>
      <c r="H2" s="123"/>
      <c r="I2" s="124"/>
      <c r="O2" s="577" t="s">
        <v>393</v>
      </c>
      <c r="R2" s="582" t="s">
        <v>392</v>
      </c>
      <c r="S2" s="582" t="s">
        <v>392</v>
      </c>
      <c r="V2" s="538">
        <v>0</v>
      </c>
    </row>
    <row r="3" spans="3:22" ht="14.25" hidden="1" customHeight="1">
      <c r="C3" s="653"/>
      <c r="D3" s="1175"/>
      <c r="E3" s="1177"/>
      <c r="F3" s="119"/>
      <c r="G3" s="684"/>
      <c r="H3" s="684" t="s">
        <v>394</v>
      </c>
      <c r="I3" s="120"/>
      <c r="V3" s="538">
        <v>0</v>
      </c>
    </row>
    <row r="4" spans="3:22" ht="14.25" hidden="1" customHeight="1">
      <c r="V4" s="538">
        <v>0</v>
      </c>
    </row>
    <row r="5" spans="3:22" ht="5.25" customHeight="1">
      <c r="C5" s="668"/>
      <c r="D5" s="669"/>
      <c r="E5" s="669"/>
      <c r="F5" s="669"/>
      <c r="G5" s="669"/>
      <c r="H5" s="669" t="s">
        <v>367</v>
      </c>
      <c r="I5" s="669"/>
      <c r="J5" s="669"/>
      <c r="V5" s="670">
        <v>5</v>
      </c>
    </row>
    <row r="6" spans="3:22" ht="29.25" customHeight="1">
      <c r="C6" s="653"/>
      <c r="D6" s="1178" t="s">
        <v>395</v>
      </c>
      <c r="E6" s="1178"/>
      <c r="F6" s="1178"/>
      <c r="G6" s="1178"/>
      <c r="H6" s="1178"/>
      <c r="I6" s="1178"/>
      <c r="V6" s="538">
        <v>28</v>
      </c>
    </row>
    <row r="7" spans="3:22" ht="18" customHeight="1">
      <c r="C7" s="653"/>
      <c r="D7" s="1127" t="str">
        <f>IF(org=0,"Не определено",org)</f>
        <v>АО "НИЖЕГОРОДСКИЙ ВОДОКАНАЛ"</v>
      </c>
      <c r="E7" s="1127"/>
      <c r="F7" s="1127"/>
      <c r="G7" s="1127"/>
      <c r="H7" s="1127"/>
      <c r="I7" s="1127"/>
      <c r="V7" s="538">
        <v>17</v>
      </c>
    </row>
    <row r="8" spans="3:22" ht="5.25" customHeight="1">
      <c r="C8" s="672"/>
      <c r="V8" s="540">
        <v>5</v>
      </c>
    </row>
    <row r="9" spans="3:22" ht="5.25" customHeight="1">
      <c r="C9" s="672"/>
      <c r="V9" s="540">
        <v>5</v>
      </c>
    </row>
    <row r="10" spans="3:22" ht="14.65" customHeight="1">
      <c r="C10" s="653"/>
      <c r="D10" s="1162" t="s">
        <v>311</v>
      </c>
      <c r="E10" s="1163"/>
      <c r="F10" s="1163"/>
      <c r="G10" s="1163"/>
      <c r="H10" s="1163"/>
      <c r="I10" s="1163"/>
      <c r="J10" s="1107" t="s">
        <v>312</v>
      </c>
      <c r="V10" s="538">
        <v>14</v>
      </c>
    </row>
    <row r="11" spans="3:22" ht="27.4" customHeight="1">
      <c r="C11" s="653"/>
      <c r="D11" s="1066" t="s">
        <v>87</v>
      </c>
      <c r="E11" s="1107" t="s">
        <v>110</v>
      </c>
      <c r="F11" s="1141" t="s">
        <v>87</v>
      </c>
      <c r="G11" s="1142"/>
      <c r="H11" s="1126" t="s">
        <v>396</v>
      </c>
      <c r="I11" s="1126" t="s">
        <v>397</v>
      </c>
      <c r="J11" s="1107"/>
      <c r="V11" s="538">
        <v>26</v>
      </c>
    </row>
    <row r="12" spans="3:22" ht="14.65" customHeight="1">
      <c r="C12" s="653"/>
      <c r="D12" s="1066"/>
      <c r="E12" s="1107"/>
      <c r="F12" s="1146"/>
      <c r="G12" s="1147"/>
      <c r="H12" s="1173"/>
      <c r="I12" s="1173"/>
      <c r="J12" s="1107"/>
      <c r="V12" s="538">
        <v>14</v>
      </c>
    </row>
    <row r="13" spans="3:22" ht="11.25" hidden="1" customHeight="1">
      <c r="C13" s="680"/>
      <c r="D13" s="110" t="s">
        <v>387</v>
      </c>
      <c r="E13" s="110"/>
      <c r="F13" s="110"/>
      <c r="G13" s="110"/>
      <c r="H13" s="111"/>
      <c r="I13" s="111"/>
      <c r="J13" s="112"/>
      <c r="V13" s="681">
        <v>0</v>
      </c>
    </row>
    <row r="14" spans="3:22" ht="14.65" customHeight="1">
      <c r="C14" s="653"/>
      <c r="D14" s="1174" t="s">
        <v>114</v>
      </c>
      <c r="E14" s="1176"/>
      <c r="F14" s="685"/>
      <c r="G14" s="55" t="s">
        <v>114</v>
      </c>
      <c r="H14" s="123"/>
      <c r="I14" s="124"/>
      <c r="J14" s="1121" t="s">
        <v>398</v>
      </c>
      <c r="R14" s="582" t="s">
        <v>392</v>
      </c>
      <c r="S14" s="582" t="s">
        <v>392</v>
      </c>
      <c r="V14" s="538">
        <v>14</v>
      </c>
    </row>
    <row r="15" spans="3:22" ht="14.65" customHeight="1">
      <c r="C15" s="653"/>
      <c r="D15" s="1175"/>
      <c r="E15" s="1177"/>
      <c r="F15" s="119"/>
      <c r="G15" s="684"/>
      <c r="H15" s="684" t="s">
        <v>394</v>
      </c>
      <c r="I15" s="120"/>
      <c r="J15" s="1122"/>
      <c r="V15" s="538">
        <v>14</v>
      </c>
    </row>
    <row r="16" spans="3:22" ht="14.65" customHeight="1">
      <c r="C16" s="653"/>
      <c r="D16" s="119"/>
      <c r="E16" s="684" t="s">
        <v>134</v>
      </c>
      <c r="F16" s="120"/>
      <c r="G16" s="120"/>
      <c r="H16" s="121"/>
      <c r="I16" s="121"/>
      <c r="J16" s="1123"/>
      <c r="V16" s="538">
        <v>14</v>
      </c>
    </row>
    <row r="17" spans="1:22" ht="14.65" customHeight="1">
      <c r="V17" s="538">
        <v>14</v>
      </c>
    </row>
    <row r="18" spans="1:22" ht="22.5" hidden="1" customHeight="1">
      <c r="A18" s="536" t="s">
        <v>81</v>
      </c>
      <c r="B18" s="538">
        <v>0</v>
      </c>
      <c r="C18" s="590">
        <v>3</v>
      </c>
      <c r="D18" s="538">
        <v>5</v>
      </c>
      <c r="E18" s="538">
        <v>38</v>
      </c>
      <c r="F18" s="538">
        <v>3</v>
      </c>
      <c r="G18" s="538">
        <v>3</v>
      </c>
      <c r="H18" s="538">
        <v>38</v>
      </c>
      <c r="I18" s="538">
        <v>35</v>
      </c>
      <c r="J18" s="538">
        <v>103</v>
      </c>
      <c r="K18" s="579">
        <v>3</v>
      </c>
      <c r="L18" s="577">
        <v>10</v>
      </c>
      <c r="M18" s="577">
        <v>10</v>
      </c>
      <c r="N18" s="577">
        <v>10</v>
      </c>
      <c r="O18" s="577">
        <v>13</v>
      </c>
      <c r="P18" s="577">
        <v>15</v>
      </c>
      <c r="Q18" s="577">
        <v>16</v>
      </c>
      <c r="R18" s="577">
        <v>10</v>
      </c>
      <c r="S18" s="577">
        <v>10</v>
      </c>
      <c r="T18" s="577">
        <v>10</v>
      </c>
      <c r="U18" s="577">
        <v>10</v>
      </c>
      <c r="V18" s="538">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2235</vt:i4>
      </vt:variant>
    </vt:vector>
  </HeadingPairs>
  <TitlesOfParts>
    <vt:vector size="232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B_FHD_TKO_FLAG_DIFFERENTIATION</vt:lpstr>
      <vt:lpstr>B_FHD_TKO_TRANS_DATA_TOP80_ACTIVITY</vt:lpstr>
      <vt:lpstr>B_FHD_TKO_TRANS_diff_1</vt:lpstr>
      <vt:lpstr>B_FHD_TKO_TRANS_diff_5</vt:lpstr>
      <vt:lpstr>B_FHD_TKO_TRANS_diff_51</vt:lpstr>
      <vt:lpstr>B_FHD_TKO_TRANS_diff_511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B_FHD20_FLAG_FHD</vt:lpstr>
      <vt:lpstr>B_FHD20_NUMBER_COLUMN_MARKER</vt:lpstr>
      <vt:lpstr>B_FHD20_PART_COLUMN_MARKER</vt:lpstr>
      <vt:lpstr>B_KNE_diff_1</vt:lpstr>
      <vt:lpstr>B_KNE_diff_5</vt:lpstr>
      <vt:lpstr>B_KNE_diff_51</vt:lpstr>
      <vt:lpstr>B_KNE_diff_511</vt:lpstr>
      <vt:lpstr>B_OTEP_diff_1</vt:lpstr>
      <vt:lpstr>B_OTEP_diff_5</vt:lpstr>
      <vt:lpstr>B_OTEP_diff_51</vt:lpstr>
      <vt:lpstr>B_OTEP_diff_511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Q_LIMIT_p3</vt:lpstr>
      <vt:lpstr>Q_LIMIT_p4</vt:lpstr>
      <vt:lpstr>Q_PH_diff_1</vt:lpstr>
      <vt:lpstr>Q_PH_diff_5</vt:lpstr>
      <vt:lpstr>Q_PH_diff_51</vt:lpstr>
      <vt:lpstr>Q_PH_diff_511</vt:lpstr>
      <vt:lpstr>Q_TP_COUNT_REFUSAL</vt:lpstr>
      <vt:lpstr>Q_TP_diff_1</vt:lpstr>
      <vt:lpstr>Q_TP_diff_5</vt:lpstr>
      <vt:lpstr>Q_TP_diff_51</vt:lpstr>
      <vt:lpstr>Q_TP_diff_511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TEMP_LIST_KS</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Малеханов Алексей Александрович</cp:lastModifiedBy>
  <cp:lastPrinted>2013-08-29T08:11:20Z</cp:lastPrinted>
  <dcterms:created xsi:type="dcterms:W3CDTF">2004-05-21T07:18:45Z</dcterms:created>
  <dcterms:modified xsi:type="dcterms:W3CDTF">2024-04-24T13:32:56Z</dcterms:modified>
</cp:coreProperties>
</file>